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150" windowWidth="14235" windowHeight="8640" tabRatio="771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10">'10'!$K$13:$K$97</definedName>
    <definedName name="_DSC11">'11'!$K$13:$K$80</definedName>
    <definedName name="_DSC12">'12'!$K$13:$K$123</definedName>
    <definedName name="_DSC2">'02'!$K$13:$K$102</definedName>
    <definedName name="_DSC3">'03'!$K$13:$K$108</definedName>
    <definedName name="_DSC4">'04'!$K$13:$K$105</definedName>
    <definedName name="_DSC5">'05'!$K$13:$K$105</definedName>
    <definedName name="_DSC6">'06'!$K$13:$K$117</definedName>
    <definedName name="_DSC7">'07'!$K$13:$K$83</definedName>
    <definedName name="_DSC8">'08'!$K$13:$K$107</definedName>
    <definedName name="_DSC9">'09'!$K$13:$K$119</definedName>
    <definedName name="_DSP1">'01'!$A$13:$A$108</definedName>
    <definedName name="_DSP10">'10'!$A$13:$A$97</definedName>
    <definedName name="_DSP11">'11'!$A$13:$A$80</definedName>
    <definedName name="_DSP12">'12'!$A$13:$A$123</definedName>
    <definedName name="_DSP2">'02'!$A$13:$A$102</definedName>
    <definedName name="_DSP3">'03'!$A$13:$A$108</definedName>
    <definedName name="_DSP4">'04'!$A$13:$A$105</definedName>
    <definedName name="_DSP5">'05'!$A$13:$A$105</definedName>
    <definedName name="_DSP6">'06'!$A$13:$A$116</definedName>
    <definedName name="_DSP7">'07'!$A$13:$A$83</definedName>
    <definedName name="_DSP8">'08'!$A$13:$A$107</definedName>
    <definedName name="_DSP9">'09'!$A$13:$A$119</definedName>
    <definedName name="_DST1">'01'!$J$13:$J$108</definedName>
    <definedName name="_DST10">'10'!$J$13:$J$77</definedName>
    <definedName name="_DST11">'11'!$J$13:$J$75</definedName>
    <definedName name="_DST12">'12'!$J$13:$J$123</definedName>
    <definedName name="_DST2">'02'!$J$13:$J$80</definedName>
    <definedName name="_DST3">'03'!$J$13:$J$82</definedName>
    <definedName name="_DST4">'04'!$J$13:$J$103</definedName>
    <definedName name="_DST5">'05'!$J$13:$J$84</definedName>
    <definedName name="_DST6">'06'!$J$13:$J$95</definedName>
    <definedName name="_DST7">'07'!$J$13:$J$83</definedName>
    <definedName name="_DST8">'08'!$J$13:$J$89</definedName>
    <definedName name="_DST9">'09'!$J$13:$J$94</definedName>
    <definedName name="_Fill" hidden="1">#REF!</definedName>
    <definedName name="_xlnm._FilterDatabase" localSheetId="1" hidden="1">'01'!$B$11:$M$110</definedName>
    <definedName name="_xlnm._FilterDatabase" localSheetId="2" hidden="1">'02'!$A$11:$M$94</definedName>
    <definedName name="_xlnm._FilterDatabase" localSheetId="3" hidden="1">'03'!$A$11:$P$84</definedName>
    <definedName name="_xlnm._FilterDatabase" localSheetId="4" hidden="1">'04'!$A$11:$X$132</definedName>
    <definedName name="_xlnm._FilterDatabase" localSheetId="5" hidden="1">'05'!$A$11:$N$83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'09'!$B$11:$M$96</definedName>
    <definedName name="_xlnm._FilterDatabase" localSheetId="10" hidden="1">'10'!$A$11:$M$76</definedName>
    <definedName name="_xlnm._FilterDatabase" localSheetId="11" hidden="1">'11'!$A$11:$M$77</definedName>
    <definedName name="_xlnm._FilterDatabase" localSheetId="12" hidden="1">'12'!$A$11:$M$123</definedName>
    <definedName name="_xlnm._FilterDatabase" localSheetId="18" hidden="1">'CT-USD'!$A$10:$K$40</definedName>
    <definedName name="_xlnm._FilterDatabase" localSheetId="17" hidden="1">'CT-VND'!$A$10:$I$96</definedName>
    <definedName name="_xlnm._FilterDatabase" localSheetId="14" hidden="1">'Q11-USD'!$A$10:$N$282</definedName>
    <definedName name="_xlnm._FilterDatabase" localSheetId="13" hidden="1">'Q11-VND'!$A$10:$N$697</definedName>
    <definedName name="_xlnm._FilterDatabase" localSheetId="16" hidden="1">'Q4-USD'!$B$10:$N$82</definedName>
    <definedName name="_xlnm._FilterDatabase" localSheetId="15" hidden="1">'Q4-VND'!$A$10:$M$143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'01'!$A$13:$M$108</definedName>
    <definedName name="DSTM10">'10'!$A$13:$M$75</definedName>
    <definedName name="DSTM11">'11'!$A$13:$M$74</definedName>
    <definedName name="DSTM12">'12'!$A$13:$M$123</definedName>
    <definedName name="DSTM2">'02'!$A$13:$M$80</definedName>
    <definedName name="DSTM3">'03'!$A$13:$M$81</definedName>
    <definedName name="DSTM4">'04'!$A$13:$M$102</definedName>
    <definedName name="DSTM5">'05'!$A$13:$M$83</definedName>
    <definedName name="DSTM6">'06'!$A$13:$M$93</definedName>
    <definedName name="DSTM7">'07'!$A$13:$M$83</definedName>
    <definedName name="DSTM8">'08'!$A$13:$M$88</definedName>
    <definedName name="DSTM9">'09'!$A$13:$M$94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OFFSET('Q11-VND'!$A$12,,,COUNTA('Q11-VND'!$A$12:$A$40498))</definedName>
    <definedName name="Loai1">OFFSET('Q4-VND'!$A$12,,,COUNTA('Q4-VND'!$A$12:$A$40095))</definedName>
    <definedName name="Loai2">OFFSET('Q4-USD'!$A$12,,,COUNTA('Q4-USD'!$A$12:$A$40055))</definedName>
    <definedName name="Loai3">OFFSET('Q11-USD'!$A$12,,,COUNTA('Q11-USD'!$A$12:$A$40239))</definedName>
    <definedName name="_xlnm.Print_Area" localSheetId="1">'01'!$B$1:$M$122</definedName>
    <definedName name="_xlnm.Print_Area" localSheetId="2">'02'!$B$1:$M$94</definedName>
    <definedName name="_xlnm.Print_Area" localSheetId="3">'03'!$B$1:$M$96</definedName>
    <definedName name="_xlnm.Print_Area" localSheetId="4">'04'!$B$1:$M$117</definedName>
    <definedName name="_xlnm.Print_Area" localSheetId="5">'05'!$B$1:$M$98</definedName>
    <definedName name="_xlnm.Print_Area" localSheetId="6">'06'!$B$1:$M$109</definedName>
    <definedName name="_xlnm.Print_Area" localSheetId="7">'07'!$B$1:$M$97</definedName>
    <definedName name="_xlnm.Print_Area" localSheetId="8">'08'!$B$1:$M$103</definedName>
    <definedName name="_xlnm.Print_Area" localSheetId="9">'09'!$B$1:$M$108</definedName>
    <definedName name="_xlnm.Print_Area" localSheetId="10">'10'!$B$1:$M$91</definedName>
    <definedName name="_xlnm.Print_Area" localSheetId="11">'11'!$B$1:$M$89</definedName>
    <definedName name="_xlnm.Print_Area" localSheetId="12">'12'!$B$1:$M$135</definedName>
    <definedName name="_xlnm.Print_Area" localSheetId="18">'CT-USD'!$A$1:$K$54</definedName>
    <definedName name="_xlnm.Print_Area" localSheetId="17">'CT-VND'!$A$1:$I$111</definedName>
    <definedName name="_xlnm.Print_Area" localSheetId="0">'IN-TC'!$A$1:$O$28</definedName>
    <definedName name="_xlnm.Print_Area" localSheetId="14">'Q11-USD'!$B$1:$L$282</definedName>
    <definedName name="_xlnm.Print_Area" localSheetId="16">'Q4-USD'!$B$1:$L$83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9">'09'!$9:$11</definedName>
    <definedName name="_xlnm.Print_Titles" localSheetId="10">'10'!$9:$11</definedName>
    <definedName name="_xlnm.Print_Titles" localSheetId="11">'11'!$9:$11</definedName>
    <definedName name="_xlnm.Print_Titles" localSheetId="12">'12'!$9:$11</definedName>
    <definedName name="_xlnm.Print_Titles" localSheetId="18">'CT-USD'!$8:$10</definedName>
    <definedName name="_xlnm.Print_Titles" localSheetId="17">'CT-VND'!$8:$10</definedName>
    <definedName name="_xlnm.Print_Titles" localSheetId="14">'Q11-USD'!$8:$10</definedName>
    <definedName name="_xlnm.Print_Titles" localSheetId="16">'Q4-USD'!$8:$10</definedName>
  </definedNames>
  <calcPr calcId="144525"/>
</workbook>
</file>

<file path=xl/calcChain.xml><?xml version="1.0" encoding="utf-8"?>
<calcChain xmlns="http://schemas.openxmlformats.org/spreadsheetml/2006/main">
  <c r="A5" i="22" l="1"/>
  <c r="A5" i="23"/>
  <c r="Q117" i="10" l="1"/>
  <c r="R117" i="10"/>
  <c r="S117" i="10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K78" i="6" l="1"/>
  <c r="J78" i="6"/>
  <c r="A76" i="6"/>
  <c r="A14" i="10" l="1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80" i="4"/>
  <c r="A81" i="4"/>
  <c r="A82" i="4"/>
  <c r="A83" i="4"/>
  <c r="A84" i="4"/>
  <c r="A85" i="4"/>
  <c r="A86" i="4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K122" i="8" l="1"/>
  <c r="L121" i="8" l="1"/>
  <c r="K76" i="7" l="1"/>
  <c r="J76" i="7"/>
  <c r="A59" i="7"/>
  <c r="A58" i="7"/>
  <c r="A52" i="7"/>
  <c r="A45" i="7"/>
  <c r="A44" i="7"/>
  <c r="A41" i="7"/>
  <c r="A38" i="7"/>
  <c r="A31" i="7"/>
  <c r="A22" i="7"/>
  <c r="A57" i="6" l="1"/>
  <c r="A52" i="6"/>
  <c r="A44" i="6"/>
  <c r="A37" i="6"/>
  <c r="A36" i="6"/>
  <c r="A29" i="6"/>
  <c r="A62" i="5" l="1"/>
  <c r="A50" i="5"/>
  <c r="A28" i="5"/>
  <c r="A18" i="11" l="1"/>
  <c r="J122" i="8" l="1"/>
  <c r="H24" i="17" l="1"/>
  <c r="M24" i="17"/>
  <c r="L6" i="17" l="1"/>
  <c r="F58" i="21" l="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A14" i="12" l="1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123" i="20"/>
  <c r="D123" i="20"/>
  <c r="D114" i="20"/>
  <c r="A112" i="20"/>
  <c r="D112" i="20"/>
  <c r="A113" i="20"/>
  <c r="D113" i="20"/>
  <c r="A111" i="20"/>
  <c r="D111" i="20"/>
  <c r="D109" i="20"/>
  <c r="D110" i="20"/>
  <c r="D115" i="20"/>
  <c r="D116" i="20"/>
  <c r="D117" i="20"/>
  <c r="D118" i="20"/>
  <c r="D119" i="20"/>
  <c r="D120" i="20"/>
  <c r="D121" i="20"/>
  <c r="D122" i="20"/>
  <c r="A110" i="20"/>
  <c r="A114" i="20"/>
  <c r="A115" i="20"/>
  <c r="A116" i="20"/>
  <c r="A117" i="20"/>
  <c r="A118" i="20"/>
  <c r="A119" i="20"/>
  <c r="A120" i="20"/>
  <c r="A121" i="20"/>
  <c r="A122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D107" i="20"/>
  <c r="D108" i="20"/>
  <c r="A271" i="19" l="1"/>
  <c r="A272" i="19"/>
  <c r="A273" i="19"/>
  <c r="F270" i="19"/>
  <c r="F271" i="19"/>
  <c r="F272" i="19"/>
  <c r="F273" i="19"/>
  <c r="F269" i="19"/>
  <c r="D269" i="19"/>
  <c r="F268" i="19"/>
  <c r="F267" i="19"/>
  <c r="D258" i="19"/>
  <c r="D259" i="19"/>
  <c r="D260" i="19"/>
  <c r="D261" i="19"/>
  <c r="D262" i="19"/>
  <c r="D263" i="19"/>
  <c r="D264" i="19"/>
  <c r="D265" i="19"/>
  <c r="D266" i="19"/>
  <c r="D267" i="19"/>
  <c r="D268" i="19"/>
  <c r="D270" i="19"/>
  <c r="D271" i="19"/>
  <c r="D272" i="19"/>
  <c r="D273" i="19"/>
  <c r="A262" i="19"/>
  <c r="A263" i="19"/>
  <c r="A264" i="19"/>
  <c r="A265" i="19"/>
  <c r="A266" i="19"/>
  <c r="A267" i="19"/>
  <c r="A268" i="19"/>
  <c r="A269" i="19"/>
  <c r="A270" i="19"/>
  <c r="F266" i="19"/>
  <c r="F265" i="19"/>
  <c r="F264" i="19"/>
  <c r="F263" i="19"/>
  <c r="F262" i="19"/>
  <c r="F261" i="19"/>
  <c r="F257" i="19"/>
  <c r="F258" i="19"/>
  <c r="F259" i="19"/>
  <c r="F260" i="19"/>
  <c r="D257" i="19"/>
  <c r="A256" i="19"/>
  <c r="D256" i="19"/>
  <c r="F256" i="19"/>
  <c r="F255" i="19"/>
  <c r="D255" i="19"/>
  <c r="D250" i="19"/>
  <c r="D251" i="19"/>
  <c r="D252" i="19"/>
  <c r="D253" i="19"/>
  <c r="D244" i="19"/>
  <c r="D243" i="19"/>
  <c r="F243" i="19"/>
  <c r="D242" i="19"/>
  <c r="F241" i="19"/>
  <c r="F242" i="19"/>
  <c r="F244" i="19"/>
  <c r="F245" i="19"/>
  <c r="F246" i="19"/>
  <c r="F247" i="19"/>
  <c r="F248" i="19"/>
  <c r="F249" i="19"/>
  <c r="F250" i="19"/>
  <c r="F251" i="19"/>
  <c r="F252" i="19"/>
  <c r="F253" i="19"/>
  <c r="F254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7" i="19"/>
  <c r="A258" i="19"/>
  <c r="A259" i="19"/>
  <c r="A260" i="19"/>
  <c r="A261" i="19"/>
  <c r="D241" i="19"/>
  <c r="D245" i="19"/>
  <c r="D246" i="19"/>
  <c r="D247" i="19"/>
  <c r="D248" i="19"/>
  <c r="D249" i="19"/>
  <c r="D254" i="19"/>
  <c r="D239" i="19"/>
  <c r="D240" i="19"/>
  <c r="D689" i="18"/>
  <c r="A689" i="18"/>
  <c r="D688" i="18"/>
  <c r="A688" i="18"/>
  <c r="D687" i="18"/>
  <c r="A687" i="18"/>
  <c r="D686" i="18"/>
  <c r="A686" i="18"/>
  <c r="D685" i="18"/>
  <c r="A685" i="18"/>
  <c r="D684" i="18"/>
  <c r="A684" i="18"/>
  <c r="D683" i="18"/>
  <c r="A683" i="18"/>
  <c r="D682" i="18"/>
  <c r="A682" i="18"/>
  <c r="D681" i="18"/>
  <c r="A681" i="18"/>
  <c r="D680" i="18"/>
  <c r="A680" i="18"/>
  <c r="D679" i="18"/>
  <c r="A679" i="18"/>
  <c r="D678" i="18"/>
  <c r="A678" i="18"/>
  <c r="D677" i="18"/>
  <c r="A677" i="18"/>
  <c r="D676" i="18"/>
  <c r="A676" i="18"/>
  <c r="A672" i="18"/>
  <c r="D672" i="18"/>
  <c r="A673" i="18"/>
  <c r="D673" i="18"/>
  <c r="D675" i="18"/>
  <c r="A675" i="18"/>
  <c r="D674" i="18"/>
  <c r="A674" i="18"/>
  <c r="D671" i="18"/>
  <c r="A671" i="18"/>
  <c r="D670" i="18"/>
  <c r="A670" i="18"/>
  <c r="D669" i="18"/>
  <c r="A669" i="18"/>
  <c r="D668" i="18"/>
  <c r="A668" i="18"/>
  <c r="D667" i="18"/>
  <c r="A667" i="18"/>
  <c r="D666" i="18"/>
  <c r="A666" i="18"/>
  <c r="D665" i="18"/>
  <c r="A665" i="18"/>
  <c r="D664" i="18"/>
  <c r="A664" i="18"/>
  <c r="D663" i="18"/>
  <c r="A663" i="18"/>
  <c r="D662" i="18"/>
  <c r="A662" i="18"/>
  <c r="A660" i="18"/>
  <c r="D660" i="18"/>
  <c r="D659" i="18"/>
  <c r="A659" i="18"/>
  <c r="D658" i="18"/>
  <c r="A658" i="18"/>
  <c r="D657" i="18"/>
  <c r="A657" i="18"/>
  <c r="D652" i="18"/>
  <c r="A652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D576" i="18"/>
  <c r="D577" i="18"/>
  <c r="D578" i="18"/>
  <c r="D579" i="18"/>
  <c r="D580" i="18"/>
  <c r="D581" i="18"/>
  <c r="D582" i="18"/>
  <c r="D583" i="18"/>
  <c r="D584" i="18"/>
  <c r="D585" i="18"/>
  <c r="D586" i="18"/>
  <c r="D587" i="18"/>
  <c r="D588" i="18"/>
  <c r="D589" i="18"/>
  <c r="D590" i="18"/>
  <c r="D591" i="18"/>
  <c r="D592" i="18"/>
  <c r="D593" i="18"/>
  <c r="D594" i="18"/>
  <c r="D595" i="18"/>
  <c r="D596" i="18"/>
  <c r="D597" i="18"/>
  <c r="D598" i="18"/>
  <c r="D599" i="18"/>
  <c r="D600" i="18"/>
  <c r="D601" i="18"/>
  <c r="D602" i="18"/>
  <c r="D603" i="18"/>
  <c r="D604" i="18"/>
  <c r="D605" i="18"/>
  <c r="D606" i="18"/>
  <c r="D607" i="18"/>
  <c r="D608" i="18"/>
  <c r="D609" i="18"/>
  <c r="D610" i="18"/>
  <c r="D611" i="18"/>
  <c r="D612" i="18"/>
  <c r="D613" i="18"/>
  <c r="D614" i="18"/>
  <c r="D615" i="18"/>
  <c r="D616" i="18"/>
  <c r="D617" i="18"/>
  <c r="D618" i="18"/>
  <c r="D619" i="18"/>
  <c r="D620" i="18"/>
  <c r="D621" i="18"/>
  <c r="D622" i="18"/>
  <c r="D623" i="18"/>
  <c r="D624" i="18"/>
  <c r="D625" i="18"/>
  <c r="D626" i="18"/>
  <c r="D627" i="18"/>
  <c r="D628" i="18"/>
  <c r="D629" i="18"/>
  <c r="D630" i="18"/>
  <c r="D631" i="18"/>
  <c r="D632" i="18"/>
  <c r="D633" i="18"/>
  <c r="D634" i="18"/>
  <c r="D635" i="18"/>
  <c r="D636" i="18"/>
  <c r="D637" i="18"/>
  <c r="D638" i="18"/>
  <c r="D639" i="18"/>
  <c r="D640" i="18"/>
  <c r="D641" i="18"/>
  <c r="D642" i="18"/>
  <c r="D643" i="18"/>
  <c r="D644" i="18"/>
  <c r="D645" i="18"/>
  <c r="D646" i="18"/>
  <c r="D647" i="18"/>
  <c r="D648" i="18"/>
  <c r="D649" i="18"/>
  <c r="D650" i="18"/>
  <c r="D651" i="18"/>
  <c r="D654" i="18"/>
  <c r="D656" i="18"/>
  <c r="D661" i="18"/>
  <c r="D653" i="18"/>
  <c r="D655" i="18"/>
  <c r="A654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26" i="18"/>
  <c r="A627" i="18"/>
  <c r="A628" i="18"/>
  <c r="A629" i="18"/>
  <c r="A625" i="18"/>
  <c r="A651" i="18"/>
  <c r="A653" i="18"/>
  <c r="A655" i="18"/>
  <c r="A650" i="18"/>
  <c r="A623" i="18"/>
  <c r="A624" i="18"/>
  <c r="A622" i="18"/>
  <c r="A613" i="18"/>
  <c r="A614" i="18"/>
  <c r="A615" i="18"/>
  <c r="A616" i="18"/>
  <c r="A617" i="18"/>
  <c r="A618" i="18"/>
  <c r="A619" i="18"/>
  <c r="A620" i="18"/>
  <c r="A612" i="18" l="1"/>
  <c r="A621" i="18"/>
  <c r="A630" i="18"/>
  <c r="A656" i="18"/>
  <c r="A661" i="18"/>
  <c r="A16" i="8" l="1"/>
  <c r="A15" i="8"/>
  <c r="A14" i="8"/>
  <c r="A62" i="7"/>
  <c r="A53" i="7"/>
  <c r="A32" i="7"/>
  <c r="A542" i="18" l="1"/>
  <c r="A543" i="18"/>
  <c r="I293" i="18"/>
  <c r="I292" i="18"/>
  <c r="A102" i="20"/>
  <c r="D102" i="20"/>
  <c r="A100" i="20"/>
  <c r="D100" i="20"/>
  <c r="A72" i="7" l="1"/>
  <c r="A73" i="7"/>
  <c r="A27" i="6"/>
  <c r="A28" i="6"/>
  <c r="A70" i="7" l="1"/>
  <c r="A71" i="7"/>
  <c r="D59" i="21"/>
  <c r="A58" i="21"/>
  <c r="D58" i="21"/>
  <c r="F57" i="21"/>
  <c r="F56" i="21"/>
  <c r="D56" i="21"/>
  <c r="F55" i="21"/>
  <c r="A69" i="7" l="1"/>
  <c r="A105" i="20"/>
  <c r="D105" i="20"/>
  <c r="A106" i="20"/>
  <c r="D106" i="20"/>
  <c r="A107" i="20"/>
  <c r="D101" i="20"/>
  <c r="A68" i="7"/>
  <c r="A67" i="7"/>
  <c r="A66" i="7"/>
  <c r="A65" i="7"/>
  <c r="A61" i="7"/>
  <c r="A60" i="7"/>
  <c r="A55" i="7"/>
  <c r="A54" i="7"/>
  <c r="A51" i="7"/>
  <c r="A50" i="7"/>
  <c r="A49" i="7"/>
  <c r="A47" i="7"/>
  <c r="A46" i="7"/>
  <c r="A40" i="7"/>
  <c r="A39" i="7"/>
  <c r="A37" i="7"/>
  <c r="A36" i="7"/>
  <c r="A25" i="7"/>
  <c r="A24" i="7"/>
  <c r="A17" i="7"/>
  <c r="A14" i="7"/>
  <c r="A611" i="18" l="1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7" i="18"/>
  <c r="A578" i="18"/>
  <c r="D238" i="19"/>
  <c r="A237" i="19"/>
  <c r="D237" i="19"/>
  <c r="F237" i="19"/>
  <c r="A236" i="19"/>
  <c r="D236" i="19"/>
  <c r="F236" i="19"/>
  <c r="A235" i="19"/>
  <c r="D235" i="19"/>
  <c r="F235" i="19"/>
  <c r="D234" i="19"/>
  <c r="F233" i="19"/>
  <c r="D233" i="19"/>
  <c r="A233" i="19"/>
  <c r="F232" i="19"/>
  <c r="D232" i="19"/>
  <c r="A232" i="19"/>
  <c r="A231" i="19"/>
  <c r="D231" i="19"/>
  <c r="F231" i="19"/>
  <c r="A230" i="19"/>
  <c r="D230" i="19"/>
  <c r="F230" i="19"/>
  <c r="A229" i="19"/>
  <c r="D229" i="19"/>
  <c r="F229" i="19"/>
  <c r="A228" i="19"/>
  <c r="D228" i="19"/>
  <c r="F228" i="19"/>
  <c r="A227" i="19"/>
  <c r="D227" i="19"/>
  <c r="F227" i="19"/>
  <c r="A226" i="19"/>
  <c r="D226" i="19"/>
  <c r="F226" i="19"/>
  <c r="A225" i="19"/>
  <c r="D225" i="19"/>
  <c r="F225" i="19"/>
  <c r="D224" i="19"/>
  <c r="D223" i="19"/>
  <c r="A222" i="19" l="1"/>
  <c r="D222" i="19"/>
  <c r="F222" i="19"/>
  <c r="A221" i="19"/>
  <c r="D221" i="19"/>
  <c r="F221" i="19"/>
  <c r="A220" i="19"/>
  <c r="D220" i="19"/>
  <c r="F220" i="19"/>
  <c r="A219" i="19"/>
  <c r="D219" i="19"/>
  <c r="F219" i="19"/>
  <c r="D218" i="19"/>
  <c r="A217" i="19"/>
  <c r="D217" i="19"/>
  <c r="F217" i="19"/>
  <c r="D216" i="19"/>
  <c r="F215" i="19"/>
  <c r="D215" i="19"/>
  <c r="D214" i="19"/>
  <c r="F214" i="19"/>
  <c r="D213" i="19"/>
  <c r="D96" i="20"/>
  <c r="D97" i="20"/>
  <c r="D87" i="20"/>
  <c r="D88" i="20"/>
  <c r="D89" i="20"/>
  <c r="D90" i="20"/>
  <c r="D91" i="20"/>
  <c r="D92" i="20"/>
  <c r="D93" i="20"/>
  <c r="D94" i="20"/>
  <c r="D95" i="20"/>
  <c r="D98" i="20"/>
  <c r="D99" i="20"/>
  <c r="D103" i="20"/>
  <c r="D104" i="20"/>
  <c r="F54" i="21"/>
  <c r="A549" i="18" l="1"/>
  <c r="A548" i="18"/>
  <c r="A546" i="18"/>
  <c r="A547" i="18"/>
  <c r="A550" i="18"/>
  <c r="A551" i="18"/>
  <c r="A552" i="18"/>
  <c r="A553" i="18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D515" i="18"/>
  <c r="D516" i="18"/>
  <c r="D517" i="18"/>
  <c r="D514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4" i="18"/>
  <c r="A545" i="18"/>
  <c r="A572" i="18"/>
  <c r="A573" i="18"/>
  <c r="A574" i="18"/>
  <c r="A575" i="18"/>
  <c r="A576" i="18"/>
  <c r="A203" i="19"/>
  <c r="D203" i="19"/>
  <c r="F203" i="19"/>
  <c r="A204" i="19"/>
  <c r="D204" i="19"/>
  <c r="F204" i="19"/>
  <c r="D199" i="19" l="1"/>
  <c r="D200" i="19"/>
  <c r="D201" i="19"/>
  <c r="D202" i="19"/>
  <c r="D205" i="19"/>
  <c r="D206" i="19"/>
  <c r="D207" i="19"/>
  <c r="D208" i="19"/>
  <c r="D209" i="19"/>
  <c r="D210" i="19"/>
  <c r="D211" i="19"/>
  <c r="D212" i="19"/>
  <c r="D198" i="19"/>
  <c r="A64" i="6" l="1"/>
  <c r="A59" i="6"/>
  <c r="A40" i="6"/>
  <c r="A39" i="6"/>
  <c r="A56" i="6"/>
  <c r="A55" i="6"/>
  <c r="A54" i="6"/>
  <c r="A30" i="6"/>
  <c r="A31" i="6"/>
  <c r="A26" i="6"/>
  <c r="A23" i="6"/>
  <c r="A24" i="6"/>
  <c r="A21" i="6"/>
  <c r="A19" i="6"/>
  <c r="A18" i="6"/>
  <c r="A17" i="6"/>
  <c r="A16" i="6"/>
  <c r="A14" i="6"/>
  <c r="A19" i="13"/>
  <c r="A27" i="5"/>
  <c r="A14" i="19" l="1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8" i="19"/>
  <c r="A223" i="19"/>
  <c r="A224" i="19"/>
  <c r="A234" i="19"/>
  <c r="A238" i="19"/>
  <c r="A239" i="19"/>
  <c r="A240" i="19"/>
  <c r="A274" i="19"/>
  <c r="A275" i="19"/>
  <c r="A276" i="19"/>
  <c r="A277" i="19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690" i="18"/>
  <c r="A691" i="18"/>
  <c r="A692" i="18"/>
  <c r="F51" i="21"/>
  <c r="F52" i="21"/>
  <c r="F53" i="21"/>
  <c r="A88" i="20"/>
  <c r="A86" i="20"/>
  <c r="D86" i="20"/>
  <c r="A87" i="20"/>
  <c r="A83" i="20"/>
  <c r="D83" i="20"/>
  <c r="A82" i="5" l="1"/>
  <c r="A83" i="5"/>
  <c r="A78" i="5" l="1"/>
  <c r="A79" i="5"/>
  <c r="A74" i="5"/>
  <c r="A75" i="5"/>
  <c r="A54" i="5"/>
  <c r="A55" i="5"/>
  <c r="A21" i="5"/>
  <c r="A22" i="5"/>
  <c r="A19" i="5"/>
  <c r="A20" i="5"/>
  <c r="A89" i="5"/>
  <c r="A90" i="5"/>
  <c r="F192" i="19"/>
  <c r="F191" i="19"/>
  <c r="F197" i="19"/>
  <c r="D176" i="19" l="1"/>
  <c r="D471" i="18" l="1"/>
  <c r="A470" i="18"/>
  <c r="D470" i="18"/>
  <c r="A469" i="18"/>
  <c r="D469" i="18"/>
  <c r="A468" i="18"/>
  <c r="D468" i="18"/>
  <c r="A467" i="18"/>
  <c r="D467" i="18"/>
  <c r="A466" i="18"/>
  <c r="D466" i="18"/>
  <c r="A465" i="18"/>
  <c r="D465" i="18"/>
  <c r="A464" i="18"/>
  <c r="D464" i="18"/>
  <c r="A463" i="18"/>
  <c r="D463" i="18"/>
  <c r="A462" i="18"/>
  <c r="D462" i="18"/>
  <c r="A61" i="5" l="1"/>
  <c r="A29" i="5"/>
  <c r="A26" i="5"/>
  <c r="A88" i="5"/>
  <c r="A87" i="5"/>
  <c r="A85" i="5"/>
  <c r="A81" i="5"/>
  <c r="A77" i="5"/>
  <c r="A73" i="5"/>
  <c r="A72" i="5"/>
  <c r="A70" i="5"/>
  <c r="A68" i="5"/>
  <c r="A66" i="5"/>
  <c r="A64" i="5"/>
  <c r="A59" i="5"/>
  <c r="A57" i="5"/>
  <c r="A46" i="5"/>
  <c r="A44" i="5"/>
  <c r="A43" i="5"/>
  <c r="A42" i="5"/>
  <c r="A36" i="5"/>
  <c r="A34" i="5"/>
  <c r="A24" i="5"/>
  <c r="A18" i="5"/>
  <c r="A17" i="5"/>
  <c r="A16" i="5"/>
  <c r="A14" i="5"/>
  <c r="A80" i="13"/>
  <c r="K90" i="14" l="1"/>
  <c r="J90" i="14"/>
  <c r="L83" i="13" l="1"/>
  <c r="A27" i="13" l="1"/>
  <c r="A69" i="13"/>
  <c r="A70" i="13"/>
  <c r="A83" i="13"/>
  <c r="A84" i="13"/>
  <c r="A85" i="13"/>
  <c r="C88" i="14"/>
  <c r="A16" i="14" l="1"/>
  <c r="A15" i="14"/>
  <c r="A73" i="14" l="1"/>
  <c r="A74" i="14"/>
  <c r="A67" i="14"/>
  <c r="F13" i="21" l="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12" i="21"/>
  <c r="D175" i="19"/>
  <c r="D174" i="19"/>
  <c r="F174" i="19"/>
  <c r="D173" i="19"/>
  <c r="D172" i="19"/>
  <c r="D171" i="19"/>
  <c r="F171" i="19"/>
  <c r="F170" i="19"/>
  <c r="D170" i="19"/>
  <c r="D169" i="19"/>
  <c r="D168" i="19"/>
  <c r="D160" i="19"/>
  <c r="F160" i="19"/>
  <c r="D161" i="19"/>
  <c r="F161" i="19"/>
  <c r="D162" i="19"/>
  <c r="F162" i="19"/>
  <c r="D159" i="19"/>
  <c r="D163" i="19"/>
  <c r="D164" i="19"/>
  <c r="D165" i="19"/>
  <c r="D166" i="19"/>
  <c r="D167" i="19"/>
  <c r="A83" i="14" l="1"/>
  <c r="A84" i="14"/>
  <c r="A54" i="14"/>
  <c r="A55" i="14"/>
  <c r="A78" i="14" l="1"/>
  <c r="A79" i="14"/>
  <c r="D158" i="19"/>
  <c r="A461" i="18"/>
  <c r="D461" i="18"/>
  <c r="A460" i="18"/>
  <c r="D460" i="18"/>
  <c r="A459" i="18"/>
  <c r="D459" i="18"/>
  <c r="A458" i="18"/>
  <c r="D458" i="18"/>
  <c r="A457" i="18"/>
  <c r="D457" i="18"/>
  <c r="A456" i="18"/>
  <c r="D456" i="18"/>
  <c r="A450" i="18"/>
  <c r="A451" i="18"/>
  <c r="A452" i="18"/>
  <c r="A453" i="18"/>
  <c r="A454" i="18"/>
  <c r="A455" i="18"/>
  <c r="D453" i="18"/>
  <c r="D452" i="18"/>
  <c r="D451" i="18"/>
  <c r="D450" i="18"/>
  <c r="D445" i="18"/>
  <c r="A445" i="18"/>
  <c r="A444" i="18"/>
  <c r="D444" i="18"/>
  <c r="A446" i="18"/>
  <c r="D446" i="18"/>
  <c r="A447" i="18"/>
  <c r="D447" i="18"/>
  <c r="A448" i="18"/>
  <c r="D448" i="18"/>
  <c r="A449" i="18"/>
  <c r="D449" i="18"/>
  <c r="D433" i="18"/>
  <c r="D434" i="18"/>
  <c r="D435" i="18"/>
  <c r="D436" i="18"/>
  <c r="D437" i="18"/>
  <c r="D438" i="18"/>
  <c r="D439" i="18"/>
  <c r="D440" i="18"/>
  <c r="D441" i="18"/>
  <c r="D442" i="18"/>
  <c r="D443" i="18"/>
  <c r="D454" i="18"/>
  <c r="D455" i="18"/>
  <c r="A433" i="18"/>
  <c r="A434" i="18"/>
  <c r="A435" i="18"/>
  <c r="A436" i="18"/>
  <c r="A437" i="18"/>
  <c r="A438" i="18"/>
  <c r="A439" i="18"/>
  <c r="A440" i="18"/>
  <c r="A441" i="18"/>
  <c r="A442" i="18"/>
  <c r="A443" i="18"/>
  <c r="D428" i="18"/>
  <c r="D429" i="18"/>
  <c r="D430" i="18"/>
  <c r="D431" i="18"/>
  <c r="D432" i="18"/>
  <c r="D426" i="18"/>
  <c r="D427" i="18"/>
  <c r="D424" i="18"/>
  <c r="D425" i="18"/>
  <c r="A72" i="14" l="1"/>
  <c r="A86" i="14"/>
  <c r="A87" i="14"/>
  <c r="A80" i="14"/>
  <c r="A53" i="14"/>
  <c r="A51" i="14"/>
  <c r="A41" i="14"/>
  <c r="A82" i="14"/>
  <c r="A70" i="14"/>
  <c r="A69" i="14"/>
  <c r="A66" i="14"/>
  <c r="A65" i="14"/>
  <c r="A60" i="14"/>
  <c r="A58" i="14"/>
  <c r="A52" i="14"/>
  <c r="A28" i="14"/>
  <c r="A27" i="14"/>
  <c r="A26" i="14"/>
  <c r="A23" i="14"/>
  <c r="A20" i="14"/>
  <c r="A21" i="14"/>
  <c r="A19" i="14"/>
  <c r="A17" i="14"/>
  <c r="A18" i="14"/>
  <c r="A14" i="14"/>
  <c r="J85" i="11"/>
  <c r="A14" i="13" l="1"/>
  <c r="A15" i="13"/>
  <c r="A16" i="13"/>
  <c r="A17" i="13"/>
  <c r="A18" i="13"/>
  <c r="A20" i="13"/>
  <c r="A21" i="13"/>
  <c r="A22" i="13"/>
  <c r="A23" i="13"/>
  <c r="A24" i="13"/>
  <c r="A25" i="13"/>
  <c r="A26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71" i="13"/>
  <c r="A72" i="13"/>
  <c r="A73" i="13"/>
  <c r="A74" i="13"/>
  <c r="A75" i="13"/>
  <c r="A76" i="13"/>
  <c r="A77" i="13"/>
  <c r="A78" i="13"/>
  <c r="A79" i="13"/>
  <c r="A81" i="13"/>
  <c r="A82" i="13"/>
  <c r="A43" i="13"/>
  <c r="A65" i="20"/>
  <c r="D65" i="20"/>
  <c r="A66" i="20"/>
  <c r="D66" i="20"/>
  <c r="A67" i="20"/>
  <c r="D67" i="20"/>
  <c r="V61" i="10" l="1"/>
  <c r="W61" i="10" s="1"/>
  <c r="X61" i="10" s="1"/>
  <c r="Q61" i="10"/>
  <c r="R61" i="10" s="1"/>
  <c r="S61" i="10" s="1"/>
  <c r="D157" i="19" l="1"/>
  <c r="D156" i="19"/>
  <c r="D154" i="19"/>
  <c r="D155" i="19"/>
  <c r="F153" i="19"/>
  <c r="D153" i="19"/>
  <c r="D151" i="19"/>
  <c r="D150" i="19"/>
  <c r="D149" i="19"/>
  <c r="D148" i="19"/>
  <c r="D146" i="19"/>
  <c r="F146" i="19"/>
  <c r="D147" i="19"/>
  <c r="F147" i="19"/>
  <c r="D145" i="19"/>
  <c r="F145" i="19"/>
  <c r="F148" i="19"/>
  <c r="F149" i="19"/>
  <c r="F150" i="19"/>
  <c r="F151" i="19"/>
  <c r="F152" i="19"/>
  <c r="F154" i="19"/>
  <c r="F155" i="19"/>
  <c r="F156" i="19"/>
  <c r="F157" i="19"/>
  <c r="F158" i="19"/>
  <c r="F159" i="19"/>
  <c r="F163" i="19"/>
  <c r="F164" i="19"/>
  <c r="F165" i="19"/>
  <c r="F166" i="19"/>
  <c r="F167" i="19"/>
  <c r="F168" i="19"/>
  <c r="F169" i="19"/>
  <c r="F172" i="19"/>
  <c r="F173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3" i="19"/>
  <c r="F194" i="19"/>
  <c r="F195" i="19"/>
  <c r="F196" i="19"/>
  <c r="F198" i="19"/>
  <c r="F199" i="19"/>
  <c r="F200" i="19"/>
  <c r="F201" i="19"/>
  <c r="F202" i="19"/>
  <c r="F205" i="19"/>
  <c r="F206" i="19"/>
  <c r="F207" i="19"/>
  <c r="F208" i="19"/>
  <c r="F209" i="19"/>
  <c r="F210" i="19"/>
  <c r="F211" i="19"/>
  <c r="F212" i="19"/>
  <c r="F213" i="19"/>
  <c r="F216" i="19"/>
  <c r="F218" i="19"/>
  <c r="F223" i="19"/>
  <c r="F224" i="19"/>
  <c r="F234" i="19"/>
  <c r="F238" i="19"/>
  <c r="F239" i="19"/>
  <c r="F240" i="19"/>
  <c r="F274" i="19"/>
  <c r="F144" i="19"/>
  <c r="D144" i="19"/>
  <c r="K274" i="19"/>
  <c r="A388" i="18" l="1"/>
  <c r="D388" i="18"/>
  <c r="A389" i="18"/>
  <c r="D389" i="18"/>
  <c r="D422" i="18"/>
  <c r="D421" i="18"/>
  <c r="D419" i="18"/>
  <c r="D418" i="18"/>
  <c r="D417" i="18"/>
  <c r="D416" i="18"/>
  <c r="D415" i="18"/>
  <c r="D414" i="18"/>
  <c r="D413" i="18"/>
  <c r="D420" i="18"/>
  <c r="D423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D412" i="18"/>
  <c r="D411" i="18"/>
  <c r="D408" i="18"/>
  <c r="D409" i="18"/>
  <c r="D410" i="18"/>
  <c r="D405" i="18"/>
  <c r="D406" i="18"/>
  <c r="D407" i="18"/>
  <c r="A403" i="18"/>
  <c r="D403" i="18"/>
  <c r="A404" i="18"/>
  <c r="D404" i="18"/>
  <c r="D400" i="18"/>
  <c r="D401" i="18"/>
  <c r="D402" i="18"/>
  <c r="D398" i="18"/>
  <c r="D399" i="18"/>
  <c r="A395" i="18"/>
  <c r="A396" i="18"/>
  <c r="A397" i="18"/>
  <c r="A398" i="18"/>
  <c r="A399" i="18"/>
  <c r="A400" i="18"/>
  <c r="A401" i="18"/>
  <c r="A402" i="18"/>
  <c r="A405" i="18"/>
  <c r="A406" i="18"/>
  <c r="A407" i="18"/>
  <c r="A408" i="18"/>
  <c r="A409" i="18"/>
  <c r="A410" i="18"/>
  <c r="A411" i="18"/>
  <c r="A412" i="18"/>
  <c r="A367" i="18"/>
  <c r="D367" i="18"/>
  <c r="A368" i="18"/>
  <c r="D368" i="18"/>
  <c r="D395" i="18"/>
  <c r="D396" i="18"/>
  <c r="A394" i="18"/>
  <c r="A393" i="18"/>
  <c r="A392" i="18"/>
  <c r="D384" i="18"/>
  <c r="D385" i="18"/>
  <c r="D386" i="18"/>
  <c r="D387" i="18"/>
  <c r="D390" i="18"/>
  <c r="D391" i="18"/>
  <c r="D392" i="18"/>
  <c r="D393" i="18"/>
  <c r="D394" i="18"/>
  <c r="D397" i="18"/>
  <c r="D380" i="18"/>
  <c r="D374" i="18"/>
  <c r="D375" i="18"/>
  <c r="D376" i="18"/>
  <c r="D377" i="18"/>
  <c r="D378" i="18"/>
  <c r="D372" i="18"/>
  <c r="D364" i="18"/>
  <c r="A292" i="18" l="1"/>
  <c r="D292" i="18"/>
  <c r="A293" i="18"/>
  <c r="D293" i="18"/>
  <c r="A355" i="18"/>
  <c r="D355" i="18"/>
  <c r="A356" i="18"/>
  <c r="D356" i="18"/>
  <c r="C82" i="13" l="1"/>
  <c r="C81" i="13"/>
  <c r="D45" i="21" l="1"/>
  <c r="D46" i="21"/>
  <c r="D47" i="21"/>
  <c r="J12" i="18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290" i="18" s="1"/>
  <c r="J291" i="18" s="1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7" i="18"/>
  <c r="D358" i="18"/>
  <c r="D359" i="18"/>
  <c r="D360" i="18"/>
  <c r="D361" i="18"/>
  <c r="D362" i="18"/>
  <c r="D363" i="18"/>
  <c r="D365" i="18"/>
  <c r="D366" i="18"/>
  <c r="D369" i="18"/>
  <c r="D370" i="18"/>
  <c r="D371" i="18"/>
  <c r="D373" i="18"/>
  <c r="D379" i="18"/>
  <c r="D381" i="18"/>
  <c r="D382" i="18"/>
  <c r="D383" i="18"/>
  <c r="D12" i="18"/>
  <c r="K12" i="19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12" i="2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8" i="21"/>
  <c r="D49" i="21"/>
  <c r="D50" i="21"/>
  <c r="D51" i="21"/>
  <c r="D52" i="21"/>
  <c r="D53" i="21"/>
  <c r="D54" i="21"/>
  <c r="D55" i="21"/>
  <c r="D57" i="21"/>
  <c r="D12" i="21"/>
  <c r="J12" i="20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4" i="20"/>
  <c r="D85" i="20"/>
  <c r="D12" i="20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7" i="18"/>
  <c r="A358" i="18"/>
  <c r="A359" i="18"/>
  <c r="A360" i="18"/>
  <c r="A361" i="18"/>
  <c r="A362" i="18"/>
  <c r="A363" i="18"/>
  <c r="A364" i="18"/>
  <c r="A365" i="18"/>
  <c r="A366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90" i="18"/>
  <c r="A391" i="18"/>
  <c r="A95" i="12"/>
  <c r="A96" i="12"/>
  <c r="A97" i="12"/>
  <c r="J108" i="20" l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K111" i="19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M110" i="19"/>
  <c r="J372" i="18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L297" i="18"/>
  <c r="F143" i="19"/>
  <c r="F142" i="19"/>
  <c r="D142" i="19"/>
  <c r="D141" i="19"/>
  <c r="F141" i="19"/>
  <c r="D139" i="19"/>
  <c r="F139" i="19"/>
  <c r="D140" i="19"/>
  <c r="F140" i="19"/>
  <c r="D136" i="19"/>
  <c r="F136" i="19"/>
  <c r="F132" i="19"/>
  <c r="F133" i="19"/>
  <c r="F134" i="19"/>
  <c r="F135" i="19"/>
  <c r="F137" i="19"/>
  <c r="F138" i="19"/>
  <c r="D135" i="19"/>
  <c r="D132" i="19"/>
  <c r="D133" i="19"/>
  <c r="D131" i="19"/>
  <c r="F131" i="19"/>
  <c r="D130" i="19"/>
  <c r="F130" i="19"/>
  <c r="D129" i="19"/>
  <c r="F129" i="19"/>
  <c r="D128" i="19"/>
  <c r="F128" i="19"/>
  <c r="D127" i="19"/>
  <c r="F127" i="19"/>
  <c r="D126" i="19"/>
  <c r="F126" i="19"/>
  <c r="D125" i="19"/>
  <c r="F125" i="19"/>
  <c r="D124" i="19"/>
  <c r="F124" i="19"/>
  <c r="F122" i="19"/>
  <c r="F123" i="19"/>
  <c r="D121" i="19"/>
  <c r="D120" i="19"/>
  <c r="F120" i="19"/>
  <c r="D119" i="19"/>
  <c r="F119" i="19"/>
  <c r="D118" i="19"/>
  <c r="F118" i="19"/>
  <c r="D117" i="19"/>
  <c r="F117" i="19"/>
  <c r="F115" i="19"/>
  <c r="F116" i="19"/>
  <c r="F121" i="19"/>
  <c r="F114" i="19"/>
  <c r="F113" i="19"/>
  <c r="F112" i="19"/>
  <c r="F111" i="19"/>
  <c r="J521" i="18" l="1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543" i="18" s="1"/>
  <c r="J544" i="18" s="1"/>
  <c r="J545" i="18" s="1"/>
  <c r="J546" i="18" s="1"/>
  <c r="J547" i="18" s="1"/>
  <c r="K195" i="19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A15" i="11"/>
  <c r="A16" i="11"/>
  <c r="A17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K240" i="19" l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K270" i="19" s="1"/>
  <c r="K271" i="19" s="1"/>
  <c r="K272" i="19" s="1"/>
  <c r="K273" i="19" s="1"/>
  <c r="J548" i="18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K82" i="11"/>
  <c r="J612" i="18" l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L102" i="10"/>
  <c r="J629" i="18" l="1"/>
  <c r="J630" i="18" s="1"/>
  <c r="Q100" i="10"/>
  <c r="R100" i="10" s="1"/>
  <c r="S100" i="10" s="1"/>
  <c r="V100" i="10"/>
  <c r="W100" i="10" s="1"/>
  <c r="X100" i="10" s="1"/>
  <c r="J631" i="18" l="1"/>
  <c r="J632" i="18" s="1"/>
  <c r="J633" i="18" s="1"/>
  <c r="J634" i="18" s="1"/>
  <c r="J635" i="18" s="1"/>
  <c r="J636" i="18" s="1"/>
  <c r="J637" i="18" s="1"/>
  <c r="J638" i="18" s="1"/>
  <c r="J639" i="18" s="1"/>
  <c r="J640" i="18" s="1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673" i="18" s="1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J688" i="18" s="1"/>
  <c r="J689" i="18" s="1"/>
  <c r="A250" i="18"/>
  <c r="A251" i="18"/>
  <c r="A252" i="18"/>
  <c r="A253" i="18"/>
  <c r="A254" i="18"/>
  <c r="A255" i="18"/>
  <c r="A256" i="18"/>
  <c r="A236" i="18"/>
  <c r="F110" i="19" l="1"/>
  <c r="D110" i="19"/>
  <c r="F109" i="19"/>
  <c r="D109" i="19"/>
  <c r="D108" i="19"/>
  <c r="F108" i="19"/>
  <c r="D107" i="19"/>
  <c r="F107" i="19"/>
  <c r="D105" i="19"/>
  <c r="F105" i="19"/>
  <c r="D106" i="19" l="1"/>
  <c r="F106" i="19"/>
  <c r="D102" i="19"/>
  <c r="F102" i="19"/>
  <c r="D104" i="19"/>
  <c r="F104" i="19"/>
  <c r="D97" i="19"/>
  <c r="D98" i="19"/>
  <c r="D99" i="19"/>
  <c r="D100" i="19"/>
  <c r="D101" i="19"/>
  <c r="D103" i="19"/>
  <c r="D111" i="19"/>
  <c r="F101" i="19"/>
  <c r="F100" i="19"/>
  <c r="F103" i="19"/>
  <c r="F97" i="19"/>
  <c r="D96" i="19"/>
  <c r="F96" i="19" l="1"/>
  <c r="F98" i="19"/>
  <c r="F99" i="19"/>
  <c r="K31" i="11" l="1"/>
  <c r="K30" i="11"/>
  <c r="A14" i="11" l="1"/>
  <c r="J104" i="10" l="1"/>
  <c r="A13" i="10"/>
  <c r="K81" i="10"/>
  <c r="K80" i="10"/>
  <c r="K31" i="10"/>
  <c r="K30" i="10"/>
  <c r="K45" i="10"/>
  <c r="K44" i="10"/>
  <c r="K14" i="10"/>
  <c r="K13" i="10"/>
  <c r="K104" i="10" l="1"/>
  <c r="Q99" i="10" l="1"/>
  <c r="R99" i="10" s="1"/>
  <c r="S99" i="10" s="1"/>
  <c r="V99" i="10"/>
  <c r="W99" i="10" s="1"/>
  <c r="X99" i="10" s="1"/>
  <c r="Q95" i="10"/>
  <c r="R95" i="10" s="1"/>
  <c r="S95" i="10" s="1"/>
  <c r="V95" i="10"/>
  <c r="W95" i="10" s="1"/>
  <c r="X95" i="10" s="1"/>
  <c r="Q96" i="10"/>
  <c r="R96" i="10" s="1"/>
  <c r="S96" i="10" s="1"/>
  <c r="V96" i="10"/>
  <c r="W96" i="10" s="1"/>
  <c r="X96" i="10" s="1"/>
  <c r="Q97" i="10"/>
  <c r="R97" i="10" s="1"/>
  <c r="S97" i="10" s="1"/>
  <c r="V97" i="10"/>
  <c r="W97" i="10" s="1"/>
  <c r="X97" i="10" s="1"/>
  <c r="Q98" i="10"/>
  <c r="R98" i="10" s="1"/>
  <c r="S98" i="10" s="1"/>
  <c r="V98" i="10"/>
  <c r="W98" i="10" s="1"/>
  <c r="X98" i="10" s="1"/>
  <c r="K143" i="10" l="1"/>
  <c r="V92" i="10"/>
  <c r="W92" i="10" s="1"/>
  <c r="X92" i="10" s="1"/>
  <c r="V93" i="10"/>
  <c r="W93" i="10" s="1"/>
  <c r="X93" i="10" s="1"/>
  <c r="V94" i="10"/>
  <c r="W94" i="10" s="1"/>
  <c r="X94" i="10" s="1"/>
  <c r="V101" i="10"/>
  <c r="W101" i="10" s="1"/>
  <c r="X101" i="10" s="1"/>
  <c r="V78" i="10"/>
  <c r="W78" i="10" s="1"/>
  <c r="X78" i="10" s="1"/>
  <c r="V34" i="10"/>
  <c r="W34" i="10" s="1"/>
  <c r="X34" i="10" s="1"/>
  <c r="V35" i="10"/>
  <c r="W35" i="10" s="1"/>
  <c r="X35" i="10" s="1"/>
  <c r="V79" i="10"/>
  <c r="W79" i="10" s="1"/>
  <c r="X79" i="10" s="1"/>
  <c r="V102" i="10"/>
  <c r="W102" i="10" s="1"/>
  <c r="X102" i="10" s="1"/>
  <c r="V103" i="10"/>
  <c r="W103" i="10" s="1"/>
  <c r="X103" i="10" s="1"/>
  <c r="V104" i="10"/>
  <c r="W104" i="10" s="1"/>
  <c r="X104" i="10" s="1"/>
  <c r="V91" i="10"/>
  <c r="W91" i="10" s="1"/>
  <c r="X91" i="10" s="1"/>
  <c r="R131" i="10"/>
  <c r="S131" i="10" s="1"/>
  <c r="Q109" i="10"/>
  <c r="R109" i="10" s="1"/>
  <c r="S109" i="10" s="1"/>
  <c r="Q110" i="10"/>
  <c r="R110" i="10" s="1"/>
  <c r="S110" i="10" s="1"/>
  <c r="Q111" i="10"/>
  <c r="R111" i="10" s="1"/>
  <c r="S111" i="10" s="1"/>
  <c r="Q112" i="10"/>
  <c r="R112" i="10" s="1"/>
  <c r="S112" i="10" s="1"/>
  <c r="Q118" i="10"/>
  <c r="R118" i="10" s="1"/>
  <c r="S118" i="10" s="1"/>
  <c r="Q119" i="10"/>
  <c r="R119" i="10" s="1"/>
  <c r="S119" i="10" s="1"/>
  <c r="Q120" i="10"/>
  <c r="R120" i="10" s="1"/>
  <c r="S120" i="10" s="1"/>
  <c r="Q121" i="10"/>
  <c r="R121" i="10" s="1"/>
  <c r="S121" i="10" s="1"/>
  <c r="Q122" i="10"/>
  <c r="R122" i="10" s="1"/>
  <c r="S122" i="10" s="1"/>
  <c r="Q123" i="10"/>
  <c r="R123" i="10" s="1"/>
  <c r="S123" i="10" s="1"/>
  <c r="Q124" i="10"/>
  <c r="R124" i="10" s="1"/>
  <c r="S124" i="10" s="1"/>
  <c r="Q125" i="10"/>
  <c r="R125" i="10" s="1"/>
  <c r="S125" i="10" s="1"/>
  <c r="Q126" i="10"/>
  <c r="R126" i="10" s="1"/>
  <c r="S126" i="10" s="1"/>
  <c r="Q127" i="10"/>
  <c r="R127" i="10" s="1"/>
  <c r="S127" i="10" s="1"/>
  <c r="Q128" i="10"/>
  <c r="R128" i="10" s="1"/>
  <c r="S128" i="10" s="1"/>
  <c r="Q129" i="10"/>
  <c r="R129" i="10" s="1"/>
  <c r="S129" i="10" s="1"/>
  <c r="Q130" i="10"/>
  <c r="R130" i="10" s="1"/>
  <c r="S130" i="10" s="1"/>
  <c r="Q108" i="10"/>
  <c r="R108" i="10" s="1"/>
  <c r="S108" i="10" s="1"/>
  <c r="Q92" i="10"/>
  <c r="R92" i="10" s="1"/>
  <c r="S92" i="10" s="1"/>
  <c r="Q93" i="10"/>
  <c r="R93" i="10" s="1"/>
  <c r="S93" i="10" s="1"/>
  <c r="Q94" i="10"/>
  <c r="R94" i="10" s="1"/>
  <c r="S94" i="10" s="1"/>
  <c r="Q101" i="10"/>
  <c r="R101" i="10" s="1"/>
  <c r="S101" i="10" s="1"/>
  <c r="Q78" i="10"/>
  <c r="R78" i="10" s="1"/>
  <c r="S78" i="10" s="1"/>
  <c r="Q34" i="10"/>
  <c r="R34" i="10" s="1"/>
  <c r="S34" i="10" s="1"/>
  <c r="Q35" i="10"/>
  <c r="R35" i="10" s="1"/>
  <c r="S35" i="10" s="1"/>
  <c r="Q79" i="10"/>
  <c r="R79" i="10" s="1"/>
  <c r="S79" i="10" s="1"/>
  <c r="Q102" i="10"/>
  <c r="R102" i="10" s="1"/>
  <c r="S102" i="10" s="1"/>
  <c r="Q103" i="10"/>
  <c r="R103" i="10" s="1"/>
  <c r="S103" i="10" s="1"/>
  <c r="Q104" i="10"/>
  <c r="R104" i="10" s="1"/>
  <c r="S104" i="10" s="1"/>
  <c r="Q105" i="10"/>
  <c r="R105" i="10" s="1"/>
  <c r="S105" i="10" s="1"/>
  <c r="Q106" i="10"/>
  <c r="R106" i="10" s="1"/>
  <c r="S106" i="10" s="1"/>
  <c r="Q107" i="10"/>
  <c r="R107" i="10" s="1"/>
  <c r="S107" i="10" s="1"/>
  <c r="Q91" i="10"/>
  <c r="R91" i="10" s="1"/>
  <c r="S91" i="10" s="1"/>
  <c r="G103" i="22"/>
  <c r="J83" i="9"/>
  <c r="K83" i="9"/>
  <c r="J109" i="3"/>
  <c r="K109" i="3"/>
  <c r="J81" i="4"/>
  <c r="K81" i="4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L11" i="18"/>
  <c r="H691" i="18"/>
  <c r="I691" i="18"/>
  <c r="M11" i="19"/>
  <c r="A12" i="19"/>
  <c r="D12" i="19"/>
  <c r="F12" i="19"/>
  <c r="A13" i="19"/>
  <c r="D13" i="19"/>
  <c r="F13" i="19"/>
  <c r="D14" i="19"/>
  <c r="F14" i="19"/>
  <c r="D15" i="19"/>
  <c r="F15" i="19"/>
  <c r="D16" i="19"/>
  <c r="F16" i="19"/>
  <c r="D17" i="19"/>
  <c r="F17" i="19"/>
  <c r="D18" i="19"/>
  <c r="F18" i="19"/>
  <c r="D19" i="19"/>
  <c r="F19" i="19"/>
  <c r="D20" i="19"/>
  <c r="F20" i="19"/>
  <c r="D21" i="19"/>
  <c r="F21" i="19"/>
  <c r="D22" i="19"/>
  <c r="F22" i="19"/>
  <c r="D23" i="19"/>
  <c r="F23" i="19"/>
  <c r="D24" i="19"/>
  <c r="F24" i="19"/>
  <c r="D25" i="19"/>
  <c r="F25" i="19"/>
  <c r="D26" i="19"/>
  <c r="F26" i="19"/>
  <c r="D27" i="19"/>
  <c r="F27" i="19"/>
  <c r="D28" i="19"/>
  <c r="F28" i="19"/>
  <c r="D29" i="19"/>
  <c r="F29" i="19"/>
  <c r="D30" i="19"/>
  <c r="F30" i="19"/>
  <c r="D31" i="19"/>
  <c r="F31" i="19"/>
  <c r="D32" i="19"/>
  <c r="F32" i="19"/>
  <c r="D33" i="19"/>
  <c r="F33" i="19"/>
  <c r="N33" i="19"/>
  <c r="D34" i="19"/>
  <c r="F34" i="19"/>
  <c r="D35" i="19"/>
  <c r="F35" i="19"/>
  <c r="D36" i="19"/>
  <c r="F36" i="19"/>
  <c r="D37" i="19"/>
  <c r="F37" i="19"/>
  <c r="D38" i="19"/>
  <c r="F38" i="19"/>
  <c r="D39" i="19"/>
  <c r="F39" i="19"/>
  <c r="D40" i="19"/>
  <c r="F40" i="19"/>
  <c r="D41" i="19"/>
  <c r="F41" i="19"/>
  <c r="D42" i="19"/>
  <c r="F42" i="19"/>
  <c r="D43" i="19"/>
  <c r="F43" i="19"/>
  <c r="D44" i="19"/>
  <c r="F44" i="19"/>
  <c r="D45" i="19"/>
  <c r="F45" i="19"/>
  <c r="D46" i="19"/>
  <c r="F46" i="19"/>
  <c r="D47" i="19"/>
  <c r="F47" i="19"/>
  <c r="D48" i="19"/>
  <c r="F48" i="19"/>
  <c r="D49" i="19"/>
  <c r="F49" i="19"/>
  <c r="D50" i="19"/>
  <c r="F50" i="19"/>
  <c r="D51" i="19"/>
  <c r="F51" i="19"/>
  <c r="D52" i="19"/>
  <c r="F52" i="19"/>
  <c r="D53" i="19"/>
  <c r="F53" i="19"/>
  <c r="D54" i="19"/>
  <c r="F54" i="19"/>
  <c r="D55" i="19"/>
  <c r="F55" i="19"/>
  <c r="D56" i="19"/>
  <c r="F56" i="19"/>
  <c r="D57" i="19"/>
  <c r="F57" i="19"/>
  <c r="D58" i="19"/>
  <c r="F58" i="19"/>
  <c r="D59" i="19"/>
  <c r="F59" i="19"/>
  <c r="D60" i="19"/>
  <c r="F60" i="19"/>
  <c r="D61" i="19"/>
  <c r="F61" i="19"/>
  <c r="D62" i="19"/>
  <c r="F62" i="19"/>
  <c r="D63" i="19"/>
  <c r="F63" i="19"/>
  <c r="D64" i="19"/>
  <c r="F64" i="19"/>
  <c r="D65" i="19"/>
  <c r="F65" i="19"/>
  <c r="D66" i="19"/>
  <c r="F66" i="19"/>
  <c r="D67" i="19"/>
  <c r="F67" i="19"/>
  <c r="D68" i="19"/>
  <c r="F68" i="19"/>
  <c r="D69" i="19"/>
  <c r="F69" i="19"/>
  <c r="D70" i="19"/>
  <c r="F70" i="19"/>
  <c r="D71" i="19"/>
  <c r="F71" i="19"/>
  <c r="D72" i="19"/>
  <c r="F72" i="19"/>
  <c r="D73" i="19"/>
  <c r="F73" i="19"/>
  <c r="D74" i="19"/>
  <c r="F74" i="19"/>
  <c r="D75" i="19"/>
  <c r="F75" i="19"/>
  <c r="D76" i="19"/>
  <c r="F76" i="19"/>
  <c r="D77" i="19"/>
  <c r="F77" i="19"/>
  <c r="D78" i="19"/>
  <c r="F78" i="19"/>
  <c r="D79" i="19"/>
  <c r="F79" i="19"/>
  <c r="D80" i="19"/>
  <c r="F80" i="19"/>
  <c r="D81" i="19"/>
  <c r="F81" i="19"/>
  <c r="D82" i="19"/>
  <c r="F82" i="19"/>
  <c r="D83" i="19"/>
  <c r="F83" i="19"/>
  <c r="D84" i="19"/>
  <c r="F84" i="19"/>
  <c r="D85" i="19"/>
  <c r="F85" i="19"/>
  <c r="D86" i="19"/>
  <c r="F86" i="19"/>
  <c r="D87" i="19"/>
  <c r="F87" i="19"/>
  <c r="D88" i="19"/>
  <c r="F88" i="19"/>
  <c r="D89" i="19"/>
  <c r="F89" i="19"/>
  <c r="D90" i="19"/>
  <c r="F90" i="19"/>
  <c r="D91" i="19"/>
  <c r="F91" i="19"/>
  <c r="D92" i="19"/>
  <c r="F92" i="19"/>
  <c r="D93" i="19"/>
  <c r="F93" i="19"/>
  <c r="D94" i="19"/>
  <c r="F94" i="19"/>
  <c r="D95" i="19"/>
  <c r="F95" i="19"/>
  <c r="D112" i="19"/>
  <c r="D113" i="19"/>
  <c r="D114" i="19"/>
  <c r="D115" i="19"/>
  <c r="D116" i="19"/>
  <c r="D122" i="19"/>
  <c r="D123" i="19"/>
  <c r="D134" i="19"/>
  <c r="D137" i="19"/>
  <c r="D138" i="19"/>
  <c r="D143" i="19"/>
  <c r="D274" i="19"/>
  <c r="I276" i="19"/>
  <c r="J276" i="19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4" i="20"/>
  <c r="A85" i="20"/>
  <c r="A89" i="20"/>
  <c r="A90" i="20"/>
  <c r="A91" i="20"/>
  <c r="A92" i="20"/>
  <c r="A93" i="20"/>
  <c r="A94" i="20"/>
  <c r="A95" i="20"/>
  <c r="A96" i="20"/>
  <c r="A97" i="20"/>
  <c r="A98" i="20"/>
  <c r="A99" i="20"/>
  <c r="A101" i="20"/>
  <c r="A103" i="20"/>
  <c r="A104" i="20"/>
  <c r="A108" i="20"/>
  <c r="A109" i="20"/>
  <c r="A139" i="20"/>
  <c r="H140" i="20"/>
  <c r="I140" i="20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I76" i="21"/>
  <c r="J76" i="21"/>
  <c r="E6" i="22"/>
  <c r="E6" i="23"/>
  <c r="H12" i="23"/>
  <c r="H14" i="23"/>
  <c r="H16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I46" i="23"/>
  <c r="H59" i="23"/>
  <c r="B24" i="4"/>
  <c r="L12" i="3"/>
  <c r="L13" i="3" s="1"/>
  <c r="M7" i="17"/>
  <c r="L7" i="17"/>
  <c r="A13" i="3"/>
  <c r="A14" i="3"/>
  <c r="A15" i="3"/>
  <c r="A16" i="3"/>
  <c r="A17" i="3"/>
  <c r="A18" i="3"/>
  <c r="A13" i="9"/>
  <c r="A108" i="3"/>
  <c r="A22" i="3"/>
  <c r="A21" i="3"/>
  <c r="A20" i="3"/>
  <c r="A19" i="3"/>
  <c r="A75" i="7"/>
  <c r="A24" i="14"/>
  <c r="A49" i="14"/>
  <c r="A75" i="14"/>
  <c r="A29" i="14"/>
  <c r="A76" i="14"/>
  <c r="A82" i="9"/>
  <c r="C11" i="17"/>
  <c r="A13" i="8"/>
  <c r="A15" i="7"/>
  <c r="A16" i="7"/>
  <c r="A18" i="7"/>
  <c r="A19" i="7"/>
  <c r="A20" i="7"/>
  <c r="A21" i="7"/>
  <c r="A23" i="7"/>
  <c r="A26" i="7"/>
  <c r="A27" i="7"/>
  <c r="A28" i="7"/>
  <c r="A29" i="7"/>
  <c r="A30" i="7"/>
  <c r="A33" i="7"/>
  <c r="A34" i="7"/>
  <c r="A35" i="7"/>
  <c r="A42" i="7"/>
  <c r="A43" i="7"/>
  <c r="A48" i="7"/>
  <c r="A56" i="7"/>
  <c r="A57" i="7"/>
  <c r="A63" i="7"/>
  <c r="A64" i="7"/>
  <c r="A74" i="7"/>
  <c r="A13" i="7"/>
  <c r="A15" i="6"/>
  <c r="A20" i="6"/>
  <c r="A22" i="6"/>
  <c r="A25" i="6"/>
  <c r="A32" i="6"/>
  <c r="A33" i="6"/>
  <c r="A34" i="6"/>
  <c r="A35" i="6"/>
  <c r="A41" i="6"/>
  <c r="A42" i="6"/>
  <c r="A43" i="6"/>
  <c r="A38" i="6"/>
  <c r="A45" i="6"/>
  <c r="A46" i="6"/>
  <c r="A47" i="6"/>
  <c r="A48" i="6"/>
  <c r="A49" i="6"/>
  <c r="A50" i="6"/>
  <c r="A51" i="6"/>
  <c r="A53" i="6"/>
  <c r="A58" i="6"/>
  <c r="A60" i="6"/>
  <c r="A61" i="6"/>
  <c r="A62" i="6"/>
  <c r="A63" i="6"/>
  <c r="A65" i="6"/>
  <c r="A66" i="6"/>
  <c r="A67" i="6"/>
  <c r="A68" i="6"/>
  <c r="A69" i="6"/>
  <c r="A70" i="6"/>
  <c r="A71" i="6"/>
  <c r="A72" i="6"/>
  <c r="A73" i="6"/>
  <c r="A74" i="6"/>
  <c r="A75" i="6"/>
  <c r="A13" i="6"/>
  <c r="A15" i="5"/>
  <c r="A23" i="5"/>
  <c r="A25" i="5"/>
  <c r="A30" i="5"/>
  <c r="A31" i="5"/>
  <c r="A32" i="5"/>
  <c r="A33" i="5"/>
  <c r="A35" i="5"/>
  <c r="A37" i="5"/>
  <c r="A38" i="5"/>
  <c r="A39" i="5"/>
  <c r="A40" i="5"/>
  <c r="A41" i="5"/>
  <c r="A45" i="5"/>
  <c r="A47" i="5"/>
  <c r="A48" i="5"/>
  <c r="A49" i="5"/>
  <c r="A51" i="5"/>
  <c r="A52" i="5"/>
  <c r="A53" i="5"/>
  <c r="A56" i="5"/>
  <c r="A58" i="5"/>
  <c r="A60" i="5"/>
  <c r="A63" i="5"/>
  <c r="A65" i="5"/>
  <c r="A67" i="5"/>
  <c r="A69" i="5"/>
  <c r="A71" i="5"/>
  <c r="A76" i="5"/>
  <c r="A80" i="5"/>
  <c r="A84" i="5"/>
  <c r="A86" i="5"/>
  <c r="A91" i="5"/>
  <c r="A92" i="5"/>
  <c r="A93" i="5"/>
  <c r="A94" i="5"/>
  <c r="A13" i="5"/>
  <c r="A22" i="14"/>
  <c r="A25" i="14"/>
  <c r="A30" i="14"/>
  <c r="A31" i="14"/>
  <c r="A32" i="14"/>
  <c r="A33" i="14"/>
  <c r="A34" i="14"/>
  <c r="A35" i="14"/>
  <c r="A36" i="14"/>
  <c r="A37" i="14"/>
  <c r="A38" i="14"/>
  <c r="A39" i="14"/>
  <c r="A40" i="14"/>
  <c r="A42" i="14"/>
  <c r="A43" i="14"/>
  <c r="A44" i="14"/>
  <c r="A45" i="14"/>
  <c r="A46" i="14"/>
  <c r="A47" i="14"/>
  <c r="A48" i="14"/>
  <c r="A50" i="14"/>
  <c r="A56" i="14"/>
  <c r="A57" i="14"/>
  <c r="A59" i="14"/>
  <c r="A61" i="14"/>
  <c r="A62" i="14"/>
  <c r="A63" i="14"/>
  <c r="A64" i="14"/>
  <c r="A68" i="14"/>
  <c r="A71" i="14"/>
  <c r="A77" i="14"/>
  <c r="A81" i="14"/>
  <c r="A85" i="14"/>
  <c r="A88" i="14"/>
  <c r="A13" i="14"/>
  <c r="A13" i="13"/>
  <c r="A13" i="12"/>
  <c r="A13" i="11"/>
  <c r="A14" i="4"/>
  <c r="A15" i="4"/>
  <c r="A16" i="4"/>
  <c r="A17" i="4"/>
  <c r="A18" i="4"/>
  <c r="A19" i="4"/>
  <c r="A20" i="4"/>
  <c r="A21" i="4"/>
  <c r="A22" i="4"/>
  <c r="A23" i="4"/>
  <c r="A13" i="4"/>
  <c r="H17" i="17"/>
  <c r="M17" i="17"/>
  <c r="H4" i="17"/>
  <c r="L1" i="17"/>
  <c r="IE6" i="17"/>
  <c r="IF6" i="17" s="1"/>
  <c r="K85" i="11"/>
  <c r="J96" i="12"/>
  <c r="K96" i="12"/>
  <c r="J84" i="13"/>
  <c r="K84" i="13"/>
  <c r="J95" i="5"/>
  <c r="K95" i="5"/>
  <c r="L94" i="5"/>
  <c r="B2" i="14"/>
  <c r="B2" i="13"/>
  <c r="B2" i="12"/>
  <c r="B2" i="11"/>
  <c r="B2" i="10"/>
  <c r="B2" i="9"/>
  <c r="B2" i="4"/>
  <c r="M8" i="17"/>
  <c r="C15" i="17"/>
  <c r="M9" i="17"/>
  <c r="C10" i="17"/>
  <c r="C12" i="17"/>
  <c r="H13" i="23" l="1"/>
  <c r="L14" i="3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D68" i="22"/>
  <c r="G43" i="22"/>
  <c r="C86" i="22"/>
  <c r="C25" i="22"/>
  <c r="G90" i="22"/>
  <c r="E77" i="22"/>
  <c r="C59" i="22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5" i="23"/>
  <c r="V105" i="10"/>
  <c r="W105" i="10" s="1"/>
  <c r="X105" i="10" s="1"/>
  <c r="L110" i="3"/>
  <c r="L12" i="4" s="1"/>
  <c r="L82" i="4" s="1"/>
  <c r="L12" i="9" s="1"/>
  <c r="F34" i="22"/>
  <c r="E88" i="22"/>
  <c r="B82" i="22"/>
  <c r="A73" i="22"/>
  <c r="G63" i="22"/>
  <c r="A53" i="22"/>
  <c r="C12" i="23"/>
  <c r="E40" i="23"/>
  <c r="A40" i="23"/>
  <c r="E39" i="23"/>
  <c r="A39" i="23"/>
  <c r="E38" i="23"/>
  <c r="A38" i="23"/>
  <c r="E37" i="23"/>
  <c r="A37" i="23"/>
  <c r="E36" i="23"/>
  <c r="A36" i="23"/>
  <c r="E35" i="23"/>
  <c r="A35" i="23"/>
  <c r="E34" i="23"/>
  <c r="A34" i="23"/>
  <c r="E33" i="23"/>
  <c r="A33" i="23"/>
  <c r="E32" i="23"/>
  <c r="A32" i="23"/>
  <c r="E31" i="23"/>
  <c r="A31" i="23"/>
  <c r="E30" i="23"/>
  <c r="A30" i="23"/>
  <c r="E29" i="23"/>
  <c r="A29" i="23"/>
  <c r="E28" i="23"/>
  <c r="A28" i="23"/>
  <c r="E27" i="23"/>
  <c r="A27" i="23"/>
  <c r="E26" i="23"/>
  <c r="A26" i="23"/>
  <c r="E25" i="23"/>
  <c r="A25" i="23"/>
  <c r="E24" i="23"/>
  <c r="A24" i="23"/>
  <c r="E23" i="23"/>
  <c r="A23" i="23"/>
  <c r="E22" i="23"/>
  <c r="A22" i="23"/>
  <c r="E21" i="23"/>
  <c r="A21" i="23"/>
  <c r="E20" i="23"/>
  <c r="A20" i="23"/>
  <c r="E19" i="23"/>
  <c r="A19" i="23"/>
  <c r="E18" i="23"/>
  <c r="A18" i="23"/>
  <c r="C17" i="23"/>
  <c r="C16" i="23"/>
  <c r="C15" i="23"/>
  <c r="C14" i="23"/>
  <c r="C13" i="23"/>
  <c r="E14" i="22"/>
  <c r="F89" i="22"/>
  <c r="D87" i="22"/>
  <c r="D84" i="22"/>
  <c r="G79" i="22"/>
  <c r="C75" i="22"/>
  <c r="F70" i="22"/>
  <c r="B66" i="22"/>
  <c r="E61" i="22"/>
  <c r="A57" i="22"/>
  <c r="D48" i="22"/>
  <c r="C39" i="22"/>
  <c r="B30" i="22"/>
  <c r="A20" i="22"/>
  <c r="C17" i="22"/>
  <c r="C90" i="22"/>
  <c r="B89" i="22"/>
  <c r="A88" i="22"/>
  <c r="G86" i="22"/>
  <c r="E85" i="22"/>
  <c r="C83" i="22"/>
  <c r="A81" i="22"/>
  <c r="F78" i="22"/>
  <c r="D76" i="22"/>
  <c r="B74" i="22"/>
  <c r="G71" i="22"/>
  <c r="E69" i="22"/>
  <c r="C67" i="22"/>
  <c r="A65" i="22"/>
  <c r="F62" i="22"/>
  <c r="D60" i="22"/>
  <c r="B58" i="22"/>
  <c r="C55" i="22"/>
  <c r="F50" i="22"/>
  <c r="B46" i="22"/>
  <c r="E41" i="22"/>
  <c r="A37" i="22"/>
  <c r="D32" i="22"/>
  <c r="G27" i="22"/>
  <c r="E22" i="22"/>
  <c r="K76" i="21"/>
  <c r="K77" i="21" s="1"/>
  <c r="L83" i="18"/>
  <c r="J11" i="23"/>
  <c r="A91" i="22"/>
  <c r="C91" i="22"/>
  <c r="E91" i="22"/>
  <c r="G91" i="22"/>
  <c r="B92" i="22"/>
  <c r="D92" i="22"/>
  <c r="F92" i="22"/>
  <c r="A93" i="22"/>
  <c r="C93" i="22"/>
  <c r="E93" i="22"/>
  <c r="G93" i="22"/>
  <c r="B94" i="22"/>
  <c r="D94" i="22"/>
  <c r="F94" i="22"/>
  <c r="A95" i="22"/>
  <c r="C95" i="22"/>
  <c r="E95" i="22"/>
  <c r="G95" i="22"/>
  <c r="B96" i="22"/>
  <c r="D96" i="22"/>
  <c r="F96" i="22"/>
  <c r="A12" i="22"/>
  <c r="A102" i="22" s="1"/>
  <c r="H11" i="22"/>
  <c r="B91" i="22"/>
  <c r="D91" i="22"/>
  <c r="F91" i="22"/>
  <c r="A92" i="22"/>
  <c r="C92" i="22"/>
  <c r="E92" i="22"/>
  <c r="G92" i="22"/>
  <c r="B93" i="22"/>
  <c r="D93" i="22"/>
  <c r="F93" i="22"/>
  <c r="A94" i="22"/>
  <c r="C94" i="22"/>
  <c r="E94" i="22"/>
  <c r="G94" i="22"/>
  <c r="B95" i="22"/>
  <c r="D95" i="22"/>
  <c r="F95" i="22"/>
  <c r="A96" i="22"/>
  <c r="C96" i="22"/>
  <c r="E96" i="22"/>
  <c r="G96" i="22"/>
  <c r="F19" i="22"/>
  <c r="B54" i="22"/>
  <c r="G51" i="22"/>
  <c r="E49" i="22"/>
  <c r="C47" i="22"/>
  <c r="A45" i="22"/>
  <c r="F42" i="22"/>
  <c r="D40" i="22"/>
  <c r="B38" i="22"/>
  <c r="G35" i="22"/>
  <c r="E33" i="22"/>
  <c r="C31" i="22"/>
  <c r="A29" i="22"/>
  <c r="E26" i="22"/>
  <c r="A24" i="22"/>
  <c r="C21" i="22"/>
  <c r="E18" i="22"/>
  <c r="A16" i="22"/>
  <c r="C13" i="22"/>
  <c r="E17" i="23"/>
  <c r="A17" i="23"/>
  <c r="E16" i="23"/>
  <c r="A16" i="23"/>
  <c r="E15" i="23"/>
  <c r="A15" i="23"/>
  <c r="E14" i="23"/>
  <c r="A14" i="23"/>
  <c r="E13" i="23"/>
  <c r="A13" i="23"/>
  <c r="E12" i="22"/>
  <c r="E12" i="23"/>
  <c r="A12" i="23"/>
  <c r="A45" i="23" s="1"/>
  <c r="E90" i="22"/>
  <c r="A90" i="22"/>
  <c r="D89" i="22"/>
  <c r="G88" i="22"/>
  <c r="C88" i="22"/>
  <c r="F87" i="22"/>
  <c r="B87" i="22"/>
  <c r="E86" i="22"/>
  <c r="A86" i="22"/>
  <c r="A85" i="22"/>
  <c r="G83" i="22"/>
  <c r="F82" i="22"/>
  <c r="E81" i="22"/>
  <c r="D80" i="22"/>
  <c r="C79" i="22"/>
  <c r="B78" i="22"/>
  <c r="A77" i="22"/>
  <c r="G75" i="22"/>
  <c r="F74" i="22"/>
  <c r="E73" i="22"/>
  <c r="D72" i="22"/>
  <c r="C71" i="22"/>
  <c r="B70" i="22"/>
  <c r="A69" i="22"/>
  <c r="G67" i="22"/>
  <c r="F66" i="22"/>
  <c r="E65" i="22"/>
  <c r="D64" i="22"/>
  <c r="C63" i="22"/>
  <c r="B62" i="22"/>
  <c r="A61" i="22"/>
  <c r="G59" i="22"/>
  <c r="F58" i="22"/>
  <c r="E57" i="22"/>
  <c r="D56" i="22"/>
  <c r="F54" i="22"/>
  <c r="E53" i="22"/>
  <c r="D52" i="22"/>
  <c r="C51" i="22"/>
  <c r="B50" i="22"/>
  <c r="A49" i="22"/>
  <c r="G47" i="22"/>
  <c r="F46" i="22"/>
  <c r="E45" i="22"/>
  <c r="D44" i="22"/>
  <c r="C43" i="22"/>
  <c r="B42" i="22"/>
  <c r="A41" i="22"/>
  <c r="G39" i="22"/>
  <c r="F38" i="22"/>
  <c r="E37" i="22"/>
  <c r="D36" i="22"/>
  <c r="C35" i="22"/>
  <c r="B34" i="22"/>
  <c r="A33" i="22"/>
  <c r="G31" i="22"/>
  <c r="F30" i="22"/>
  <c r="E29" i="22"/>
  <c r="D28" i="22"/>
  <c r="C27" i="22"/>
  <c r="A26" i="22"/>
  <c r="E24" i="22"/>
  <c r="C23" i="22"/>
  <c r="A22" i="22"/>
  <c r="E20" i="22"/>
  <c r="C19" i="22"/>
  <c r="A18" i="22"/>
  <c r="E16" i="22"/>
  <c r="C15" i="22"/>
  <c r="A14" i="22"/>
  <c r="Q132" i="10"/>
  <c r="G55" i="22"/>
  <c r="F23" i="22"/>
  <c r="IR7" i="17"/>
  <c r="IR10" i="17" s="1"/>
  <c r="IQ7" i="17"/>
  <c r="IQ11" i="17" s="1"/>
  <c r="IP7" i="17"/>
  <c r="IO7" i="17"/>
  <c r="IO10" i="17" s="1"/>
  <c r="IK7" i="17"/>
  <c r="IK11" i="17" s="1"/>
  <c r="IM7" i="17"/>
  <c r="IJ7" i="17"/>
  <c r="II7" i="17"/>
  <c r="II10" i="17" s="1"/>
  <c r="IN7" i="17"/>
  <c r="IN11" i="17" s="1"/>
  <c r="J140" i="20"/>
  <c r="J141" i="20" s="1"/>
  <c r="R132" i="10"/>
  <c r="S132" i="10" s="1"/>
  <c r="K276" i="19"/>
  <c r="F20" i="22"/>
  <c r="F22" i="22"/>
  <c r="F24" i="22"/>
  <c r="F26" i="22"/>
  <c r="B12" i="22"/>
  <c r="D12" i="22"/>
  <c r="G12" i="22"/>
  <c r="B13" i="22"/>
  <c r="D13" i="22"/>
  <c r="G13" i="22"/>
  <c r="B14" i="22"/>
  <c r="D14" i="22"/>
  <c r="G14" i="22"/>
  <c r="B15" i="22"/>
  <c r="D15" i="22"/>
  <c r="G15" i="22"/>
  <c r="B16" i="22"/>
  <c r="D16" i="22"/>
  <c r="G16" i="22"/>
  <c r="B17" i="22"/>
  <c r="D17" i="22"/>
  <c r="G17" i="22"/>
  <c r="B18" i="22"/>
  <c r="D18" i="22"/>
  <c r="G18" i="22"/>
  <c r="B19" i="22"/>
  <c r="D19" i="22"/>
  <c r="G19" i="22"/>
  <c r="B20" i="22"/>
  <c r="D20" i="22"/>
  <c r="G20" i="22"/>
  <c r="B21" i="22"/>
  <c r="D21" i="22"/>
  <c r="G21" i="22"/>
  <c r="B22" i="22"/>
  <c r="D22" i="22"/>
  <c r="G22" i="22"/>
  <c r="B23" i="22"/>
  <c r="D23" i="22"/>
  <c r="G23" i="22"/>
  <c r="B24" i="22"/>
  <c r="D24" i="22"/>
  <c r="G24" i="22"/>
  <c r="B25" i="22"/>
  <c r="D25" i="22"/>
  <c r="G25" i="22"/>
  <c r="B26" i="22"/>
  <c r="D26" i="22"/>
  <c r="G26" i="22"/>
  <c r="B27" i="22"/>
  <c r="D27" i="22"/>
  <c r="F27" i="22"/>
  <c r="A28" i="22"/>
  <c r="C28" i="22"/>
  <c r="E28" i="22"/>
  <c r="G28" i="22"/>
  <c r="B29" i="22"/>
  <c r="D29" i="22"/>
  <c r="F29" i="22"/>
  <c r="A30" i="22"/>
  <c r="C30" i="22"/>
  <c r="E30" i="22"/>
  <c r="G30" i="22"/>
  <c r="B31" i="22"/>
  <c r="D31" i="22"/>
  <c r="F31" i="22"/>
  <c r="A32" i="22"/>
  <c r="C32" i="22"/>
  <c r="E32" i="22"/>
  <c r="G32" i="22"/>
  <c r="B33" i="22"/>
  <c r="D33" i="22"/>
  <c r="F33" i="22"/>
  <c r="A34" i="22"/>
  <c r="C34" i="22"/>
  <c r="E34" i="22"/>
  <c r="G34" i="22"/>
  <c r="B35" i="22"/>
  <c r="D35" i="22"/>
  <c r="F35" i="22"/>
  <c r="A36" i="22"/>
  <c r="C36" i="22"/>
  <c r="E36" i="22"/>
  <c r="G36" i="22"/>
  <c r="B37" i="22"/>
  <c r="D37" i="22"/>
  <c r="F37" i="22"/>
  <c r="A38" i="22"/>
  <c r="C38" i="22"/>
  <c r="E38" i="22"/>
  <c r="G38" i="22"/>
  <c r="B39" i="22"/>
  <c r="D39" i="22"/>
  <c r="F39" i="22"/>
  <c r="A40" i="22"/>
  <c r="C40" i="22"/>
  <c r="E40" i="22"/>
  <c r="G40" i="22"/>
  <c r="B41" i="22"/>
  <c r="D41" i="22"/>
  <c r="F41" i="22"/>
  <c r="A42" i="22"/>
  <c r="C42" i="22"/>
  <c r="E42" i="22"/>
  <c r="G42" i="22"/>
  <c r="B43" i="22"/>
  <c r="D43" i="22"/>
  <c r="F43" i="22"/>
  <c r="A44" i="22"/>
  <c r="C44" i="22"/>
  <c r="E44" i="22"/>
  <c r="G44" i="22"/>
  <c r="B45" i="22"/>
  <c r="D45" i="22"/>
  <c r="F45" i="22"/>
  <c r="A46" i="22"/>
  <c r="C46" i="22"/>
  <c r="E46" i="22"/>
  <c r="G46" i="22"/>
  <c r="B47" i="22"/>
  <c r="D47" i="22"/>
  <c r="F47" i="22"/>
  <c r="A48" i="22"/>
  <c r="C48" i="22"/>
  <c r="E48" i="22"/>
  <c r="G48" i="22"/>
  <c r="B49" i="22"/>
  <c r="D49" i="22"/>
  <c r="F49" i="22"/>
  <c r="A50" i="22"/>
  <c r="C50" i="22"/>
  <c r="E50" i="22"/>
  <c r="G50" i="22"/>
  <c r="B51" i="22"/>
  <c r="D51" i="22"/>
  <c r="F51" i="22"/>
  <c r="A52" i="22"/>
  <c r="C52" i="22"/>
  <c r="E52" i="22"/>
  <c r="G52" i="22"/>
  <c r="B53" i="22"/>
  <c r="D53" i="22"/>
  <c r="F53" i="22"/>
  <c r="A54" i="22"/>
  <c r="C54" i="22"/>
  <c r="E54" i="22"/>
  <c r="G54" i="22"/>
  <c r="B55" i="22"/>
  <c r="D55" i="22"/>
  <c r="F55" i="22"/>
  <c r="A56" i="22"/>
  <c r="C56" i="22"/>
  <c r="E56" i="22"/>
  <c r="G56" i="22"/>
  <c r="B57" i="22"/>
  <c r="D57" i="22"/>
  <c r="F57" i="22"/>
  <c r="A58" i="22"/>
  <c r="C58" i="22"/>
  <c r="E58" i="22"/>
  <c r="G58" i="22"/>
  <c r="B59" i="22"/>
  <c r="D59" i="22"/>
  <c r="F59" i="22"/>
  <c r="A60" i="22"/>
  <c r="C60" i="22"/>
  <c r="E60" i="22"/>
  <c r="G60" i="22"/>
  <c r="B61" i="22"/>
  <c r="D61" i="22"/>
  <c r="F61" i="22"/>
  <c r="A62" i="22"/>
  <c r="C62" i="22"/>
  <c r="E62" i="22"/>
  <c r="G62" i="22"/>
  <c r="B63" i="22"/>
  <c r="D63" i="22"/>
  <c r="F63" i="22"/>
  <c r="A64" i="22"/>
  <c r="C64" i="22"/>
  <c r="E64" i="22"/>
  <c r="G64" i="22"/>
  <c r="B65" i="22"/>
  <c r="D65" i="22"/>
  <c r="F65" i="22"/>
  <c r="A66" i="22"/>
  <c r="C66" i="22"/>
  <c r="E66" i="22"/>
  <c r="G66" i="22"/>
  <c r="B67" i="22"/>
  <c r="D67" i="22"/>
  <c r="F67" i="22"/>
  <c r="A68" i="22"/>
  <c r="C68" i="22"/>
  <c r="E68" i="22"/>
  <c r="G68" i="22"/>
  <c r="B69" i="22"/>
  <c r="D69" i="22"/>
  <c r="F69" i="22"/>
  <c r="A70" i="22"/>
  <c r="C70" i="22"/>
  <c r="E70" i="22"/>
  <c r="G70" i="22"/>
  <c r="B71" i="22"/>
  <c r="D71" i="22"/>
  <c r="F71" i="22"/>
  <c r="A72" i="22"/>
  <c r="C72" i="22"/>
  <c r="E72" i="22"/>
  <c r="G72" i="22"/>
  <c r="B73" i="22"/>
  <c r="D73" i="22"/>
  <c r="F73" i="22"/>
  <c r="A74" i="22"/>
  <c r="C74" i="22"/>
  <c r="E74" i="22"/>
  <c r="G74" i="22"/>
  <c r="B75" i="22"/>
  <c r="D75" i="22"/>
  <c r="F75" i="22"/>
  <c r="A76" i="22"/>
  <c r="C76" i="22"/>
  <c r="E76" i="22"/>
  <c r="G76" i="22"/>
  <c r="B77" i="22"/>
  <c r="D77" i="22"/>
  <c r="F77" i="22"/>
  <c r="A78" i="22"/>
  <c r="C78" i="22"/>
  <c r="E78" i="22"/>
  <c r="G78" i="22"/>
  <c r="B79" i="22"/>
  <c r="D79" i="22"/>
  <c r="F79" i="22"/>
  <c r="A80" i="22"/>
  <c r="C80" i="22"/>
  <c r="E80" i="22"/>
  <c r="G80" i="22"/>
  <c r="B81" i="22"/>
  <c r="D81" i="22"/>
  <c r="F81" i="22"/>
  <c r="A82" i="22"/>
  <c r="C82" i="22"/>
  <c r="E82" i="22"/>
  <c r="G82" i="22"/>
  <c r="B83" i="22"/>
  <c r="D83" i="22"/>
  <c r="F83" i="22"/>
  <c r="A84" i="22"/>
  <c r="C84" i="22"/>
  <c r="E84" i="22"/>
  <c r="G84" i="22"/>
  <c r="B85" i="22"/>
  <c r="D85" i="22"/>
  <c r="F85" i="22"/>
  <c r="I40" i="23"/>
  <c r="F40" i="23"/>
  <c r="D40" i="23"/>
  <c r="B40" i="23"/>
  <c r="I39" i="23"/>
  <c r="F39" i="23"/>
  <c r="D39" i="23"/>
  <c r="B39" i="23"/>
  <c r="I38" i="23"/>
  <c r="F38" i="23"/>
  <c r="D38" i="23"/>
  <c r="B38" i="23"/>
  <c r="I37" i="23"/>
  <c r="F37" i="23"/>
  <c r="D37" i="23"/>
  <c r="B37" i="23"/>
  <c r="I36" i="23"/>
  <c r="F36" i="23"/>
  <c r="D36" i="23"/>
  <c r="B36" i="23"/>
  <c r="I35" i="23"/>
  <c r="F35" i="23"/>
  <c r="D35" i="23"/>
  <c r="B35" i="23"/>
  <c r="I34" i="23"/>
  <c r="F34" i="23"/>
  <c r="D34" i="23"/>
  <c r="B34" i="23"/>
  <c r="I33" i="23"/>
  <c r="F33" i="23"/>
  <c r="D33" i="23"/>
  <c r="B33" i="23"/>
  <c r="I32" i="23"/>
  <c r="F32" i="23"/>
  <c r="D32" i="23"/>
  <c r="B32" i="23"/>
  <c r="I31" i="23"/>
  <c r="F31" i="23"/>
  <c r="D31" i="23"/>
  <c r="B31" i="23"/>
  <c r="I30" i="23"/>
  <c r="F30" i="23"/>
  <c r="D30" i="23"/>
  <c r="B30" i="23"/>
  <c r="I29" i="23"/>
  <c r="F29" i="23"/>
  <c r="D29" i="23"/>
  <c r="B29" i="23"/>
  <c r="I28" i="23"/>
  <c r="F28" i="23"/>
  <c r="D28" i="23"/>
  <c r="B28" i="23"/>
  <c r="I27" i="23"/>
  <c r="F27" i="23"/>
  <c r="D27" i="23"/>
  <c r="B27" i="23"/>
  <c r="I26" i="23"/>
  <c r="F26" i="23"/>
  <c r="D26" i="23"/>
  <c r="B26" i="23"/>
  <c r="I25" i="23"/>
  <c r="F25" i="23"/>
  <c r="D25" i="23"/>
  <c r="B25" i="23"/>
  <c r="I24" i="23"/>
  <c r="F24" i="23"/>
  <c r="D24" i="23"/>
  <c r="B24" i="23"/>
  <c r="I23" i="23"/>
  <c r="F23" i="23"/>
  <c r="D23" i="23"/>
  <c r="B23" i="23"/>
  <c r="I22" i="23"/>
  <c r="F22" i="23"/>
  <c r="D22" i="23"/>
  <c r="B22" i="23"/>
  <c r="I21" i="23"/>
  <c r="F21" i="23"/>
  <c r="D21" i="23"/>
  <c r="B21" i="23"/>
  <c r="I20" i="23"/>
  <c r="F20" i="23"/>
  <c r="D20" i="23"/>
  <c r="B20" i="23"/>
  <c r="I19" i="23"/>
  <c r="F19" i="23"/>
  <c r="D19" i="23"/>
  <c r="B19" i="23"/>
  <c r="I18" i="23"/>
  <c r="F18" i="23"/>
  <c r="D18" i="23"/>
  <c r="B18" i="23"/>
  <c r="I17" i="23"/>
  <c r="F17" i="23"/>
  <c r="D17" i="23"/>
  <c r="B17" i="23"/>
  <c r="I16" i="23"/>
  <c r="F16" i="23"/>
  <c r="D16" i="23"/>
  <c r="B16" i="23"/>
  <c r="I15" i="23"/>
  <c r="F15" i="23"/>
  <c r="D15" i="23"/>
  <c r="B15" i="23"/>
  <c r="I14" i="23"/>
  <c r="F14" i="23"/>
  <c r="D14" i="23"/>
  <c r="B14" i="23"/>
  <c r="I13" i="23"/>
  <c r="F13" i="23"/>
  <c r="D13" i="23"/>
  <c r="B13" i="23"/>
  <c r="I12" i="23"/>
  <c r="F12" i="23"/>
  <c r="D12" i="23"/>
  <c r="B12" i="23"/>
  <c r="F90" i="22"/>
  <c r="D90" i="22"/>
  <c r="B90" i="22"/>
  <c r="G89" i="22"/>
  <c r="E89" i="22"/>
  <c r="C89" i="22"/>
  <c r="A89" i="22"/>
  <c r="F88" i="22"/>
  <c r="D88" i="22"/>
  <c r="B88" i="22"/>
  <c r="G87" i="22"/>
  <c r="E87" i="22"/>
  <c r="C87" i="22"/>
  <c r="A87" i="22"/>
  <c r="F86" i="22"/>
  <c r="D86" i="22"/>
  <c r="B86" i="22"/>
  <c r="G85" i="22"/>
  <c r="C85" i="22"/>
  <c r="F84" i="22"/>
  <c r="B84" i="22"/>
  <c r="E83" i="22"/>
  <c r="A83" i="22"/>
  <c r="D82" i="22"/>
  <c r="G81" i="22"/>
  <c r="C81" i="22"/>
  <c r="F80" i="22"/>
  <c r="B80" i="22"/>
  <c r="E79" i="22"/>
  <c r="A79" i="22"/>
  <c r="D78" i="22"/>
  <c r="G77" i="22"/>
  <c r="C77" i="22"/>
  <c r="F76" i="22"/>
  <c r="B76" i="22"/>
  <c r="E75" i="22"/>
  <c r="A75" i="22"/>
  <c r="D74" i="22"/>
  <c r="G73" i="22"/>
  <c r="C73" i="22"/>
  <c r="F72" i="22"/>
  <c r="B72" i="22"/>
  <c r="E71" i="22"/>
  <c r="A71" i="22"/>
  <c r="D70" i="22"/>
  <c r="G69" i="22"/>
  <c r="C69" i="22"/>
  <c r="F68" i="22"/>
  <c r="B68" i="22"/>
  <c r="E67" i="22"/>
  <c r="A67" i="22"/>
  <c r="D66" i="22"/>
  <c r="G65" i="22"/>
  <c r="C65" i="22"/>
  <c r="F64" i="22"/>
  <c r="B64" i="22"/>
  <c r="E63" i="22"/>
  <c r="A63" i="22"/>
  <c r="D62" i="22"/>
  <c r="G61" i="22"/>
  <c r="C61" i="22"/>
  <c r="F60" i="22"/>
  <c r="B60" i="22"/>
  <c r="E59" i="22"/>
  <c r="A59" i="22"/>
  <c r="D58" i="22"/>
  <c r="G57" i="22"/>
  <c r="C57" i="22"/>
  <c r="F56" i="22"/>
  <c r="B56" i="22"/>
  <c r="E55" i="22"/>
  <c r="A55" i="22"/>
  <c r="D54" i="22"/>
  <c r="G53" i="22"/>
  <c r="C53" i="22"/>
  <c r="F52" i="22"/>
  <c r="B52" i="22"/>
  <c r="E51" i="22"/>
  <c r="A51" i="22"/>
  <c r="D50" i="22"/>
  <c r="G49" i="22"/>
  <c r="C49" i="22"/>
  <c r="F48" i="22"/>
  <c r="B48" i="22"/>
  <c r="E47" i="22"/>
  <c r="A47" i="22"/>
  <c r="D46" i="22"/>
  <c r="G45" i="22"/>
  <c r="C45" i="22"/>
  <c r="F44" i="22"/>
  <c r="B44" i="22"/>
  <c r="E43" i="22"/>
  <c r="A43" i="22"/>
  <c r="D42" i="22"/>
  <c r="G41" i="22"/>
  <c r="C41" i="22"/>
  <c r="F40" i="22"/>
  <c r="B40" i="22"/>
  <c r="E39" i="22"/>
  <c r="A39" i="22"/>
  <c r="D38" i="22"/>
  <c r="G37" i="22"/>
  <c r="C37" i="22"/>
  <c r="F36" i="22"/>
  <c r="B36" i="22"/>
  <c r="E35" i="22"/>
  <c r="A35" i="22"/>
  <c r="D34" i="22"/>
  <c r="G33" i="22"/>
  <c r="C33" i="22"/>
  <c r="F32" i="22"/>
  <c r="B32" i="22"/>
  <c r="E31" i="22"/>
  <c r="A31" i="22"/>
  <c r="D30" i="22"/>
  <c r="G29" i="22"/>
  <c r="C29" i="22"/>
  <c r="F28" i="22"/>
  <c r="B28" i="22"/>
  <c r="E27" i="22"/>
  <c r="A27" i="22"/>
  <c r="C26" i="22"/>
  <c r="E25" i="22"/>
  <c r="A25" i="22"/>
  <c r="C24" i="22"/>
  <c r="E23" i="22"/>
  <c r="A23" i="22"/>
  <c r="C22" i="22"/>
  <c r="E21" i="22"/>
  <c r="A21" i="22"/>
  <c r="C20" i="22"/>
  <c r="E19" i="22"/>
  <c r="A19" i="22"/>
  <c r="C18" i="22"/>
  <c r="E17" i="22"/>
  <c r="A17" i="22"/>
  <c r="C16" i="22"/>
  <c r="E15" i="22"/>
  <c r="A15" i="22"/>
  <c r="C14" i="22"/>
  <c r="E13" i="22"/>
  <c r="A13" i="22"/>
  <c r="C12" i="22"/>
  <c r="F25" i="22"/>
  <c r="F21" i="22"/>
  <c r="F18" i="22"/>
  <c r="J691" i="18"/>
  <c r="F17" i="22"/>
  <c r="F16" i="22"/>
  <c r="F14" i="22"/>
  <c r="F13" i="22"/>
  <c r="F15" i="22"/>
  <c r="F12" i="22"/>
  <c r="IG7" i="17"/>
  <c r="IL7" i="17"/>
  <c r="IH7" i="17"/>
  <c r="IQ10" i="17"/>
  <c r="IN10" i="17"/>
  <c r="IN8" i="17"/>
  <c r="IJ10" i="17"/>
  <c r="IK8" i="17"/>
  <c r="L13" i="4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84" i="9"/>
  <c r="L12" i="10" s="1"/>
  <c r="L13" i="10" s="1"/>
  <c r="L13" i="9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D13" i="17"/>
  <c r="C14" i="17" s="1"/>
  <c r="H5" i="17"/>
  <c r="M16" i="17" l="1"/>
  <c r="L68" i="9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H41" i="23"/>
  <c r="J692" i="18"/>
  <c r="K277" i="19"/>
  <c r="K278" i="19" s="1"/>
  <c r="M278" i="19" s="1"/>
  <c r="I41" i="23"/>
  <c r="L79" i="4"/>
  <c r="L78" i="4"/>
  <c r="L14" i="10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G37" i="23"/>
  <c r="G38" i="23"/>
  <c r="G39" i="23"/>
  <c r="G40" i="23"/>
  <c r="G36" i="23"/>
  <c r="G34" i="23"/>
  <c r="G25" i="23"/>
  <c r="G29" i="23"/>
  <c r="IJ8" i="17"/>
  <c r="IJ11" i="17"/>
  <c r="IP8" i="17"/>
  <c r="IP11" i="17"/>
  <c r="IP10" i="17"/>
  <c r="IR8" i="17"/>
  <c r="IQ8" i="17"/>
  <c r="IM11" i="17"/>
  <c r="IM8" i="17"/>
  <c r="IM10" i="17"/>
  <c r="IO8" i="17"/>
  <c r="IO11" i="17" s="1"/>
  <c r="H12" i="22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G18" i="23"/>
  <c r="G27" i="23"/>
  <c r="G15" i="23"/>
  <c r="G20" i="23"/>
  <c r="G23" i="23"/>
  <c r="G30" i="23"/>
  <c r="G33" i="23"/>
  <c r="G35" i="23"/>
  <c r="J12" i="23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G13" i="23"/>
  <c r="G17" i="23"/>
  <c r="G19" i="23"/>
  <c r="G21" i="23"/>
  <c r="G22" i="23"/>
  <c r="G26" i="23"/>
  <c r="G28" i="23"/>
  <c r="G31" i="23"/>
  <c r="G32" i="23"/>
  <c r="G98" i="22"/>
  <c r="G12" i="23"/>
  <c r="G14" i="23"/>
  <c r="G16" i="23"/>
  <c r="G24" i="23"/>
  <c r="F98" i="22"/>
  <c r="IH10" i="17"/>
  <c r="IH11" i="17"/>
  <c r="IH8" i="17"/>
  <c r="IG11" i="17"/>
  <c r="II8" i="17"/>
  <c r="II11" i="17" s="1"/>
  <c r="IG10" i="17"/>
  <c r="IG8" i="17"/>
  <c r="IL10" i="17"/>
  <c r="IK10" i="17"/>
  <c r="IL8" i="17"/>
  <c r="IL11" i="17" s="1"/>
  <c r="L105" i="10"/>
  <c r="L12" i="11" s="1"/>
  <c r="J41" i="23" l="1"/>
  <c r="J42" i="23"/>
  <c r="L86" i="11"/>
  <c r="L12" i="12" s="1"/>
  <c r="L97" i="12" s="1"/>
  <c r="L13" i="11"/>
  <c r="L14" i="11" s="1"/>
  <c r="L15" i="11" s="1"/>
  <c r="L16" i="11" s="1"/>
  <c r="H98" i="22"/>
  <c r="H99" i="22" s="1"/>
  <c r="IF12" i="17"/>
  <c r="L12" i="13" l="1"/>
  <c r="L85" i="13" s="1"/>
  <c r="L13" i="12"/>
  <c r="L17" i="11"/>
  <c r="L30" i="10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18" i="11" l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14" i="12"/>
  <c r="L15" i="12" s="1"/>
  <c r="L16" i="12" s="1"/>
  <c r="L17" i="12" s="1"/>
  <c r="L18" i="12" s="1"/>
  <c r="L19" i="12" s="1"/>
  <c r="L20" i="12" s="1"/>
  <c r="L21" i="12" s="1"/>
  <c r="L22" i="12" s="1"/>
  <c r="L12" i="14"/>
  <c r="L13" i="13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l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91" i="14"/>
  <c r="L12" i="5" s="1"/>
  <c r="L13" i="14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23" i="12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73" i="10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75" i="11"/>
  <c r="L76" i="11" s="1"/>
  <c r="L77" i="11" s="1"/>
  <c r="L78" i="11" s="1"/>
  <c r="L79" i="11" s="1"/>
  <c r="L80" i="11" s="1"/>
  <c r="L81" i="11" s="1"/>
  <c r="L82" i="11" s="1"/>
  <c r="L83" i="11" s="1"/>
  <c r="L37" i="14" l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96" i="5"/>
  <c r="L12" i="6" s="1"/>
  <c r="L79" i="6" s="1"/>
  <c r="L13" i="5"/>
  <c r="L14" i="5" s="1"/>
  <c r="L15" i="5" s="1"/>
  <c r="L16" i="5" s="1"/>
  <c r="L17" i="5" s="1"/>
  <c r="L18" i="5" s="1"/>
  <c r="L49" i="12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12" i="7" l="1"/>
  <c r="L77" i="7" s="1"/>
  <c r="L13" i="6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19" i="5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12" i="8" l="1"/>
  <c r="L123" i="8" s="1"/>
  <c r="L13" i="7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32" i="5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l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13" i="8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67" i="5" l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</calcChain>
</file>

<file path=xl/sharedStrings.xml><?xml version="1.0" encoding="utf-8"?>
<sst xmlns="http://schemas.openxmlformats.org/spreadsheetml/2006/main" count="8671" uniqueCount="1423">
  <si>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</si>
  <si>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</si>
  <si>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</si>
  <si>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</si>
  <si>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</si>
  <si>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</si>
  <si>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</si>
  <si>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</si>
  <si>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</si>
  <si>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</si>
  <si>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</si>
  <si>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</si>
  <si>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</si>
  <si>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</si>
  <si>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</si>
  <si>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</si>
  <si>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</si>
  <si>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</si>
  <si>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</si>
  <si>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</si>
  <si>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</si>
  <si>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</si>
  <si>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</si>
  <si>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</si>
  <si>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</si>
  <si>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</si>
  <si>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</si>
  <si>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</si>
  <si>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</si>
  <si>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</si>
  <si>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</si>
  <si>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</si>
  <si>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</si>
  <si>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</si>
  <si>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331</t>
  </si>
  <si>
    <t>1331</t>
  </si>
  <si>
    <t>1121</t>
  </si>
  <si>
    <t>3341</t>
  </si>
  <si>
    <t>3383</t>
  </si>
  <si>
    <t>T01</t>
  </si>
  <si>
    <t>T02</t>
  </si>
  <si>
    <t>T03</t>
  </si>
  <si>
    <t>T04</t>
  </si>
  <si>
    <t>T05</t>
  </si>
  <si>
    <t>T06</t>
  </si>
  <si>
    <t>Cước vận chuyển</t>
  </si>
  <si>
    <t>VAT Cước vận chuyển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</si>
  <si>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</si>
  <si>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</si>
  <si>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</si>
  <si>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Xăng</t>
  </si>
  <si>
    <t>Nộp tiền vào TK</t>
  </si>
  <si>
    <t>VAT Nước</t>
  </si>
  <si>
    <t>Dầu DO</t>
  </si>
  <si>
    <t>154</t>
  </si>
  <si>
    <t>VAT nước</t>
  </si>
  <si>
    <t>VAT Xăng</t>
  </si>
  <si>
    <t>Chi phí tiếp khách</t>
  </si>
  <si>
    <t>1388</t>
  </si>
  <si>
    <t>T07</t>
  </si>
  <si>
    <t>Nước</t>
  </si>
  <si>
    <t>T08</t>
  </si>
  <si>
    <t>Rút tiền gửi NH nhập quỹ TM</t>
  </si>
  <si>
    <t>Phí gửi chứng từ, phụ thu xăng</t>
  </si>
  <si>
    <t>VAT Phí gửi chứng từ, phụ thu xăng</t>
  </si>
  <si>
    <t>T09</t>
  </si>
  <si>
    <t>Cước VT - CNTT T12/2014</t>
  </si>
  <si>
    <t>VAT Cước VT - CNTT T12/2014</t>
  </si>
  <si>
    <t>Phí, lệ phí hải quan</t>
  </si>
  <si>
    <t>Tư vấn giám sát môi trường</t>
  </si>
  <si>
    <t>VAT Tư vấn giám sát môi trường</t>
  </si>
  <si>
    <t>Nộp TM vào TK ngân hàng</t>
  </si>
  <si>
    <t>Xăng RON 95</t>
  </si>
  <si>
    <t>VAT Xăng RON 95</t>
  </si>
  <si>
    <t>Phí nâng hạ - đầy</t>
  </si>
  <si>
    <t>VAT Phí nâng hạ - đầy</t>
  </si>
  <si>
    <t>Phí nâng hạ - rỗng</t>
  </si>
  <si>
    <t>VAT Phí nâng hạ - rỗng</t>
  </si>
  <si>
    <t>Phí nâng rỗng lạnh</t>
  </si>
  <si>
    <t>VAT Phí nâng rỗng lạnh</t>
  </si>
  <si>
    <t>Đánh giá khô cá mai tẩm gia vị</t>
  </si>
  <si>
    <t>VAT Đánh giá khô cá mai tẩm gia vị</t>
  </si>
  <si>
    <t>Tiền Form AJ, Form VJ</t>
  </si>
  <si>
    <t>Phí hạ bãi chờ xuất</t>
  </si>
  <si>
    <t>VAT Phí hạ bãi chờ xuất</t>
  </si>
  <si>
    <t>Phí cấp cont rỗng lạnh</t>
  </si>
  <si>
    <t>VAT Phí cấp cont rỗng lạnh</t>
  </si>
  <si>
    <t>VAT Dầu DO, xăng RON 95</t>
  </si>
  <si>
    <t>Phí dịch vụ bảo vệ T01/2015</t>
  </si>
  <si>
    <t>VAT Phí dịch vụ bảo vệ T01/2015</t>
  </si>
  <si>
    <t>Phí xét nghiệm nước</t>
  </si>
  <si>
    <t>VAT Phí xét nghiệm nước</t>
  </si>
  <si>
    <t>VAT xăng RON 95</t>
  </si>
  <si>
    <t>641</t>
  </si>
  <si>
    <t>642</t>
  </si>
  <si>
    <t>Phí dịch vụ vận chuyển</t>
  </si>
  <si>
    <t>VAT Phí dịch vụ vận chuyển</t>
  </si>
  <si>
    <t>VAT Chi phí tiếp khách</t>
  </si>
  <si>
    <t>Cước VT - CNTT T1/2015</t>
  </si>
  <si>
    <t>VAT Cước VT - CNTT T1/2015</t>
  </si>
  <si>
    <t>VAT Nước thải, phí CSHT</t>
  </si>
  <si>
    <t>Cước CPN T1/2015</t>
  </si>
  <si>
    <t>VAT Cước CPN T1/2015</t>
  </si>
  <si>
    <t>Sạc bình chữa cháy</t>
  </si>
  <si>
    <t>Thay block, dàn nóng</t>
  </si>
  <si>
    <t>Vệ sinh máy lạnh</t>
  </si>
  <si>
    <t>Gas, nhớt xưởng</t>
  </si>
  <si>
    <t>Phí dịch vụ bảo vệ T02/2015</t>
  </si>
  <si>
    <t>VAT Phí dịch vụ bảo vệ T02/2015</t>
  </si>
  <si>
    <t>Tiền thai sản - Sơn Thị Trường Sa</t>
  </si>
  <si>
    <t>Tiền rác thải T1/2015 + thưởng tết</t>
  </si>
  <si>
    <t>Thu cho mượn vốn - An Lạc Trà Vinh</t>
  </si>
  <si>
    <t>- Ngày mở sổ 02/01/2015</t>
  </si>
  <si>
    <t>Ngày 31 tháng  01  năm  2015</t>
  </si>
  <si>
    <t>- Ngày mở sổ 01/02/2015</t>
  </si>
  <si>
    <t>Tân Minh Thư - Thanh toán tiền hàng</t>
  </si>
  <si>
    <t>Tân Hải Việt - Trả tiền gas</t>
  </si>
  <si>
    <t>Thành Thành Phát - Trả tiền đường</t>
  </si>
  <si>
    <t>Duy Tân - Trả tiền hũ ly</t>
  </si>
  <si>
    <t>Rút tiền gửi NH nhập quỹ TM - Q4</t>
  </si>
  <si>
    <t>Rút tiền gửi NH nhập quỹ TM - Q11</t>
  </si>
  <si>
    <t>Địa chỉ: Lô A14, Đường 4A, KCN Hải Sơn, Đức Hòa, Long An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</si>
  <si>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</si>
  <si>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</si>
  <si>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</si>
  <si>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</si>
  <si>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</si>
  <si>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</si>
  <si>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</si>
  <si>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</si>
  <si>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</si>
  <si>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</si>
  <si>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</si>
  <si>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</si>
  <si>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</si>
  <si>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</si>
  <si>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</si>
  <si>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</si>
  <si>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</si>
  <si>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</si>
  <si>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</si>
  <si>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</si>
  <si>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</si>
  <si>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</si>
  <si>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</si>
  <si>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</si>
  <si>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</si>
  <si>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</si>
  <si>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</si>
  <si>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</si>
  <si>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</si>
  <si>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</si>
  <si>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</si>
  <si>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</si>
  <si>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</si>
  <si>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</si>
  <si>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</si>
  <si>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</si>
  <si>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</si>
  <si>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</si>
  <si>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</si>
  <si>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</si>
  <si>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</si>
  <si>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</si>
  <si>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</si>
  <si>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</si>
  <si>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</si>
  <si>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</si>
  <si>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</si>
  <si>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</si>
  <si>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</si>
  <si>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</si>
  <si>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</si>
  <si>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</si>
  <si>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</si>
  <si>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</si>
  <si>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</si>
  <si>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</si>
  <si>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</si>
  <si>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0000050</t>
  </si>
  <si>
    <t xml:space="preserve">Công ty TNHH TM XNK vận tải Vĩnh Phát </t>
  </si>
  <si>
    <t>1433477</t>
  </si>
  <si>
    <t>Trung tâm kinh doanh VNPT Long An</t>
  </si>
  <si>
    <t>0000055</t>
  </si>
  <si>
    <t>Công ty TNHH công nghệ môi trường Minh Việt</t>
  </si>
  <si>
    <t>0200577;0025045;0008213</t>
  </si>
  <si>
    <t>Nguyễn Thiện Duyệt</t>
  </si>
  <si>
    <t>Phạm Thị Đông</t>
  </si>
  <si>
    <t>0203057</t>
  </si>
  <si>
    <t>0067266</t>
  </si>
  <si>
    <t>0066948</t>
  </si>
  <si>
    <t>0000298</t>
  </si>
  <si>
    <t>DNTN Nguyễn Văn Sáu</t>
  </si>
  <si>
    <t>0083297</t>
  </si>
  <si>
    <t>Công ty TNHH TM và DV Giang Nam</t>
  </si>
  <si>
    <t>0071159</t>
  </si>
  <si>
    <t>0056987</t>
  </si>
  <si>
    <t>TT kỹ thuật tiêu chuẩn đo lường chất lượng 3</t>
  </si>
  <si>
    <t>0203236</t>
  </si>
  <si>
    <t>0000231</t>
  </si>
  <si>
    <t>Công ty TNHH vận tải Trần Quốc</t>
  </si>
  <si>
    <t>0203357</t>
  </si>
  <si>
    <t>0007580</t>
  </si>
  <si>
    <t>Cục công tác phía nam</t>
  </si>
  <si>
    <t>PT 772</t>
  </si>
  <si>
    <t>0000323</t>
  </si>
  <si>
    <t>0007612</t>
  </si>
  <si>
    <t>1252064</t>
  </si>
  <si>
    <t>Công ty TNHH MTV Cty Tân Cảng  Sài Gòn</t>
  </si>
  <si>
    <t>1241313</t>
  </si>
  <si>
    <t>0000067</t>
  </si>
  <si>
    <t>0203607</t>
  </si>
  <si>
    <t>0000359</t>
  </si>
  <si>
    <t>0007697</t>
  </si>
  <si>
    <t>0203906</t>
  </si>
  <si>
    <t>Công ty TNHH DV bảo vệ Huỳnh Long</t>
  </si>
  <si>
    <t>0276019</t>
  </si>
  <si>
    <t>0007249</t>
  </si>
  <si>
    <t>Bộ y tế- Viện Pasteur TPHCM</t>
  </si>
  <si>
    <t>0276112</t>
  </si>
  <si>
    <t>0000633</t>
  </si>
  <si>
    <t>Công ty TNHH DL và TM Thành Thành Phát</t>
  </si>
  <si>
    <t>0018585</t>
  </si>
  <si>
    <t>Công ty TNHH Tân Hải Việt</t>
  </si>
  <si>
    <t>0083045</t>
  </si>
  <si>
    <t>Công ty TNHH nhựa Duy Tân</t>
  </si>
  <si>
    <t>0084707</t>
  </si>
  <si>
    <t>0000385</t>
  </si>
  <si>
    <t>Lê Thị Hoa</t>
  </si>
  <si>
    <t>0000690</t>
  </si>
  <si>
    <t>Công ty TNHH Hải  Sơn</t>
  </si>
  <si>
    <t>0000034</t>
  </si>
  <si>
    <t>0004224</t>
  </si>
  <si>
    <t>0094878</t>
  </si>
  <si>
    <t>0066523</t>
  </si>
  <si>
    <t>0063516</t>
  </si>
  <si>
    <t>0000756</t>
  </si>
  <si>
    <t>0079140</t>
  </si>
  <si>
    <t>0000795</t>
  </si>
  <si>
    <t>0000265</t>
  </si>
  <si>
    <t>0091181</t>
  </si>
  <si>
    <t>Cơ sở PCCC Tiên Tiến</t>
  </si>
  <si>
    <t>0000843</t>
  </si>
  <si>
    <t>0075975</t>
  </si>
  <si>
    <t>0276443</t>
  </si>
  <si>
    <t>0276543</t>
  </si>
  <si>
    <t>0075983</t>
  </si>
  <si>
    <t>Cơ điện lạnh Đại Dương</t>
  </si>
  <si>
    <t>0044469</t>
  </si>
  <si>
    <t>0276601</t>
  </si>
  <si>
    <t>0277004</t>
  </si>
  <si>
    <t>0002278</t>
  </si>
  <si>
    <t>0000293</t>
  </si>
  <si>
    <t>0000438</t>
  </si>
  <si>
    <t>0277170</t>
  </si>
  <si>
    <t>0277075</t>
  </si>
  <si>
    <t>0000296</t>
  </si>
  <si>
    <t>0002039</t>
  </si>
  <si>
    <t>Công ty TNHH TM DV SX bao bì giấy Tân Minh Thư</t>
  </si>
  <si>
    <t>0002228</t>
  </si>
  <si>
    <t>Cty TNHH Hải Sản An Lạc - Trà Vinh</t>
  </si>
  <si>
    <t>Dương Thanh Tuấn</t>
  </si>
  <si>
    <t>CN công ty CP thực phẩm Takahiro</t>
  </si>
  <si>
    <t>Tổng cục hải quan,TT đăng ký GD TS tại TPHCM,TT CL nông lâm TS vùng 4</t>
  </si>
  <si>
    <t>Công ty CP vật tư-xăng dầu Comeco</t>
  </si>
  <si>
    <t>Công ty liên doanh phát triển tiếp vận số 1</t>
  </si>
  <si>
    <t>Công ty TNHH Sagawa Express VN</t>
  </si>
  <si>
    <t>Q4 - Rút tiền gửi NH nhập quỹ TM</t>
  </si>
  <si>
    <t>Trà Vinh - Thu ứng vốn</t>
  </si>
  <si>
    <t>Cước VT - CNTT T2/2015</t>
  </si>
  <si>
    <t>TT Kinh Doanh VNPT Long An</t>
  </si>
  <si>
    <t>0192102</t>
  </si>
  <si>
    <t>VAT Cước VT - CNTT T2/2015</t>
  </si>
  <si>
    <t>Phí công tác</t>
  </si>
  <si>
    <t>VAT Phí công tác</t>
  </si>
  <si>
    <t>0000873</t>
  </si>
  <si>
    <t>Cty TNHH TM &amp; DV Hợp Lợi Phát</t>
  </si>
  <si>
    <t xml:space="preserve">Giấy vệ sinh </t>
  </si>
  <si>
    <t xml:space="preserve">VAT Giấy vệ sinh </t>
  </si>
  <si>
    <t>0006219</t>
  </si>
  <si>
    <t>Cty TNHH Thế Giới Giấy</t>
  </si>
  <si>
    <t>Phí xếp dỡ, niêm chì</t>
  </si>
  <si>
    <t>VAT phí xếp dỡ, niêm chì</t>
  </si>
  <si>
    <t>0057116</t>
  </si>
  <si>
    <t>Cty TNHH Sinokor Việt Nam</t>
  </si>
  <si>
    <t>Phí chứng từ</t>
  </si>
  <si>
    <t>VAT Phí chứng từ</t>
  </si>
  <si>
    <t>0057117</t>
  </si>
  <si>
    <t>Thanh toán tiền băng keo</t>
  </si>
  <si>
    <t>0002493</t>
  </si>
  <si>
    <t>DNTN SX TM XNK Khang Thịnh Phước</t>
  </si>
  <si>
    <t>Phí cơ sở hạ tầng</t>
  </si>
  <si>
    <t>VAT Phí cơ sở hạ tầng</t>
  </si>
  <si>
    <t>0000894</t>
  </si>
  <si>
    <t>0000895</t>
  </si>
  <si>
    <t>0000896</t>
  </si>
  <si>
    <t>Cty TNHH Hải Sơn</t>
  </si>
  <si>
    <t xml:space="preserve">Phí thẩm tra cpp </t>
  </si>
  <si>
    <t xml:space="preserve">VAT Phí thẩm tra cpp </t>
  </si>
  <si>
    <t>0019591</t>
  </si>
  <si>
    <t>TT DV Phân Tích Thí Nghiệm TPHCM</t>
  </si>
  <si>
    <t>Thanh toán tiền hũ ly trung</t>
  </si>
  <si>
    <t>0099022</t>
  </si>
  <si>
    <t>Cty TNHH Nhựa Duy Tân</t>
  </si>
  <si>
    <t>VAT Xăng, dầu</t>
  </si>
  <si>
    <t>0000473; 0000491</t>
  </si>
  <si>
    <t>Cty CP Vật Tư - Xăng Dầu COMECO</t>
  </si>
  <si>
    <t>Ắc quy N120</t>
  </si>
  <si>
    <t>VAT Ắc quy N120</t>
  </si>
  <si>
    <t>0000404</t>
  </si>
  <si>
    <t>Cty TNHH MTV Ắc Quy Khải Huyền</t>
  </si>
  <si>
    <t>Phí bảo dưỡng xe</t>
  </si>
  <si>
    <t>VAT Phí bảo dưỡng xe</t>
  </si>
  <si>
    <t>0021554</t>
  </si>
  <si>
    <t>Phí lưu kho</t>
  </si>
  <si>
    <t>VAT Phí lưu kho</t>
  </si>
  <si>
    <t>0013099</t>
  </si>
  <si>
    <t>0011491</t>
  </si>
  <si>
    <t>Cty CP Kinh Doanh Thủy Hải Sản Sài Gòn</t>
  </si>
  <si>
    <t>0062002</t>
  </si>
  <si>
    <t>0062003</t>
  </si>
  <si>
    <t>0277276; 0277371; 0277457; 0277485; 0277696; 0277858</t>
  </si>
  <si>
    <t xml:space="preserve">0277911; 0472011; 0472129; 0472297; 0472298; </t>
  </si>
  <si>
    <t>Phí dịch vụ bảo vệ T3/2015</t>
  </si>
  <si>
    <t>VAT Phí dịch vụ bảo vệ T3/2015</t>
  </si>
  <si>
    <t>0002331</t>
  </si>
  <si>
    <t>Cty TNHH DV Bảo Vệ Huỳnh Long</t>
  </si>
  <si>
    <t>Quạt máy</t>
  </si>
  <si>
    <t>VAT quạt máy</t>
  </si>
  <si>
    <t>0001511</t>
  </si>
  <si>
    <t>Cty TNHH Tân Thịnh An</t>
  </si>
  <si>
    <t>Cty TNHH DV Ôtô Sài Gòn Toyota Tsusho</t>
  </si>
  <si>
    <t>Tạm ứng mua NL</t>
  </si>
  <si>
    <t>Nguyễn Văn Bé Hai</t>
  </si>
  <si>
    <t>141</t>
  </si>
  <si>
    <t>Thạch Tiền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</si>
  <si>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</si>
  <si>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</si>
  <si>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</si>
  <si>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</si>
  <si>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</si>
  <si>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</si>
  <si>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</si>
  <si>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</si>
  <si>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</si>
  <si>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</si>
  <si>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</si>
  <si>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Ngày 31 tháng  02  năm  2015</t>
  </si>
  <si>
    <t>VAT cước vận chuyển</t>
  </si>
  <si>
    <t>Cty TNHH Vận Tải Trần Quốc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</si>
  <si>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</si>
  <si>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</si>
  <si>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</si>
  <si>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</si>
  <si>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</si>
  <si>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</si>
  <si>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</si>
  <si>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</si>
  <si>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</si>
  <si>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</si>
  <si>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</si>
  <si>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</si>
  <si>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</si>
  <si>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</si>
  <si>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</si>
  <si>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</si>
  <si>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</si>
  <si>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1111</t>
  </si>
  <si>
    <t>GBN</t>
  </si>
  <si>
    <t>Mua ngoại tệ</t>
  </si>
  <si>
    <t>1122</t>
  </si>
  <si>
    <t>GBC</t>
  </si>
  <si>
    <t>Bán ngoại tệ chuyển TK VNĐ</t>
  </si>
  <si>
    <t>Trả lãi KU 1015LDS201000102</t>
  </si>
  <si>
    <t>635</t>
  </si>
  <si>
    <t>Trả lãi KU 1015LDS201100376</t>
  </si>
  <si>
    <t>Trả lãi KU 1015LDS201100377</t>
  </si>
  <si>
    <t>Trả lãi KU 1015LDS201100378</t>
  </si>
  <si>
    <t>Phí thanh toán phí kiểm nghiệm, dịch vụ</t>
  </si>
  <si>
    <t xml:space="preserve">VAT phí thanh toán </t>
  </si>
  <si>
    <t>Phí thanh toán bảo hộ lao động</t>
  </si>
  <si>
    <t>VAT phí thanh toán bảo hộ lao động</t>
  </si>
  <si>
    <t>Phí Thanh toán tiền điện</t>
  </si>
  <si>
    <t>VAT phí Thanh toán tiền điện</t>
  </si>
  <si>
    <t>Phí thanh toán tiền xử lý cá khổ</t>
  </si>
  <si>
    <t>VAT phí thanh toán tiền xử lý cá khổ</t>
  </si>
  <si>
    <t>Phí Thanh toán cước vận chuyển</t>
  </si>
  <si>
    <t>VAT Phí Thanh toán cước vận chuyển</t>
  </si>
  <si>
    <t xml:space="preserve">Phí Thanh toán </t>
  </si>
  <si>
    <t xml:space="preserve">VAT Phí Thanh toán </t>
  </si>
  <si>
    <t>Hoàn thuế GTGT QDD/CT ngày 24/11/14</t>
  </si>
  <si>
    <t>Trà Vinh - Ứng vốn</t>
  </si>
  <si>
    <t>Nộp thuế môn bài 2015</t>
  </si>
  <si>
    <t>33382</t>
  </si>
  <si>
    <t>Phí dịch vụ</t>
  </si>
  <si>
    <t>VAT Phí dịch vụ</t>
  </si>
  <si>
    <t>Phí Thanh toán bảo hiểm</t>
  </si>
  <si>
    <t>VAT phí Thanh toán tien bảo hiểm</t>
  </si>
  <si>
    <t>Phí thanh toán phí kiểm nghiệm</t>
  </si>
  <si>
    <t>VAT phí thanh toán phí kiểm nghiệm</t>
  </si>
  <si>
    <t>Phí thanh toán tiền muối</t>
  </si>
  <si>
    <t>VAT phí thanh toán tiền muối</t>
  </si>
  <si>
    <t>Nộp tiền BHXH</t>
  </si>
  <si>
    <t>Q11 - Nộp tiền BHXH</t>
  </si>
  <si>
    <t>Nộp tiền BHYT</t>
  </si>
  <si>
    <t>Q11 - Nộp tiền BHYT</t>
  </si>
  <si>
    <t>3384</t>
  </si>
  <si>
    <t>Nộp tiền BHTN</t>
  </si>
  <si>
    <t>Q11 - Nộp tiền BHTN</t>
  </si>
  <si>
    <t>3386</t>
  </si>
  <si>
    <t>Phí nôp tiền BHXH</t>
  </si>
  <si>
    <t>VAT phí nộp tiền BHXH</t>
  </si>
  <si>
    <t>Cấp kinh phí chi 3 chế độ</t>
  </si>
  <si>
    <t>Lãi tiền gửi</t>
  </si>
  <si>
    <t>515</t>
  </si>
  <si>
    <t>Phí dịch vụ thanh toán</t>
  </si>
  <si>
    <t>VAT Phí dịch vụ thanh toán</t>
  </si>
  <si>
    <t>CHI</t>
  </si>
  <si>
    <t>Phí kiểm đếm</t>
  </si>
  <si>
    <t>VAT Phí kiểm đếm</t>
  </si>
  <si>
    <t>Chuyển VND - Q4</t>
  </si>
  <si>
    <t>VAT phí dịch vụ thanh toán</t>
  </si>
  <si>
    <t>Trả lãi KU 1015LDS201402000</t>
  </si>
  <si>
    <t>Trả lãi KU 1015LDS201402368</t>
  </si>
  <si>
    <t>Trả lãi KU 1015LDS201402775</t>
  </si>
  <si>
    <t>Trả lãi KU 1015LDS201402807</t>
  </si>
  <si>
    <t>Trả lãi KU 1015LDS201402868</t>
  </si>
  <si>
    <t>Trả lãi KU 1015LDS201500010</t>
  </si>
  <si>
    <t>Q4 - Chuyển VND</t>
  </si>
  <si>
    <t>Phí dịch vụ thông báo</t>
  </si>
  <si>
    <t>VAT Phí dịch vụ thông báo</t>
  </si>
  <si>
    <t>- Số dư cuối kỳ</t>
  </si>
  <si>
    <t xml:space="preserve"> - Sổ này có 01 Trang, đánh số từ 01 đến số trang 01.</t>
  </si>
  <si>
    <t>- Ngày mở sổ: 01/01/2015</t>
  </si>
  <si>
    <t>Số hiệu tài khoản tại nơi gửi: 101514851009193    USD</t>
  </si>
  <si>
    <t>Tỷ giá</t>
  </si>
  <si>
    <t>Chuyển USD</t>
  </si>
  <si>
    <t>Tất toán KU 1015LDS201401292</t>
  </si>
  <si>
    <t>3411</t>
  </si>
  <si>
    <t>Lãi Tất toán KU 1015LDS201401292</t>
  </si>
  <si>
    <t>Vay KU 1015LDS201500010</t>
  </si>
  <si>
    <t>Limited - Thu tiền hàng</t>
  </si>
  <si>
    <t>131</t>
  </si>
  <si>
    <t>Vay KU 1015LDS201500118</t>
  </si>
  <si>
    <t>Tất toán KU 1015LDS201401534</t>
  </si>
  <si>
    <t>Lãi Tất toán KU 1015LDS201401534</t>
  </si>
  <si>
    <t>Tất toán KU 1015LDS201401631</t>
  </si>
  <si>
    <t>Lãi Tất toán KU 1015LDS201401631</t>
  </si>
  <si>
    <t>Trả lãi KU 1015LDS201401746</t>
  </si>
  <si>
    <t>Trả lãi KU 1015LDS201401772</t>
  </si>
  <si>
    <t>Trả lãi KU 1015LDS201401879</t>
  </si>
  <si>
    <t>Markov - Thu tiền hàng</t>
  </si>
  <si>
    <t>Lãi tền gửi</t>
  </si>
  <si>
    <t>Tất toán KU 1015LDS201401746</t>
  </si>
  <si>
    <t>Lãi Tất toán KU 1015LDS201401746</t>
  </si>
  <si>
    <t>Tất toán KU 1015LDS201401772</t>
  </si>
  <si>
    <t>Lãi Tất toán KU 1015LDS201401772</t>
  </si>
  <si>
    <t>Vay KU 1015LDS201500437</t>
  </si>
  <si>
    <t>Tất toán KU 1015LDS201401879</t>
  </si>
  <si>
    <t>Lãi KU 1015LDS201401879</t>
  </si>
  <si>
    <t>Vay KU 1015LDS201500488</t>
  </si>
  <si>
    <t>Phí thông báo LC</t>
  </si>
  <si>
    <t>VAT Phí thông báo LC</t>
  </si>
  <si>
    <t>Trả lãi KU 1015LDS201500118</t>
  </si>
  <si>
    <t>Tokai - Thu tiền hàng</t>
  </si>
  <si>
    <t>- Ngày mở sổ: 02/01/2015</t>
  </si>
  <si>
    <t>Nơi mở tài khoản giao dịch: Ngân Hàng Eximbank Quận 4</t>
  </si>
  <si>
    <t>Số hiệu tài khoản tại nơi gửi: 140214851009465    VNĐ</t>
  </si>
  <si>
    <t>Bán NT chuyển TK VND</t>
  </si>
  <si>
    <t>Phí dịch vụ thông báo số dư tự động</t>
  </si>
  <si>
    <t>Thu tiền vay KU 1402LDS201500635</t>
  </si>
  <si>
    <t>Chuyển VND - Q11</t>
  </si>
  <si>
    <t>Trả lãi KU 1015LDS201402734</t>
  </si>
  <si>
    <t>Trả lãi KU 1015LDS201403120</t>
  </si>
  <si>
    <t>Trả lãi KU 1015LDS201403271</t>
  </si>
  <si>
    <t>Lãi  KU 1402LDS201402734</t>
  </si>
  <si>
    <t>Lãi  KU 1402LDS201403120</t>
  </si>
  <si>
    <t>Lãi  KU 1402LDS201403271</t>
  </si>
  <si>
    <t>Số hiệu tài khoản tại nơi gửi: 140214851009479    USD</t>
  </si>
  <si>
    <t>Thu tiền hàng - Jintatsu</t>
  </si>
  <si>
    <t>Thu tiền hàng - Cuu Long</t>
  </si>
  <si>
    <t>Lãi suất chiết khấu</t>
  </si>
  <si>
    <t>Trả lãi KU 1402LDS201401704</t>
  </si>
  <si>
    <t>Trả lãi KU 1402LDS201402734</t>
  </si>
  <si>
    <t>Tất toán  KU 1015LDS201401704</t>
  </si>
  <si>
    <t>Lãi Tất toán  KU 1015LDS201401704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</si>
  <si>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</si>
  <si>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</si>
  <si>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</si>
  <si>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</si>
  <si>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</si>
  <si>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Công Ty TNHH đầu tư  TPK</t>
  </si>
  <si>
    <t>Công Ty TNHH Hải  Sơn</t>
  </si>
  <si>
    <t>Công ty CP bưu chính Viettel</t>
  </si>
  <si>
    <t>Công Ty TNHH vận tải Trần Quốc</t>
  </si>
  <si>
    <t>Công ty CP vật tư - xăng dầu Comeco</t>
  </si>
  <si>
    <t>Cước VT - CNTT T3/2015</t>
  </si>
  <si>
    <t>VAT Cước VT - CNTT T3/2015</t>
  </si>
  <si>
    <t>0320936</t>
  </si>
  <si>
    <t>VAT Phí giao thông</t>
  </si>
  <si>
    <t>Thanh toán phí giao thông</t>
  </si>
  <si>
    <t>Nguyễn Văn Bé Tư</t>
  </si>
  <si>
    <t>Trần Văn Đoạn</t>
  </si>
  <si>
    <t>0000528</t>
  </si>
  <si>
    <t>Tài liệu sách</t>
  </si>
  <si>
    <t>0017609</t>
  </si>
  <si>
    <t>Tạp Chí Thuế</t>
  </si>
  <si>
    <t>Xăng Ron 95</t>
  </si>
  <si>
    <t>VAT Xăng Ron 95</t>
  </si>
  <si>
    <t>0472494</t>
  </si>
  <si>
    <t>Cty CP Vật Tư - Xăng Dầu Comeco</t>
  </si>
  <si>
    <t>VAT nước, nước thải</t>
  </si>
  <si>
    <t>0000009</t>
  </si>
  <si>
    <t>CTY TNHH Hải Sơn</t>
  </si>
  <si>
    <t>Phí khám chữa bệnh</t>
  </si>
  <si>
    <t>0000280</t>
  </si>
  <si>
    <t>Cty TNHH TT Y Khoa Hoàng Khang</t>
  </si>
  <si>
    <t>Nhôm thanh</t>
  </si>
  <si>
    <t>VAT Nhôm thanh</t>
  </si>
  <si>
    <t>0000712</t>
  </si>
  <si>
    <t>Cty TNHH MTV Hà Anh Dương</t>
  </si>
  <si>
    <t>0000010</t>
  </si>
  <si>
    <t>0472804</t>
  </si>
  <si>
    <t>Phí dịch vụ đăng ký độc quyền nhãn hiệu</t>
  </si>
  <si>
    <t>VAT Phí dịch vụ đăng ký độc quyền nhãn hiệu</t>
  </si>
  <si>
    <t>0000016</t>
  </si>
  <si>
    <t>Cty TNHH Tư Vấn Đầu Tư Và Sở Hữu Trí Tuệ Hoàng Phi</t>
  </si>
  <si>
    <t>0472846</t>
  </si>
  <si>
    <t>0472903</t>
  </si>
  <si>
    <t>Bảo dưỡng xe 51F - 08056</t>
  </si>
  <si>
    <t>VAT Bảo dưỡng xe 51F - 08056</t>
  </si>
  <si>
    <t>0023207</t>
  </si>
  <si>
    <t>Cty TNHH DV Ôtô Sài Gòn Toyota Tshusho</t>
  </si>
  <si>
    <t xml:space="preserve">Xăng </t>
  </si>
  <si>
    <t>0000571</t>
  </si>
  <si>
    <t>Xét nghiệm nước</t>
  </si>
  <si>
    <t>VAT Xét nghiệm nước</t>
  </si>
  <si>
    <t>0009199</t>
  </si>
  <si>
    <t>Viện Pasteur TP HCM</t>
  </si>
  <si>
    <t>Phí lưu container, kiểm tra, phí cung cấp seal</t>
  </si>
  <si>
    <t>VAT Phí lưu container, kiểm tra, phí cung cấp seal</t>
  </si>
  <si>
    <t>0071473</t>
  </si>
  <si>
    <t>Công Ty CP CMA - CGM Việt Nam</t>
  </si>
  <si>
    <t>Rút tiền gửi NH - Q11</t>
  </si>
  <si>
    <t>NH Eximbank CN Quận 11</t>
  </si>
  <si>
    <t>0473052</t>
  </si>
  <si>
    <t>VAT  nhôm thanh</t>
  </si>
  <si>
    <t>0000717</t>
  </si>
  <si>
    <t>Nộp quỹ QPAN</t>
  </si>
  <si>
    <t>0559497</t>
  </si>
  <si>
    <t>UBND Xã Đức Hòa Hạ</t>
  </si>
  <si>
    <t>0473134</t>
  </si>
  <si>
    <t>0000019</t>
  </si>
  <si>
    <t>0473266</t>
  </si>
  <si>
    <t>Nộp tiền mặt vào TK Q11</t>
  </si>
  <si>
    <t>NH Eximbank CN Quận 4</t>
  </si>
  <si>
    <t>Nộp tiền mặt vào TK Q4</t>
  </si>
  <si>
    <t>Gas R22</t>
  </si>
  <si>
    <t>0044494</t>
  </si>
  <si>
    <t>Cơ sở Điện Lạnh Công</t>
  </si>
  <si>
    <t>0473352</t>
  </si>
  <si>
    <t>0473489</t>
  </si>
  <si>
    <t>Phí dịch vụ bảo vệ T4/2015</t>
  </si>
  <si>
    <t>VAT Phí dịch vụ bảo vệ T4/2015</t>
  </si>
  <si>
    <t>0002381</t>
  </si>
  <si>
    <t>Cty TNHH Dịch Vụ Bảo Vệ Huỳnh Long</t>
  </si>
  <si>
    <t>0473607</t>
  </si>
  <si>
    <t>0006974</t>
  </si>
  <si>
    <t>VAT phí giao thông</t>
  </si>
  <si>
    <t>Thanh toán lương T04/2015</t>
  </si>
  <si>
    <t>Cước VT - CNTT T04/2015</t>
  </si>
  <si>
    <t>VAT Cước VT - CNTT T04/2015</t>
  </si>
  <si>
    <t>VAT xăng, dầu</t>
  </si>
  <si>
    <t>0451214</t>
  </si>
  <si>
    <t>0000606</t>
  </si>
  <si>
    <t>LC</t>
  </si>
  <si>
    <t>0000365</t>
  </si>
  <si>
    <t>Trả 1 phần gốc KU 1015LDS201402000</t>
  </si>
  <si>
    <t>Tất toán KU 1015LDS201402000</t>
  </si>
  <si>
    <t>Lãi tất toán KU 1015LDS201402000</t>
  </si>
  <si>
    <t>Vay KU 1015LDS201500719</t>
  </si>
  <si>
    <t>Lãi KU 1015LDS201100376</t>
  </si>
  <si>
    <t>Lãi KU 1015LDS201100378</t>
  </si>
  <si>
    <t>Lãi KU 1015LDS201100377</t>
  </si>
  <si>
    <t>Nộp thuế TNDN 2014</t>
  </si>
  <si>
    <t>3334</t>
  </si>
  <si>
    <t>Thanh toán tiền hàng - Nghị Hòa</t>
  </si>
  <si>
    <t>Thanh toán tiền hàng - Tấn Dũng</t>
  </si>
  <si>
    <t>Thanh toán chiếu xạ - An Phú</t>
  </si>
  <si>
    <t>Thanh toán phí vận chuyển - Tốc Độ</t>
  </si>
  <si>
    <t>Thanh toán phí kiểm nghiệm - Vùng 4</t>
  </si>
  <si>
    <t>Thanh toán tiền thu hộ sửa xe - An Lập Phú</t>
  </si>
  <si>
    <t>Thanh toán tiền điện kỳ 3 T03/2015 - Điện lực</t>
  </si>
  <si>
    <t>Thu lãi KU 1015LDS201000102</t>
  </si>
  <si>
    <t>Thu lãi KU 1015LDS201402368</t>
  </si>
  <si>
    <t>Thu lãi KU 1015LDS201402775</t>
  </si>
  <si>
    <t>Thu lãi KU 1015LDS201402807</t>
  </si>
  <si>
    <t>Thu lãi KU 1015LDS201402868</t>
  </si>
  <si>
    <t>Thu lãi KU 1015LDS201500010</t>
  </si>
  <si>
    <t>Thu lãi KU 1015LDS201500118</t>
  </si>
  <si>
    <t>Thu lãi KU 1015LDS201500437</t>
  </si>
  <si>
    <t>Thu lãi KU 1015LDS201500488</t>
  </si>
  <si>
    <t>Thanh toán tiền điện kỳ 1 T04/2015 - Điện lực</t>
  </si>
  <si>
    <t>Liberty - Thu hộ tiền sửa xe</t>
  </si>
  <si>
    <t>3388</t>
  </si>
  <si>
    <t>Phí nâng hạ, cấp cont</t>
  </si>
  <si>
    <t>VAT Phí nâng hạ, cấp cont</t>
  </si>
  <si>
    <t>0189482; 0237349; 0236992; 0237263</t>
  </si>
  <si>
    <t>Cty TNHH Cảng Phước Long</t>
  </si>
  <si>
    <t>Cước vận chuyển hàng</t>
  </si>
  <si>
    <t>0000099</t>
  </si>
  <si>
    <t>Cty TNHH TM XNK Vận Tải Vĩnh Phát</t>
  </si>
  <si>
    <t>VAT Cước vận chuyển hàng</t>
  </si>
  <si>
    <t>Phí cấp cont, nâng hạ</t>
  </si>
  <si>
    <t>VAT Phí cấp cont, nâng hạ</t>
  </si>
  <si>
    <t>1418006; 0097665; 1426524; 1426622</t>
  </si>
  <si>
    <t>Tổng Cty Tân Cảng Sài Gòn</t>
  </si>
  <si>
    <t>0000115</t>
  </si>
  <si>
    <t>0004232; 0009850; 0029039; 0031059</t>
  </si>
  <si>
    <t>0000138</t>
  </si>
  <si>
    <t>0121892; 0283020; 0286951; 0202740</t>
  </si>
  <si>
    <t>0000160</t>
  </si>
  <si>
    <t>Thu tiền hàng - Tokai</t>
  </si>
  <si>
    <t>Phí giao thông</t>
  </si>
  <si>
    <t>Nộp tiền vào TK VND</t>
  </si>
  <si>
    <t>Lãi  KU 1402LDS201500635</t>
  </si>
  <si>
    <t>Thanh toán phí kiểm nghiểm - Vùng 4</t>
  </si>
  <si>
    <t xml:space="preserve">Nước </t>
  </si>
  <si>
    <t xml:space="preserve">VAT Nước </t>
  </si>
  <si>
    <t xml:space="preserve">Nước thải, phí CSHT </t>
  </si>
  <si>
    <t xml:space="preserve">VAT Nước thải, phí CSHT </t>
  </si>
  <si>
    <t xml:space="preserve">Nước thải </t>
  </si>
  <si>
    <t xml:space="preserve">VAT Nước thải </t>
  </si>
  <si>
    <t xml:space="preserve">Phí cơ sở hạ tầng </t>
  </si>
  <si>
    <t>Cước CPN T03/2015</t>
  </si>
  <si>
    <t>0080514</t>
  </si>
  <si>
    <t>Tổng Công Ty CP Bưu Chính Viettel</t>
  </si>
  <si>
    <t>VAT Cước CPN T03/2015</t>
  </si>
  <si>
    <t>Thanh toán tiền điện kỳ 2 T04/2015</t>
  </si>
  <si>
    <t>Công Ty Điện Lực Long An</t>
  </si>
  <si>
    <t>0473777</t>
  </si>
  <si>
    <t>Công Ty CP Vật Tư - Xăng Dầu (Comeco)</t>
  </si>
  <si>
    <t>0009630</t>
  </si>
  <si>
    <t>Viện Pasteur TP Hồ Chí Minh</t>
  </si>
  <si>
    <t>Nộp tiền mặt vào TK EIB Q11</t>
  </si>
  <si>
    <t>Nộp tiền mặt vào TK EIB Q4</t>
  </si>
  <si>
    <t>Cước CPN T04/2015</t>
  </si>
  <si>
    <t>0080705</t>
  </si>
  <si>
    <t>VAT Cước CPN T04/2015</t>
  </si>
  <si>
    <t>0473970</t>
  </si>
  <si>
    <t>Phí cấp cont rỗng, phí hạ bãi</t>
  </si>
  <si>
    <t>VAT Phí cấp cont rỗng, phí hạ bãi</t>
  </si>
  <si>
    <t>Tổng Công Ty Tân Cảng Sài Gòn</t>
  </si>
  <si>
    <t>0252092; 0257289</t>
  </si>
  <si>
    <t>0554147</t>
  </si>
  <si>
    <t>0554195</t>
  </si>
  <si>
    <t>0000651</t>
  </si>
  <si>
    <t>0554280</t>
  </si>
  <si>
    <t>0554380</t>
  </si>
  <si>
    <t>Rút tiền gủi NH nhập quỹ TM</t>
  </si>
  <si>
    <t>0554533</t>
  </si>
  <si>
    <t>0554591</t>
  </si>
  <si>
    <t>Phí dịch vụ bảo vệ T5/2015</t>
  </si>
  <si>
    <t>VAT Phí dịch vụ bảo vệ T5/2015</t>
  </si>
  <si>
    <t>Công Ty TNHH DV Bảo vệ Huỳnh Long</t>
  </si>
  <si>
    <t>0554707</t>
  </si>
  <si>
    <t>Cơ sở Trần Văn Phi</t>
  </si>
  <si>
    <t>Cơ sở điện lạnh Công</t>
  </si>
  <si>
    <t>0002440</t>
  </si>
  <si>
    <t>Thanh toán tiền điện kỳ 2 T03/2015</t>
  </si>
  <si>
    <t>0000104</t>
  </si>
  <si>
    <t>Công Ty TNHH Công Nghệ MT Minh Việt</t>
  </si>
  <si>
    <t>Thanh toán lương T05/2015</t>
  </si>
  <si>
    <t>Rút tiền gủi NH nhập quỹ TM - Q4</t>
  </si>
  <si>
    <t>Trả lãi KU 1402LDS201403120</t>
  </si>
  <si>
    <t>Trả lãi KU 1402LDS201403271</t>
  </si>
  <si>
    <t>Trả lãi KU 1402LDS201500635</t>
  </si>
  <si>
    <t>Mua ngoại tệ trả nợ vay</t>
  </si>
  <si>
    <t>Vay KU 1402LDS201501662</t>
  </si>
  <si>
    <t>Jintatsu - Thu chiết khấu</t>
  </si>
  <si>
    <t>Lãi tất toán  KU 1402LDS201402734</t>
  </si>
  <si>
    <t>Tất toán  KU 1402LDS201402734</t>
  </si>
  <si>
    <t>0000117</t>
  </si>
  <si>
    <t>0000118</t>
  </si>
  <si>
    <t>Công ty TNHH Hải Sơn</t>
  </si>
  <si>
    <t>Nước thải</t>
  </si>
  <si>
    <t>VAT nước thải</t>
  </si>
  <si>
    <t>Phí gửi chứng từ + phụ thu</t>
  </si>
  <si>
    <t>VAT Phí gửi chứng từ + phụ thu</t>
  </si>
  <si>
    <t>0006222</t>
  </si>
  <si>
    <t>Cty TNHH Sagawa Express Việt Nam</t>
  </si>
  <si>
    <t>Xăng Ron 92</t>
  </si>
  <si>
    <t>0000679</t>
  </si>
  <si>
    <t>VAT Xăng, dầu DO</t>
  </si>
  <si>
    <t>Phí thông báo tu chỉnh LC</t>
  </si>
  <si>
    <t>VAT phí thông báo tu chỉnh LC</t>
  </si>
  <si>
    <t>Tất toán KU 1015LDS201402368</t>
  </si>
  <si>
    <t>Vay  KU 1015LDS201501179</t>
  </si>
  <si>
    <t>Thu tiền hàng - ATB</t>
  </si>
  <si>
    <t>Tất toán KU 1015LDS201402775</t>
  </si>
  <si>
    <t>Tất toán KU 1015LDS201402807</t>
  </si>
  <si>
    <t>Thanh toán tiền điện kỳ 3 T04/2015 - Điện lực</t>
  </si>
  <si>
    <t>Thanh toán tiền bảo hiểm hàng xuất - Viễn Đông</t>
  </si>
  <si>
    <t>Nộp tiền phạt chậm nộp thuế</t>
  </si>
  <si>
    <t>811</t>
  </si>
  <si>
    <t>Trả lãi KU 1015LDS201500018</t>
  </si>
  <si>
    <t>Thanh toán tiền học phí HACCP T5/2015 - Vùng 4</t>
  </si>
  <si>
    <t>Trả lãi KU 1015LDS201500437</t>
  </si>
  <si>
    <t>Trả lãi KU 1015LDS201510603</t>
  </si>
  <si>
    <t>Trả lãi KU 1015LDS201500719</t>
  </si>
  <si>
    <t>THU</t>
  </si>
  <si>
    <t>Thanh toán tiền bao bì - Tấn Dũng</t>
  </si>
  <si>
    <t>Thanh toán cước vận chuyển và phí liên quan - Song Tân</t>
  </si>
  <si>
    <t>Thanh toán tiền bảo hiểm nhà xưởng - Viễn Đông</t>
  </si>
  <si>
    <t>Thanh toán cước vận chuyển và phí liên quan - Tốc Độ</t>
  </si>
  <si>
    <t>Thanh toán tiền điện kỳ 1 T05/2015 - Điện lực</t>
  </si>
  <si>
    <t>Thanh toán tiền bảo hiểm - Bảo Minh</t>
  </si>
  <si>
    <t>Tiền thu gom rác thải T2/2015</t>
  </si>
  <si>
    <t>0000368</t>
  </si>
  <si>
    <t>Tiền thu gom rác thải T3 + T4/2015</t>
  </si>
  <si>
    <t>0042918</t>
  </si>
  <si>
    <t>Cơ Sở Trần Văn Phi</t>
  </si>
  <si>
    <t>Phí duy trì sử dụng MSMV năm 2015 - Trung tâm 3</t>
  </si>
  <si>
    <t xml:space="preserve"> Phí dịch vụ thanh toán</t>
  </si>
  <si>
    <t>Cước CPN T05/2015</t>
  </si>
  <si>
    <t>Tổng Cty CP Bưu Chính Viettel</t>
  </si>
  <si>
    <t>VAT Cước CPN T05/2015</t>
  </si>
  <si>
    <t>0080800</t>
  </si>
  <si>
    <t>0000706</t>
  </si>
  <si>
    <t>0133894</t>
  </si>
  <si>
    <t>0182756</t>
  </si>
  <si>
    <t>Cước VT - CNTT T05/2015</t>
  </si>
  <si>
    <t>VAT Cước VT - CNTT T05/2015</t>
  </si>
  <si>
    <t>0581135</t>
  </si>
  <si>
    <t>VAT Nước, Nước thải</t>
  </si>
  <si>
    <t>0000234</t>
  </si>
  <si>
    <t>0000235</t>
  </si>
  <si>
    <t>0554834</t>
  </si>
  <si>
    <t>Ắc quy GS N150E</t>
  </si>
  <si>
    <t>VAT Ắc quy GS N150E</t>
  </si>
  <si>
    <t>0002515</t>
  </si>
  <si>
    <t>Công Ty TNHH Thương Mại Phước Châu</t>
  </si>
  <si>
    <t>0554917</t>
  </si>
  <si>
    <t>Q11 - Rút tiền gửi NH nhập quỹ TM</t>
  </si>
  <si>
    <t>Nộp tiền vào TK - Q4</t>
  </si>
  <si>
    <t>Nộp tiền vào TK - Q11</t>
  </si>
  <si>
    <t>Sửa chữa xe 51F - 08056</t>
  </si>
  <si>
    <t>0027684</t>
  </si>
  <si>
    <t>Cty TNHH Dịch vụ Ôtô Sài Gòn Toyota Tsusho</t>
  </si>
  <si>
    <t>VAT Sửa chữa xe 51F - 08056</t>
  </si>
  <si>
    <t>0555021</t>
  </si>
  <si>
    <t>0555171</t>
  </si>
  <si>
    <t>0000583</t>
  </si>
  <si>
    <t>Viện Pastuer TP Hồ Chí Minh</t>
  </si>
  <si>
    <t>0555252</t>
  </si>
  <si>
    <t>VAT Xăng RON 95, Dầu DO</t>
  </si>
  <si>
    <t>Xăng 92</t>
  </si>
  <si>
    <t>0000760</t>
  </si>
  <si>
    <t>DNTN Nguyễn Văn  Sáu</t>
  </si>
  <si>
    <t>0000425</t>
  </si>
  <si>
    <t>Công Ty TNHH Vận Tải Trần Quốc</t>
  </si>
  <si>
    <t>Dây điện, điện trở</t>
  </si>
  <si>
    <t>0098815</t>
  </si>
  <si>
    <t>Bùi Thị Hạnh</t>
  </si>
  <si>
    <t>Thiết bị điện</t>
  </si>
  <si>
    <t>0005360</t>
  </si>
  <si>
    <t>Thiết bị điện Công Nghiệp Vân Tuấn</t>
  </si>
  <si>
    <t>Thử nghiệm khô cá mai</t>
  </si>
  <si>
    <t>0037215</t>
  </si>
  <si>
    <t>TT Kỹ Thuật Tiêu Chuẩn Đo Lường Chất Lượng 3</t>
  </si>
  <si>
    <t>VAT Thử nghiệm khô cá mai</t>
  </si>
  <si>
    <t>Cước vận tải quốc tế</t>
  </si>
  <si>
    <t>0001209</t>
  </si>
  <si>
    <t>Công Ty TNHH Vận Chuyển và Tiếp Vận Kinh Tuyến</t>
  </si>
  <si>
    <t>VAT Phí Bill, Seal, THC, AFR</t>
  </si>
  <si>
    <t>Phí Bill, Seal, THC, AFR</t>
  </si>
  <si>
    <t>0001208</t>
  </si>
  <si>
    <t>Thanh toán tiền sorbitol</t>
  </si>
  <si>
    <t>0002627</t>
  </si>
  <si>
    <t>Công Ty TNHH Tân Hùng Thái</t>
  </si>
  <si>
    <t>Hiệu chuẩn quả cân</t>
  </si>
  <si>
    <t>VAT Hiệu chuẩn quả cân</t>
  </si>
  <si>
    <t>0037333</t>
  </si>
  <si>
    <t>Đánh giá cá khô</t>
  </si>
  <si>
    <t>VAT Đánh giá cá khô</t>
  </si>
  <si>
    <t>0038629</t>
  </si>
  <si>
    <t>Nộp tiền vào TK Q11</t>
  </si>
  <si>
    <t>Phí dịch vụ bảo vệ T6/2015</t>
  </si>
  <si>
    <t>VAT Phí dịch vụ bảo vệ T6/2015</t>
  </si>
  <si>
    <t>0002492</t>
  </si>
  <si>
    <t>Công Ty TNHH Dịch Vụ Bảo Vệ Huỳnh Long</t>
  </si>
  <si>
    <t>0486874</t>
  </si>
  <si>
    <t>Công Ty CP Thế Giới Di Động</t>
  </si>
  <si>
    <t>0555443</t>
  </si>
  <si>
    <t>Cty CP Vật Tư - Xăng Dầu (COMECO)</t>
  </si>
  <si>
    <t>0555632</t>
  </si>
  <si>
    <t>0555750</t>
  </si>
  <si>
    <t>0555827</t>
  </si>
  <si>
    <t>Asus Z00AD Zenfone2</t>
  </si>
  <si>
    <t>VAT Asus Z00AD Zenfone2</t>
  </si>
  <si>
    <t>Phí gửi chứng từ, phụ thu</t>
  </si>
  <si>
    <t>0007212</t>
  </si>
  <si>
    <t>VAT Phí gửi chứng từ, phụ thu</t>
  </si>
  <si>
    <t>Thanh toán lương T6/2015</t>
  </si>
  <si>
    <t>Thanh toán tiền bao bì - Nghị Hòa</t>
  </si>
  <si>
    <t>Thanh toán tiền xử lý cá khô - An Phú</t>
  </si>
  <si>
    <t>Thanh toán tiền thuốc diệt chuột - ruồi - Xuân Thu</t>
  </si>
  <si>
    <t>Thanh toán tiền điện kỳ 3 T5/2015 - Điện lực</t>
  </si>
  <si>
    <t>Thanh toán tiền điện kỳ 1 T6/2015 - Điện lực</t>
  </si>
  <si>
    <t>VAT Phí dịch vụ thông báo số dư tự động</t>
  </si>
  <si>
    <t>Thanh toán tiền điện kỳ 2 T6/2015 - Điện lực</t>
  </si>
  <si>
    <t>Thanh toán phí kiểm nghiệm T5 - Vùng 4</t>
  </si>
  <si>
    <t>Thanh toán tiền bao bì  - Tấn Dũng</t>
  </si>
  <si>
    <t>Thanh toán tiền bảo hiểm - Viễn Đông</t>
  </si>
  <si>
    <t>Vay  KU 1015LDS201501308</t>
  </si>
  <si>
    <t>Chuyển USD - Q4</t>
  </si>
  <si>
    <t xml:space="preserve">Thu tiền hàng - </t>
  </si>
  <si>
    <t>Thu tiền hàng - O.Cheon</t>
  </si>
  <si>
    <t>Trả lãi KU 1015LDS201500488</t>
  </si>
  <si>
    <t>Tất toán KU 1015LDS201402868</t>
  </si>
  <si>
    <t>Lãi tất toán KU 1015LDS201402868</t>
  </si>
  <si>
    <t>Trả 1 phần gốc KU 1015LDS201500010</t>
  </si>
  <si>
    <t>Vay KU 1015LDS201501560</t>
  </si>
  <si>
    <t>Tất toán KU 1015LDS201500010</t>
  </si>
  <si>
    <t>Lãi Tất toán KU 1015LDS201500010</t>
  </si>
  <si>
    <t>Vay KU 1015LD201501587</t>
  </si>
  <si>
    <t>0000788</t>
  </si>
  <si>
    <t>0000825</t>
  </si>
  <si>
    <t>Thanh toán tiền điện kỳ 2 / T5</t>
  </si>
  <si>
    <t>Chuyển VNĐ</t>
  </si>
  <si>
    <t>Vay KU 1402LDS201501740</t>
  </si>
  <si>
    <t>Vay KU 1402LDS201502032</t>
  </si>
  <si>
    <t>Tất toán  KU 1402LDS201403120</t>
  </si>
  <si>
    <t>Jintatsu - Báo có tiền về</t>
  </si>
  <si>
    <t>Lãi chiết khấu</t>
  </si>
  <si>
    <t>Tất toán  KU 1402LDS201403271</t>
  </si>
  <si>
    <t>Lãi KU KU 1402LDS201403271</t>
  </si>
  <si>
    <t>Lãi KU KU 1402LDS201500635</t>
  </si>
  <si>
    <t>T10</t>
  </si>
  <si>
    <t>Thu tiền hàng - Hoàng Hải</t>
  </si>
  <si>
    <t>C49</t>
  </si>
  <si>
    <t>Thanh toán tiền - Nam Thành Công</t>
  </si>
  <si>
    <t>Lệ phí thủ tục hải quan</t>
  </si>
  <si>
    <t>0017376</t>
  </si>
  <si>
    <t>Cước VT - CNTT T6/2015</t>
  </si>
  <si>
    <t>VAT Cước VT - CNTT T6/2015</t>
  </si>
  <si>
    <t>0710769</t>
  </si>
  <si>
    <t>0002708</t>
  </si>
  <si>
    <t>Thanh toán lương T7/2015</t>
  </si>
  <si>
    <t>Thanh toán chế độ thai sản</t>
  </si>
  <si>
    <t>Nguyễn Thị Mỹ Phương</t>
  </si>
  <si>
    <t>Thanh toán tiền điện kỳ 3 T6/2015 - Điện Lực</t>
  </si>
  <si>
    <t>Trả lãi KU 1015LDS201501179</t>
  </si>
  <si>
    <t>Trả lãi KU 1015LDS201501308</t>
  </si>
  <si>
    <t>Trả lãi tất toán KU 1015LDS201500118</t>
  </si>
  <si>
    <t>Thanh toán tiền điện kỳ 1 T7/2015 - Điện Lực</t>
  </si>
  <si>
    <t>Thanh toán phí kiểm nghiệm T6/2015 - Vùng 4</t>
  </si>
  <si>
    <t>Phí thanh toán</t>
  </si>
  <si>
    <t>VAT Phí thanh toán</t>
  </si>
  <si>
    <t>Thanh toán tiền điện kỳ 2 T7/2015 - Điện Lực</t>
  </si>
  <si>
    <t>Thanh toán tiền sorbitol - Thành Phương</t>
  </si>
  <si>
    <t>Thanh toán tiên xử lý cá khô - An Phú</t>
  </si>
  <si>
    <t xml:space="preserve">Thanh toán tiền bao bì - Tấn Dũng </t>
  </si>
  <si>
    <t>Lệ phí hải quan (5 TK)</t>
  </si>
  <si>
    <t>Thanh toán BHLĐ - Toàn Nguyễn</t>
  </si>
  <si>
    <t>Thanh toán tiền điện - Điện Lực</t>
  </si>
  <si>
    <t>Thanh toán cước vận chuyển - Tốc Độ</t>
  </si>
  <si>
    <t>Thanh toán tiền muối - Tân Thành</t>
  </si>
  <si>
    <t>Thanh toán tiền bao bì - Thành Phú</t>
  </si>
  <si>
    <t>Thanh toán tiền điện kỳ 2 - T1/2015 - Điện Lực</t>
  </si>
  <si>
    <t>Thanh toán tiền điện kỳ 3 - T1/2015 - Điện Lực</t>
  </si>
  <si>
    <t>Tiền thuốc diệt chuột - Xuân Thu</t>
  </si>
  <si>
    <t>Thanh toán tiền điện kỳ 1 - T2/2015 - Điện Lực</t>
  </si>
  <si>
    <t xml:space="preserve">Thanh toán hoa hồng UTXK - Thủy Hải Sản Sài Gòn </t>
  </si>
  <si>
    <t>Thanh toán tiền điện kỳ 2 + kỳ 3 - T2/2015 - Điện Lực</t>
  </si>
  <si>
    <t>Thanh toán tiền hàng - Chín Tuy</t>
  </si>
  <si>
    <t>Thanh toán tiền thi công nhà vòm - Nam Thành Công</t>
  </si>
  <si>
    <t>Thanh toán tiền điện kỳ 1 - T3/2015 - Đức Hòa</t>
  </si>
  <si>
    <t>Thanh toán tiền BHLĐ - Toàn Nguyễn</t>
  </si>
  <si>
    <t>Cước CPN T6/2015</t>
  </si>
  <si>
    <t>VAT Cước CPN T6/2015</t>
  </si>
  <si>
    <t>0080992</t>
  </si>
  <si>
    <t>Nước, nước thải, phí CSHT</t>
  </si>
  <si>
    <t>VAT Nước, nước thải, phí CSHT</t>
  </si>
  <si>
    <t>0000420</t>
  </si>
  <si>
    <t>0004017</t>
  </si>
  <si>
    <t>Cty TNHH Hóa Chất Hùng Xương</t>
  </si>
  <si>
    <t>0555988</t>
  </si>
  <si>
    <t>Cty CP Vật Tư - Xăng Dầu (Comeco)</t>
  </si>
  <si>
    <t>0600381</t>
  </si>
  <si>
    <t>VAT Xăng, Dầu DO</t>
  </si>
  <si>
    <t>Q11 - Nộp tiền mặt vào TK</t>
  </si>
  <si>
    <t>Thép không gỉ 304v</t>
  </si>
  <si>
    <t>VAT Thép không gỉ 304v</t>
  </si>
  <si>
    <t>0000537</t>
  </si>
  <si>
    <t>Cty TNHH MTV Minh Hoàng Danh</t>
  </si>
  <si>
    <t>0001449</t>
  </si>
  <si>
    <t>0600568</t>
  </si>
  <si>
    <t>0600678</t>
  </si>
  <si>
    <t>0600807</t>
  </si>
  <si>
    <t>0000867</t>
  </si>
  <si>
    <t>0600936</t>
  </si>
  <si>
    <t>VAT Dầu DO</t>
  </si>
  <si>
    <t>0600937</t>
  </si>
  <si>
    <t>0601094</t>
  </si>
  <si>
    <t>0601095</t>
  </si>
  <si>
    <t>0601385</t>
  </si>
  <si>
    <t>Phí dịch vụ bảo vệ T7/2015</t>
  </si>
  <si>
    <t>VAT Phí dịch vụ bảo vệ T7/2015</t>
  </si>
  <si>
    <t>Phí sửa chữa xe 51F - 080.56</t>
  </si>
  <si>
    <t>VAT Phí sửa chữa xe 51F - 080.56</t>
  </si>
  <si>
    <t>0001524</t>
  </si>
  <si>
    <t>Cty TNHH Dịch Vụ Ôtô Sài Gòn Toyota Tsusho</t>
  </si>
  <si>
    <t>Thép ống mạ kẽm</t>
  </si>
  <si>
    <t>VAT Thép ống mạ kẽm</t>
  </si>
  <si>
    <t>0000287</t>
  </si>
  <si>
    <t>Cty TNHH TM DV Đức Hiền Đức Hòa</t>
  </si>
  <si>
    <t>0601474</t>
  </si>
  <si>
    <t>0000288</t>
  </si>
  <si>
    <t>Phí giao thông T7/2015</t>
  </si>
  <si>
    <t>VAT Phí giao thông T7/2015</t>
  </si>
  <si>
    <t>Thu tiền hàng - More 2007</t>
  </si>
  <si>
    <t>Tất toán KU 1015LDS201500118</t>
  </si>
  <si>
    <t>Vay KU 1015LDS201501790</t>
  </si>
  <si>
    <t>Lê Thị Hường</t>
  </si>
  <si>
    <t>0000919</t>
  </si>
  <si>
    <t>Trả lãi KU 1402LDS201501662</t>
  </si>
  <si>
    <t>Trả lãi KU 1402LDS201501740</t>
  </si>
  <si>
    <t>- Ngày mở sổ 01/03/2015</t>
  </si>
  <si>
    <t>- Ngày mở sổ 01/04/2015</t>
  </si>
  <si>
    <t>Ngày 30 tháng  04  năm  2015</t>
  </si>
  <si>
    <t>Ngày 31 tháng  03  năm  2015</t>
  </si>
  <si>
    <t>- Ngày mở sổ 01/05/2015</t>
  </si>
  <si>
    <t>Ngày 31 tháng  05  năm  2015</t>
  </si>
  <si>
    <t>- Ngày mở sổ 01/06/2015</t>
  </si>
  <si>
    <t>Ngày 30 tháng  06  năm  2015</t>
  </si>
  <si>
    <t>- Ngày mở sổ 01/07/2015</t>
  </si>
  <si>
    <t>Ngày 31 tháng  07  năm  2015</t>
  </si>
  <si>
    <t>- Ngày mở sổ 01/08/2015</t>
  </si>
  <si>
    <t>Ngày 31 tháng  08  năm  2015</t>
  </si>
  <si>
    <t>Cước VT - CNTT T7/2015</t>
  </si>
  <si>
    <t>0840924</t>
  </si>
  <si>
    <t>VAT Cước VT - CNTT T7/2015</t>
  </si>
  <si>
    <t>Cước CPN T7/2015</t>
  </si>
  <si>
    <t>VAT Cước CPN T7/2015</t>
  </si>
  <si>
    <t>0081277</t>
  </si>
  <si>
    <t>0000943</t>
  </si>
  <si>
    <t>0601663</t>
  </si>
  <si>
    <t>0601787</t>
  </si>
  <si>
    <t>Tủ tài liệu, bàn làm việc</t>
  </si>
  <si>
    <t>0002190</t>
  </si>
  <si>
    <t>Cty TNHH TM - Hàng Nội Thất Tân HÒA</t>
  </si>
  <si>
    <t>VAT Tủ tài liệu, bàn làm việc</t>
  </si>
  <si>
    <t>Thép ống</t>
  </si>
  <si>
    <t>VAT Thép ống</t>
  </si>
  <si>
    <t>0000294</t>
  </si>
  <si>
    <t>Cty TNHH TM DV Đức Hiền Đức Hoà</t>
  </si>
  <si>
    <t>0601806</t>
  </si>
  <si>
    <t>Ống gas 1m5</t>
  </si>
  <si>
    <t>0010086</t>
  </si>
  <si>
    <t>Cửa hàng Nghệ Anh Quốc</t>
  </si>
  <si>
    <t>Đầu đốt hồng ngoại</t>
  </si>
  <si>
    <t>VAT Đầu đốt hồng ngoại</t>
  </si>
  <si>
    <t>0000257</t>
  </si>
  <si>
    <t>Cty TNHH Hằng Tín</t>
  </si>
  <si>
    <t>0000258</t>
  </si>
  <si>
    <t>0601955</t>
  </si>
  <si>
    <t>0016086</t>
  </si>
  <si>
    <t>0016101</t>
  </si>
  <si>
    <t>0000972</t>
  </si>
  <si>
    <t>Nộp tiền TK EIB Q4</t>
  </si>
  <si>
    <t>Nộp tiền TK EIB Q11</t>
  </si>
  <si>
    <t>Phân tích, phóng xạ mẫu cá</t>
  </si>
  <si>
    <t>VAT Phân tích, phóng xạ mẫu cá</t>
  </si>
  <si>
    <t>0000771</t>
  </si>
  <si>
    <t>TT Hạt Nhân TPHCM</t>
  </si>
  <si>
    <t>Gas kho lạnh</t>
  </si>
  <si>
    <t>0023806</t>
  </si>
  <si>
    <t>Cơ Sở Điện Lạnh Công</t>
  </si>
  <si>
    <t>Thuế đất phi nông nghiệp</t>
  </si>
  <si>
    <t>Kho bạc NN Đức Hòa - Long An</t>
  </si>
  <si>
    <t>3338</t>
  </si>
  <si>
    <t>Tiền chậm nộp thuế</t>
  </si>
  <si>
    <t>0023808</t>
  </si>
  <si>
    <t>0016430</t>
  </si>
  <si>
    <t>0016474</t>
  </si>
  <si>
    <t>0016585</t>
  </si>
  <si>
    <t>Phân tích thí nghiệm</t>
  </si>
  <si>
    <t>TT Dịch Vụ Phân Tích Thí Nghiệm TPHCM</t>
  </si>
  <si>
    <t>VAT Phân tích thí nghiệm</t>
  </si>
  <si>
    <t>Nguyễn Thị Thùy Trang</t>
  </si>
  <si>
    <t>Lệ phí hải quan TK 20746</t>
  </si>
  <si>
    <t>Phí chuyển tiền</t>
  </si>
  <si>
    <t>VAT Phí chuyển tiền</t>
  </si>
  <si>
    <t>Thanh toán tiền điện kỳ 3 T7/2015 - Điện Lực</t>
  </si>
  <si>
    <t xml:space="preserve">Thanh toán tiền BH - Liberty </t>
  </si>
  <si>
    <t>Thanh toán tiền sử dụng phần mềm khai hải quan điện tử</t>
  </si>
  <si>
    <t>Thanh toán tiền điện kỳ 1 T8/2015 - Điện Lực</t>
  </si>
  <si>
    <t>Trả lãi KU 1015LDS201501560</t>
  </si>
  <si>
    <t>Trả lãi KU 1015LDS201501587</t>
  </si>
  <si>
    <t>Thanh toán tiền điện kỳ 2 T8/2015 - Điện Lực</t>
  </si>
  <si>
    <t>Trả lãi tất toán KU 1015LDS201500437</t>
  </si>
  <si>
    <t>Phí lưu kho, bốc xếp</t>
  </si>
  <si>
    <t>VAT Phí lưu kho, bốc xếp</t>
  </si>
  <si>
    <t>0000069</t>
  </si>
  <si>
    <t>VAT  Xăng 92</t>
  </si>
  <si>
    <t>0000992</t>
  </si>
  <si>
    <t>Thu tiền hàng</t>
  </si>
  <si>
    <t>Tất toán KU 1015LDS201500437</t>
  </si>
  <si>
    <t>Vay KU 1015LDS201502189</t>
  </si>
  <si>
    <t>Trả lãi KU 1402LDS21500635</t>
  </si>
  <si>
    <t>Trả lãi KU 1402LDS21502032</t>
  </si>
  <si>
    <t>Trả lãi KU 1402LDS21501740</t>
  </si>
  <si>
    <t>Trả lãi KU 1402LDS21501662</t>
  </si>
  <si>
    <t>Vay KU 1402LDS201502638</t>
  </si>
  <si>
    <t>Trả gốc KU 1402LDS201500635</t>
  </si>
  <si>
    <t>Thanh toán tiền gas T8/2015</t>
  </si>
  <si>
    <t>0002891</t>
  </si>
  <si>
    <t>Cty TNHH Tân Hải Việt</t>
  </si>
  <si>
    <t>Phí dịch vụ bảo vệ T8/15</t>
  </si>
  <si>
    <t>VAT Phí dịch vụ bảo vệ T8/15</t>
  </si>
  <si>
    <t>0000536</t>
  </si>
  <si>
    <t>Nước, phí CSHT T7/2015</t>
  </si>
  <si>
    <t>VAT Nước, phí CSHT T7/2015</t>
  </si>
  <si>
    <t>0007883</t>
  </si>
  <si>
    <t>0001024</t>
  </si>
  <si>
    <t>Chi tiền rác thải T5 + T6/2015</t>
  </si>
  <si>
    <t>Chi tiền rác thải T7 + T8/2015</t>
  </si>
  <si>
    <t>0019185</t>
  </si>
  <si>
    <t>0050713</t>
  </si>
  <si>
    <t>Thanh toán lương T8/2015</t>
  </si>
  <si>
    <t>Lệ phí hải quan</t>
  </si>
  <si>
    <t>0025345</t>
  </si>
  <si>
    <t>Phân tích thí nghiệm khô cá bò</t>
  </si>
  <si>
    <t>0007852</t>
  </si>
  <si>
    <t>TT Dịch Vụ Phân Tích Thí Nghiệm TP.HCM</t>
  </si>
  <si>
    <t>Cước CPN T8/2015</t>
  </si>
  <si>
    <t>0081713</t>
  </si>
  <si>
    <t>Cước VT - CNTT T8/2015</t>
  </si>
  <si>
    <t>0971907</t>
  </si>
  <si>
    <t>VAT Phân tích thí nghiệm khô cá bò</t>
  </si>
  <si>
    <t>VAT Cước CPN T8/2015</t>
  </si>
  <si>
    <t>VAT Cước VT - CNTT T8/2015</t>
  </si>
  <si>
    <t>0016765</t>
  </si>
  <si>
    <t>0016851</t>
  </si>
  <si>
    <t>Bảo dưỡng xe ôtô 51A - 141.74</t>
  </si>
  <si>
    <t>0001563</t>
  </si>
  <si>
    <t>Cty CP TM DV Ngọc An</t>
  </si>
  <si>
    <t>VAT Bảo dưỡng xe ôtô 51A - 141.74</t>
  </si>
  <si>
    <t>Xét nghiệm mẫu</t>
  </si>
  <si>
    <t>0003340</t>
  </si>
  <si>
    <t>VAT Xét nghiệm mẫu</t>
  </si>
  <si>
    <t>Vật tư sửa kho lạnh, gas, nhớt</t>
  </si>
  <si>
    <t>0023811</t>
  </si>
  <si>
    <t>0017040</t>
  </si>
  <si>
    <t>0017044</t>
  </si>
  <si>
    <t>0017117</t>
  </si>
  <si>
    <t>Bảo dưỡng xe ôtô 51F - 080.56</t>
  </si>
  <si>
    <t>0004842</t>
  </si>
  <si>
    <t>Cty TNHH Dịch Vụ Ô tô Sài Gòn Toyota Tsusho</t>
  </si>
  <si>
    <t>0017246</t>
  </si>
  <si>
    <t>Gas lạnh R22</t>
  </si>
  <si>
    <t>0023816</t>
  </si>
  <si>
    <t>0001072</t>
  </si>
  <si>
    <t>0017359</t>
  </si>
  <si>
    <t>VAT Bảo dưỡng xe ôtô 51F - 080.56</t>
  </si>
  <si>
    <t>0001097</t>
  </si>
  <si>
    <t>VAT Xăng 92</t>
  </si>
  <si>
    <t>0017485</t>
  </si>
  <si>
    <t>0008857</t>
  </si>
  <si>
    <t>Phí gửi chứng từ</t>
  </si>
  <si>
    <t>0017395</t>
  </si>
  <si>
    <t>Cty TNHH Sagawa Express Viet Nam</t>
  </si>
  <si>
    <t>VAT Phí gửi chứng từ</t>
  </si>
  <si>
    <t>0017614</t>
  </si>
  <si>
    <t>0000796</t>
  </si>
  <si>
    <t>Phân tích thí nghiệm khô cá bò tẩm gia vị</t>
  </si>
  <si>
    <t>0009147</t>
  </si>
  <si>
    <t>VAT Phân tích thí nghiệm khô cá bò tẩm gia vị</t>
  </si>
  <si>
    <t>0017833</t>
  </si>
  <si>
    <t>Phí dịch vụ bảo vệ T9/2015</t>
  </si>
  <si>
    <t>0000188</t>
  </si>
  <si>
    <t>VAT Phí dịch vụ bảo vệ T9/2015</t>
  </si>
  <si>
    <t>0017881</t>
  </si>
  <si>
    <t>0001124</t>
  </si>
  <si>
    <t>VAT Xăng 92, dầu DO</t>
  </si>
  <si>
    <t>Phí giao thông T9/2015</t>
  </si>
  <si>
    <t>VAT Phí giao thông T9/2015</t>
  </si>
  <si>
    <t>Trả lãi tất toán KU 1015LDS201500488</t>
  </si>
  <si>
    <t>Thanh toán phí kiểm nghiệm T7/2015 - Vùng 4</t>
  </si>
  <si>
    <t>Thanh toán phí kiểm nghiệm T7/2015 - Tốc Độ</t>
  </si>
  <si>
    <t>Thanh toán tiền điện Kỳ 3 T8/2015 - Điện Lực</t>
  </si>
  <si>
    <t>711</t>
  </si>
  <si>
    <t>Trả lãi KU1015LDS201500719</t>
  </si>
  <si>
    <t>Trả lãi KU1015LDS201501179</t>
  </si>
  <si>
    <t>Trả lãi KU1015LDS201501308</t>
  </si>
  <si>
    <t>Trả lãi KU1015LDS201501560</t>
  </si>
  <si>
    <t>Trả lãi KU1015LDS201501587</t>
  </si>
  <si>
    <t>Thanh toán tiền điện kỳ 1 T9/2015 - Điện Lực</t>
  </si>
  <si>
    <t>Thanh toán phí kiểm nghiệm T8/2015 - Vùng 4</t>
  </si>
  <si>
    <t>Trả 1 phần gốc KU 1015LDS201500488</t>
  </si>
  <si>
    <t>Vay KU 1015LDS201502216</t>
  </si>
  <si>
    <t>Tất toán KU 1015LDS201500488</t>
  </si>
  <si>
    <t>Vay KU 1015LDS201502226</t>
  </si>
  <si>
    <t>Phí ngân hàng</t>
  </si>
  <si>
    <t>Trả lãi KU 1015LDS201501790</t>
  </si>
  <si>
    <t>Tất toán KU 1015LDS201500719</t>
  </si>
  <si>
    <t>Lãi tất toán KU 1015LDS201500719</t>
  </si>
  <si>
    <t>Cước VT - CNTT T9/2015</t>
  </si>
  <si>
    <t>VAT Cước VT - CNTT T9/2015</t>
  </si>
  <si>
    <t>1103800</t>
  </si>
  <si>
    <t>Phí nâng rỗng cont lạnh</t>
  </si>
  <si>
    <t>VAT Phí nâng rỗng cont lạnh</t>
  </si>
  <si>
    <t>0041977</t>
  </si>
  <si>
    <t>Cty TNHH TM và DV Giang Nam</t>
  </si>
  <si>
    <t>0000234; 0000195; 0000259</t>
  </si>
  <si>
    <t>0018236; 0010038; 0012249</t>
  </si>
  <si>
    <t>Cty CP Đại Lý Giao Nhận Vận Tải Xếp Dỡ Tân Cảng</t>
  </si>
  <si>
    <t>Phí nâng hạ tại bãi</t>
  </si>
  <si>
    <t>VAT Phí nâng hạ tại bãi</t>
  </si>
  <si>
    <t>0129418; 0053305; 0046909</t>
  </si>
  <si>
    <t>Cty Liên Doanh Phát Triển Tiếp Vận Số 1</t>
  </si>
  <si>
    <t>Cấp cont rỗng</t>
  </si>
  <si>
    <t>VAT Cấp cont rỗng</t>
  </si>
  <si>
    <t>0956772; 0900973; 0792543; 0751049; 0637623; 0631530; 0481455; 0479334; 0311010</t>
  </si>
  <si>
    <t>Tổng Cty Tân Cảng SG</t>
  </si>
  <si>
    <t>0000326; 0000288; 0000277</t>
  </si>
  <si>
    <t>Cty  TNHH TM XNK Vận Tải Vĩnh Phát</t>
  </si>
  <si>
    <t>Trả lãi KU 1402LDS201502032</t>
  </si>
  <si>
    <t>Phí gia hạn FDI Mỹ</t>
  </si>
  <si>
    <t>Thanh toán lương T9/2015</t>
  </si>
  <si>
    <t>Clorin - vệ sinh HACCP</t>
  </si>
  <si>
    <t>VAT Clorin</t>
  </si>
  <si>
    <t>0000666</t>
  </si>
  <si>
    <t>Đặng Vũ Thụy</t>
  </si>
  <si>
    <t>0000810</t>
  </si>
  <si>
    <t>Nước, nước thải, phí CSHT T9/2015</t>
  </si>
  <si>
    <t>VAT Nước, nước thải, phí CSHT T9/2015</t>
  </si>
  <si>
    <t>Nước, phí CSHT T8/2015</t>
  </si>
  <si>
    <t>VAT Nước, phí CSHT T8/2015</t>
  </si>
  <si>
    <t>0001143</t>
  </si>
  <si>
    <t>Dầu</t>
  </si>
  <si>
    <t>Hoàn thuế GTGT nhập khẩu QĐ 178 - 26/02/15</t>
  </si>
  <si>
    <t>Xăng 95</t>
  </si>
  <si>
    <t>0106005</t>
  </si>
  <si>
    <t>Cty CP Vật tư - Xăng dầu (Comeco)</t>
  </si>
  <si>
    <t>VAT Xăng 95</t>
  </si>
  <si>
    <t>0106124</t>
  </si>
  <si>
    <t>Thang nhôm</t>
  </si>
  <si>
    <t>VAT Thang nhôm</t>
  </si>
  <si>
    <t>0077302</t>
  </si>
  <si>
    <t>Cty TNHH Khu Mua Sắm Đệ Nhất Phan Khang</t>
  </si>
  <si>
    <t>0106197</t>
  </si>
  <si>
    <t>0001174</t>
  </si>
  <si>
    <t>0001193</t>
  </si>
  <si>
    <t xml:space="preserve">Khám sức khỏe CN </t>
  </si>
  <si>
    <t>0000920</t>
  </si>
  <si>
    <t>Phí bảo dưỡng xe 51F - 080.56</t>
  </si>
  <si>
    <t>0007746</t>
  </si>
  <si>
    <t>Cty TNHH Dịch Vụ Ô tô Sài Gòn Toyota Tshusho</t>
  </si>
  <si>
    <t>VAT Phí bảo dưỡng xe 51F - 080.56</t>
  </si>
  <si>
    <t>0106777</t>
  </si>
  <si>
    <t>Phí nước thải T7 + T8/2015</t>
  </si>
  <si>
    <t>VAT Phí nước thải T7 + T8/2015</t>
  </si>
  <si>
    <t>0000958</t>
  </si>
  <si>
    <t>Bảo dưỡng xe ô tô 51A - 141.74</t>
  </si>
  <si>
    <t>VAT Bảo dưỡng xe ô tô 51A - 141.74</t>
  </si>
  <si>
    <t>0002504</t>
  </si>
  <si>
    <t>Cty CP TM Dịch Vụ Ngọc An</t>
  </si>
  <si>
    <t>0106968</t>
  </si>
  <si>
    <t>0018476</t>
  </si>
  <si>
    <t>Phí dịch vụ bảo vệ T10/2015</t>
  </si>
  <si>
    <t>VAT Phí dịch vụ bảo vệ T10/2015</t>
  </si>
  <si>
    <t>0000204</t>
  </si>
  <si>
    <t>Phí phân tích cá cơm khô</t>
  </si>
  <si>
    <t>VAT Phí phân tích cá cơm khô</t>
  </si>
  <si>
    <t>0010911</t>
  </si>
  <si>
    <t>0001224</t>
  </si>
  <si>
    <t>Thanh toán lương T10/2015</t>
  </si>
  <si>
    <t>Trả 1 phần gốc KU 1015LDS201100376</t>
  </si>
  <si>
    <t>Vay KU 1015LDS201502514</t>
  </si>
  <si>
    <t>Trả gốc KU 1015LDS201100376</t>
  </si>
  <si>
    <t>Trả gốc KU 1015LDS201000102</t>
  </si>
  <si>
    <t>Trả gốc KU 1015LDS201100377</t>
  </si>
  <si>
    <t>Vay KU 1015LDS201502531</t>
  </si>
  <si>
    <t>Phí thông Báo LC</t>
  </si>
  <si>
    <t>Tiền điện kỳ 2 T9/2015 - Điện Lực</t>
  </si>
  <si>
    <t>Thanh toán tiên sorbitol - Thành Phương</t>
  </si>
  <si>
    <t>Thanh toán tiền BH xe 51F - 080.56 - Liberty</t>
  </si>
  <si>
    <t>Thanh toán  cước vận chuyển và phí liên quan - Tốc Độ</t>
  </si>
  <si>
    <t>Thanh toán tiền diệt chuột, ruồi - Xuân Thu</t>
  </si>
  <si>
    <t>Thanh toán tiền cước vận chuyển và phí liên quan - Song Tân</t>
  </si>
  <si>
    <t>Nộp tiền mặt vào TK ngân hàng</t>
  </si>
  <si>
    <t>Hoàn thuế GTGT theo QĐ 1826/CT</t>
  </si>
  <si>
    <t>Thanh toán tiền điện kỳ 3 T9/2015 - Điện Lực</t>
  </si>
  <si>
    <t>Trả lãi KU 1015LDS201502189</t>
  </si>
  <si>
    <t>Trả lãi KU 1015LDS201502216</t>
  </si>
  <si>
    <t>Trả lãi KU 1015LDS201502226</t>
  </si>
  <si>
    <t>Thanh toán tiền điện kỳ 1 T10/2015 - Điện Lực</t>
  </si>
  <si>
    <t>Bán NT chuyển TK VND - Q11</t>
  </si>
  <si>
    <t>Phí dịch vụ NH</t>
  </si>
  <si>
    <t>Trả lãi KU 1015LDS201502032</t>
  </si>
  <si>
    <t>0106548</t>
  </si>
  <si>
    <t>- Ngày mở sổ 01/09/2015</t>
  </si>
  <si>
    <t>- Ngày mở sổ 01/10/2015</t>
  </si>
  <si>
    <t>- Ngày mở sổ 01/12/2015</t>
  </si>
  <si>
    <t>Ngày 31 tháng  12  năm  2015</t>
  </si>
  <si>
    <t>Ngày 31 tháng  11  năm  2015</t>
  </si>
  <si>
    <t>Ngày 31 tháng  10  năm  2015</t>
  </si>
  <si>
    <t>Ngày 30 tháng  09  năm  2015</t>
  </si>
  <si>
    <t>- Ngày mở sổ 01/11/2015</t>
  </si>
  <si>
    <t>Thu tiền</t>
  </si>
  <si>
    <t>Trả gốc KU 1015LDS201100378</t>
  </si>
  <si>
    <t>Tất toán KU 1015LDS201501179</t>
  </si>
  <si>
    <t>Lãi tất toán KU 1015LDS201501179</t>
  </si>
  <si>
    <t>Lãi KU 1015LDS201501308</t>
  </si>
  <si>
    <t>Lãi KU 1015LDS201501790</t>
  </si>
  <si>
    <t>Lãi KU 1015LDS201502514</t>
  </si>
  <si>
    <t>Lãi KU 1015LDS201502531</t>
  </si>
  <si>
    <t>Vay KU 1015LDS201503102</t>
  </si>
  <si>
    <t xml:space="preserve">Trả tiền - </t>
  </si>
  <si>
    <t>Phí dịch vụ, điện phí</t>
  </si>
  <si>
    <t>VAT Phí dịch vụ, điện phí</t>
  </si>
  <si>
    <t>Thanh toán tiền thi công công trình - D&amp;T</t>
  </si>
  <si>
    <t>Phí chuyển tiền, kiểm đếm</t>
  </si>
  <si>
    <t>VAT Phí chuyển tiền, kiểm đếm</t>
  </si>
  <si>
    <t>Thanh toán cước vận chuyển và phí liên quan - AAAS</t>
  </si>
  <si>
    <t>Thanh toán tiền trục in và đơn hàng - Đức Mỹ</t>
  </si>
  <si>
    <t>Thanh toán tiền phí kiểm nghiệm T9/2015- Vùng 4</t>
  </si>
  <si>
    <t>Thanh toán tiền điện kỳ 1 T11/2015 - Điện Lực</t>
  </si>
  <si>
    <t>Thanh toán tiền điện kỳ 3 T10/2015 - Điện Lực</t>
  </si>
  <si>
    <t>Cước VT-CNTT T10/2015</t>
  </si>
  <si>
    <t>1236592</t>
  </si>
  <si>
    <t>Viễn Thông Long An</t>
  </si>
  <si>
    <t>VAT Cước VT-CNTT T10/2015</t>
  </si>
  <si>
    <t>0107177</t>
  </si>
  <si>
    <t>0001242</t>
  </si>
  <si>
    <t>Phí phân tích cá khô</t>
  </si>
  <si>
    <t>VAT Phí phân tích cá khô</t>
  </si>
  <si>
    <t>0011195</t>
  </si>
  <si>
    <t>TT Dịch vụ Phân Tích Thí Nghiệm TPHCM</t>
  </si>
  <si>
    <t>Thanh toán tiền điện Kỳ 2 T10/2015</t>
  </si>
  <si>
    <t>Điện Lực Đức Hòa - Long An</t>
  </si>
  <si>
    <t>0107491</t>
  </si>
  <si>
    <t>Hộp giấy, giấy vệ sinh</t>
  </si>
  <si>
    <t>VAT Hộp giấy, giấy vệ sinh</t>
  </si>
  <si>
    <t>0009275</t>
  </si>
  <si>
    <t>Nộp tiền mặt vào TK - Q11</t>
  </si>
  <si>
    <t>Thu gom rác thải T9 +T10/2015</t>
  </si>
  <si>
    <t>0058223</t>
  </si>
  <si>
    <t>0001280</t>
  </si>
  <si>
    <t>0107687</t>
  </si>
  <si>
    <t>Giấy vệ sinh</t>
  </si>
  <si>
    <t>VAT Giấy vệ sinh</t>
  </si>
  <si>
    <t>0009498</t>
  </si>
  <si>
    <t>0107831</t>
  </si>
  <si>
    <t>Nộp tiền mặt vào TK - Q4</t>
  </si>
  <si>
    <t>Cước CPN</t>
  </si>
  <si>
    <t>VAT Cước CPN</t>
  </si>
  <si>
    <t>0107915</t>
  </si>
  <si>
    <t>0107981</t>
  </si>
  <si>
    <t>0005582</t>
  </si>
  <si>
    <t>Viện Pasteur TPHCM</t>
  </si>
  <si>
    <t>0192216</t>
  </si>
  <si>
    <t>Phí dịch vụ bảo vệ T11/2015</t>
  </si>
  <si>
    <t>VAT Phí dịch vụ bảo vệ T11/2015</t>
  </si>
  <si>
    <t>0192256</t>
  </si>
  <si>
    <t>0192333</t>
  </si>
  <si>
    <t>Thanh toán lương T11/2015</t>
  </si>
  <si>
    <t>0061099</t>
  </si>
  <si>
    <t>Trả lãi KU 1402LDS201502638</t>
  </si>
  <si>
    <t>Ứng vốn - Trà Vinh</t>
  </si>
  <si>
    <t>Hoàn vốn - Trà Vinh</t>
  </si>
  <si>
    <t>Bán NT chuyển TK - Q11</t>
  </si>
  <si>
    <t>Chuyển USD - Q11</t>
  </si>
  <si>
    <t>Đồng hồ đo lưu lượng nước</t>
  </si>
  <si>
    <t>VAT Đồng hồ đo lưu lượng nước</t>
  </si>
  <si>
    <t>0000048</t>
  </si>
  <si>
    <t>Cty TNHH Tư Vấn Kỹ Thuật Và Môi Trường Bình Dương</t>
  </si>
  <si>
    <t>Phí giao thông T11/2015</t>
  </si>
  <si>
    <t>VAT Phí giao thông T11/2015</t>
  </si>
  <si>
    <t>0004135</t>
  </si>
  <si>
    <t xml:space="preserve">Thu tiền hàng </t>
  </si>
  <si>
    <t>Nước, nước thải, phí cơ sở hạ tầng</t>
  </si>
  <si>
    <t>0000966</t>
  </si>
  <si>
    <t>Công Ty TNHH Hải Sơn</t>
  </si>
  <si>
    <t>VAT Nước, nước thải, phí cơ sở hạ tầng</t>
  </si>
  <si>
    <t>0000662</t>
  </si>
  <si>
    <t>Phí chứng từ, xếp dỡ, niêm phong, khai báo</t>
  </si>
  <si>
    <t>0003835</t>
  </si>
  <si>
    <t>Cty TNHH Tiếp Vận Trường Xuân Việt Nam</t>
  </si>
  <si>
    <t>0001249</t>
  </si>
  <si>
    <t>Xăng, dầu DO</t>
  </si>
  <si>
    <t>0001331</t>
  </si>
  <si>
    <t>Cước VT - CNTT tháng 11/2015</t>
  </si>
  <si>
    <t>VAT Cước VT - CNTT tháng 11/2015</t>
  </si>
  <si>
    <t>0070425</t>
  </si>
  <si>
    <t>TT Kinh Doanh VNPT - Long An</t>
  </si>
  <si>
    <t>0192412</t>
  </si>
  <si>
    <t>Cty CP Vật tư - Xăng Dầu (Comeco)</t>
  </si>
  <si>
    <t>0020354</t>
  </si>
  <si>
    <t>Cty TNHH Sagawa Express VN</t>
  </si>
  <si>
    <t>0001079</t>
  </si>
  <si>
    <t>0192535</t>
  </si>
  <si>
    <t>Khởi động từ 3P</t>
  </si>
  <si>
    <t>0000083</t>
  </si>
  <si>
    <t>Cty TNHH TM DV XD Thăng Long</t>
  </si>
  <si>
    <t>VAT Khởi động từ 3P</t>
  </si>
  <si>
    <t>Phí điện giao hàng</t>
  </si>
  <si>
    <t>VAT Phí điện giao hàng</t>
  </si>
  <si>
    <t>0005800</t>
  </si>
  <si>
    <t>Cty CP Giao Nhận Vận Tải Song Tân</t>
  </si>
  <si>
    <t>Phí chứng từ, khai hải quan</t>
  </si>
  <si>
    <t>VAT Phí chứng từ, khai hải quan</t>
  </si>
  <si>
    <t>0005798</t>
  </si>
  <si>
    <t>0192685</t>
  </si>
  <si>
    <t>0020448</t>
  </si>
  <si>
    <t>0104095</t>
  </si>
  <si>
    <t>0192827</t>
  </si>
  <si>
    <t>0192872</t>
  </si>
  <si>
    <t>Phí dịch vụ bảo vệ T12/2015</t>
  </si>
  <si>
    <t>VAT Phí dịch vụ bảo vệ T12/2015</t>
  </si>
  <si>
    <t>0000358</t>
  </si>
  <si>
    <t>0000692</t>
  </si>
  <si>
    <t>0005005</t>
  </si>
  <si>
    <t>Nộp tiền vào TK NH - Q4</t>
  </si>
  <si>
    <t>Nộp tiền vào TK NH - Q11</t>
  </si>
  <si>
    <t>0001362</t>
  </si>
  <si>
    <t>Dịch Tiếng Việt sang Tiếng Nga</t>
  </si>
  <si>
    <t>0000068</t>
  </si>
  <si>
    <t>Cty TNHH Đào Tạo - Công Nghệ Dịch Thuật Chuyên Nghiệp 123 VN</t>
  </si>
  <si>
    <t>0001391</t>
  </si>
  <si>
    <t>0192991</t>
  </si>
  <si>
    <t>0001418</t>
  </si>
  <si>
    <t>0193131</t>
  </si>
  <si>
    <t>Phân tích khô cá bò</t>
  </si>
  <si>
    <t>VAT Phân tích khô cá bò</t>
  </si>
  <si>
    <t>0013426</t>
  </si>
  <si>
    <t xml:space="preserve">TT Dịch Vụ Phân Tích Thí Nghiệm TPHCM </t>
  </si>
  <si>
    <t>0193214</t>
  </si>
  <si>
    <t>0193322</t>
  </si>
  <si>
    <t>0193452</t>
  </si>
  <si>
    <t>0001453</t>
  </si>
  <si>
    <t>Cty TNHH TM Mỹ Anh</t>
  </si>
  <si>
    <t>Sửa chữa xe ô tô 51A - 141.74</t>
  </si>
  <si>
    <t>VAT Sửa chữa xe ô tô 51A - 141.74</t>
  </si>
  <si>
    <t>0003818</t>
  </si>
  <si>
    <t>Thanh toán tiền băng gas</t>
  </si>
  <si>
    <t>Thanh toán tiền điện kỳ 2 T11/2015 - Điện Lực</t>
  </si>
  <si>
    <t>Thanh toán tiền điện kỳ 3 T11/2015 - Điện Lực</t>
  </si>
  <si>
    <t>Thanh toán tiền hóa chất  - Thành Phương</t>
  </si>
  <si>
    <t>Thanh toán tiền phí kiểm nghiệm T10/2015- Vùng 4</t>
  </si>
  <si>
    <t>Thanh toán tiền điện kỳ 1 và 2 T12/2015 - Điện Lực</t>
  </si>
  <si>
    <t>Thanh toán tiền chiếu xạ - An Phú</t>
  </si>
  <si>
    <t>Thanh toán tiền hoa hồng UTXK - Thủy Hải Sản SG</t>
  </si>
  <si>
    <t>Thanh toán tiền bao bì - Đức Mỹ</t>
  </si>
  <si>
    <t>Thanh toán tiền Bill - KMTC</t>
  </si>
  <si>
    <t>Phí thông báo dịch vụ số dư</t>
  </si>
  <si>
    <t>VAT Phí thông báo dịch vụ số dư</t>
  </si>
  <si>
    <t>Trả 1 phần gốc KU 1015LDS201501308</t>
  </si>
  <si>
    <t>Trả gốc KU 1015LDS201501308</t>
  </si>
  <si>
    <t>Vay KU 1015LDS201503206</t>
  </si>
  <si>
    <t>Phí tu chỉnh LC</t>
  </si>
  <si>
    <t>VAT Phí tu chỉnh LC</t>
  </si>
  <si>
    <t>Thu tiền hàng - Vostok</t>
  </si>
  <si>
    <t>Trả gốc KU 1015LDS201501560</t>
  </si>
  <si>
    <t>Trả gốc KU 1015LDS201501587</t>
  </si>
  <si>
    <t>Trả lãi KU 1015LDS201529234</t>
  </si>
  <si>
    <t>Trả lãi KU 1015LDS201529237</t>
  </si>
  <si>
    <t>Trả lãi KU 1015LDS201502514</t>
  </si>
  <si>
    <t>Trả lãi KU 1015LDS201502531</t>
  </si>
  <si>
    <t>Vay KU 1015LDS201503420</t>
  </si>
  <si>
    <t>Thu tiền hàng - Markov</t>
  </si>
  <si>
    <t>Lãi KU 1402LDS201501662</t>
  </si>
  <si>
    <t>Vay KU 1402LDS201503829</t>
  </si>
  <si>
    <t>Vay KU 1402LDS201503901</t>
  </si>
  <si>
    <t>0001217</t>
  </si>
  <si>
    <t>Cty TNHH Trung Tâm Y Khoa Hoàng Khang</t>
  </si>
  <si>
    <t>Vay KU 1402LDS201503946</t>
  </si>
  <si>
    <t>Vay KU 1402LDS201504121</t>
  </si>
  <si>
    <t>Trả gốc KU 1402LDS201501662</t>
  </si>
  <si>
    <t>Trả 1 phần gốc KU 1402LDS201501662</t>
  </si>
  <si>
    <t>Trả gốc KU 1402LDS201501740</t>
  </si>
  <si>
    <t>Trả gốc KU 1402LDS201502032</t>
  </si>
  <si>
    <t>Thu tiền hàng - Zhoushan</t>
  </si>
  <si>
    <t xml:space="preserve">Bán NT chuyển TK VND </t>
  </si>
  <si>
    <t>Ngày 31 tháng 12 năm 2015</t>
  </si>
  <si>
    <t>- Ngày mở sổ: 31/12/2015</t>
  </si>
  <si>
    <t>Võ Uyên Phương</t>
  </si>
  <si>
    <t>Nguyễn Thiện Duy</t>
  </si>
  <si>
    <t>Hủy bút toán mua NT</t>
  </si>
  <si>
    <t>T11</t>
  </si>
  <si>
    <t>VAT Cước VT - CNTT tháng 12/2015</t>
  </si>
  <si>
    <t>Cước VT - CNTT tháng 12/2015</t>
  </si>
  <si>
    <t>0205288</t>
  </si>
  <si>
    <t>Thanh toán lương T12/2015</t>
  </si>
  <si>
    <t>Thanh toán lương T1/2015</t>
  </si>
  <si>
    <t>Thanh toán lương T2/2015</t>
  </si>
  <si>
    <t>Thanh toán lương T3/120</t>
  </si>
  <si>
    <t>Thu tiền ứng - Nghĩa Thành Công</t>
  </si>
  <si>
    <t>Phạm Văn Dol</t>
  </si>
  <si>
    <t>VAT Dịch Tiếng Việt sang Tiếng Nga</t>
  </si>
  <si>
    <t>0001268</t>
  </si>
  <si>
    <t>C50</t>
  </si>
  <si>
    <t>C51</t>
  </si>
  <si>
    <t>C52</t>
  </si>
  <si>
    <t>C53</t>
  </si>
  <si>
    <t>C54</t>
  </si>
  <si>
    <t>C55</t>
  </si>
  <si>
    <t>T12</t>
  </si>
  <si>
    <t>T13</t>
  </si>
  <si>
    <t>Thu tạm ứng mua NL</t>
  </si>
  <si>
    <t>C56</t>
  </si>
  <si>
    <t>C57</t>
  </si>
  <si>
    <t>C58</t>
  </si>
  <si>
    <t>C59</t>
  </si>
  <si>
    <t>C60</t>
  </si>
  <si>
    <t>C61</t>
  </si>
  <si>
    <t>Chi chế độ BHXH</t>
  </si>
  <si>
    <t>T</t>
  </si>
  <si>
    <t>VAT Phí chứng từ, xếp dỡ, niêm phong</t>
  </si>
  <si>
    <t>Khám sức khỏe HĐ 01-PKD/HĐKSK 2015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</si>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</sst>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8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  <family val="2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0" fillId="0" borderId="0"/>
    <xf numFmtId="0" fontId="1" fillId="0" borderId="0"/>
    <xf numFmtId="0" fontId="21" fillId="0" borderId="0"/>
    <xf numFmtId="0" fontId="41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  <xf numFmtId="0" fontId="1" fillId="0" borderId="0"/>
  </cellStyleXfs>
  <cellXfs count="537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8" fillId="0" borderId="0" xfId="0" applyNumberFormat="1" applyFont="1" applyAlignment="1">
      <alignment vertical="center"/>
    </xf>
    <xf numFmtId="164" fontId="39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0" fillId="0" borderId="0" xfId="56" applyFont="1" applyFill="1" applyBorder="1" applyAlignment="1" applyProtection="1">
      <alignment horizontal="center" vertical="center"/>
      <protection hidden="1"/>
    </xf>
    <xf numFmtId="0" fontId="47" fillId="0" borderId="0" xfId="56" applyFont="1" applyFill="1" applyBorder="1" applyAlignment="1" applyProtection="1">
      <alignment vertical="center"/>
      <protection hidden="1"/>
    </xf>
    <xf numFmtId="0" fontId="47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1" fillId="0" borderId="0" xfId="0" applyFont="1" applyFill="1" applyBorder="1" applyAlignment="1" applyProtection="1">
      <alignment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42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9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10" fontId="46" fillId="0" borderId="0" xfId="44" applyNumberFormat="1" applyFont="1" applyFill="1" applyBorder="1" applyAlignment="1" applyProtection="1">
      <alignment horizontal="center" vertical="center"/>
      <protection hidden="1"/>
    </xf>
    <xf numFmtId="0" fontId="39" fillId="0" borderId="0" xfId="59" applyFont="1" applyAlignment="1" applyProtection="1">
      <alignment horizontal="center" vertical="center"/>
      <protection hidden="1"/>
    </xf>
    <xf numFmtId="0" fontId="42" fillId="0" borderId="0" xfId="59" applyFont="1" applyAlignment="1" applyProtection="1">
      <alignment horizontal="center" vertical="center"/>
      <protection hidden="1"/>
    </xf>
    <xf numFmtId="0" fontId="47" fillId="0" borderId="0" xfId="0" applyFont="1" applyFill="1" applyBorder="1" applyAlignment="1" applyProtection="1">
      <alignment horizontal="left" vertical="center"/>
      <protection hidden="1"/>
    </xf>
    <xf numFmtId="0" fontId="47" fillId="0" borderId="0" xfId="0" applyFont="1" applyFill="1" applyBorder="1" applyAlignment="1" applyProtection="1">
      <alignment horizontal="justify" vertical="center"/>
      <protection hidden="1"/>
    </xf>
    <xf numFmtId="0" fontId="47" fillId="0" borderId="0" xfId="0" applyFont="1" applyFill="1" applyBorder="1" applyAlignment="1" applyProtection="1">
      <alignment vertical="center"/>
      <protection hidden="1"/>
    </xf>
    <xf numFmtId="171" fontId="48" fillId="0" borderId="0" xfId="0" applyNumberFormat="1" applyFont="1" applyFill="1" applyBorder="1" applyAlignment="1" applyProtection="1">
      <alignment vertical="center"/>
      <protection hidden="1"/>
    </xf>
    <xf numFmtId="0" fontId="49" fillId="0" borderId="0" xfId="0" applyFont="1" applyFill="1" applyBorder="1" applyAlignment="1" applyProtection="1">
      <alignment vertical="center"/>
      <protection hidden="1"/>
    </xf>
    <xf numFmtId="164" fontId="47" fillId="0" borderId="0" xfId="29" applyNumberFormat="1" applyFont="1" applyFill="1" applyBorder="1" applyAlignment="1" applyProtection="1">
      <alignment vertical="center"/>
      <protection hidden="1"/>
    </xf>
    <xf numFmtId="10" fontId="47" fillId="0" borderId="0" xfId="58" applyNumberFormat="1" applyFont="1" applyFill="1" applyBorder="1" applyAlignment="1" applyProtection="1">
      <alignment vertical="center"/>
      <protection hidden="1"/>
    </xf>
    <xf numFmtId="49" fontId="50" fillId="0" borderId="0" xfId="0" applyNumberFormat="1" applyFont="1" applyFill="1" applyBorder="1" applyAlignment="1" applyProtection="1">
      <alignment vertical="center"/>
      <protection hidden="1"/>
    </xf>
    <xf numFmtId="164" fontId="50" fillId="0" borderId="0" xfId="58" applyNumberFormat="1" applyFont="1" applyFill="1" applyBorder="1" applyAlignment="1" applyProtection="1">
      <alignment vertical="center"/>
      <protection hidden="1"/>
    </xf>
    <xf numFmtId="0" fontId="49" fillId="0" borderId="0" xfId="0" applyFont="1" applyFill="1" applyBorder="1" applyAlignment="1" applyProtection="1">
      <alignment horizontal="left" vertical="center"/>
      <protection hidden="1"/>
    </xf>
    <xf numFmtId="0" fontId="50" fillId="0" borderId="0" xfId="0" applyNumberFormat="1" applyFont="1" applyFill="1" applyBorder="1" applyAlignment="1" applyProtection="1">
      <alignment vertical="center"/>
      <protection hidden="1"/>
    </xf>
    <xf numFmtId="0" fontId="47" fillId="0" borderId="0" xfId="58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0" fillId="0" borderId="0" xfId="0" applyNumberFormat="1" applyFont="1" applyFill="1" applyBorder="1" applyAlignment="1" applyProtection="1">
      <alignment horizontal="left" vertical="center"/>
      <protection hidden="1"/>
    </xf>
    <xf numFmtId="10" fontId="47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0" fontId="33" fillId="0" borderId="0" xfId="53" applyFont="1" applyFill="1" applyAlignment="1">
      <alignment horizontal="center" vertical="center"/>
    </xf>
    <xf numFmtId="0" fontId="33" fillId="0" borderId="0" xfId="53" applyFont="1" applyFill="1" applyAlignment="1">
      <alignment horizontal="left" vertical="center" wrapText="1"/>
    </xf>
    <xf numFmtId="0" fontId="32" fillId="0" borderId="0" xfId="53" applyFont="1" applyFill="1" applyAlignment="1">
      <alignment horizontal="center" vertical="center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6" fillId="28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6" fillId="28" borderId="0" xfId="53" applyFont="1" applyFill="1" applyAlignment="1">
      <alignment horizontal="center" vertical="center"/>
    </xf>
    <xf numFmtId="0" fontId="56" fillId="28" borderId="0" xfId="53" applyFont="1" applyFill="1" applyAlignment="1">
      <alignment horizontal="left" vertical="center" wrapText="1"/>
    </xf>
    <xf numFmtId="0" fontId="39" fillId="0" borderId="21" xfId="53" applyFont="1" applyFill="1" applyBorder="1" applyAlignment="1">
      <alignment horizontal="center" vertical="center" wrapText="1"/>
    </xf>
    <xf numFmtId="0" fontId="39" fillId="0" borderId="22" xfId="53" applyFont="1" applyFill="1" applyBorder="1" applyAlignment="1">
      <alignment horizontal="center" vertical="center" wrapText="1"/>
    </xf>
    <xf numFmtId="0" fontId="39" fillId="0" borderId="0" xfId="53" applyFont="1" applyFill="1" applyAlignment="1">
      <alignment vertical="center"/>
    </xf>
    <xf numFmtId="14" fontId="39" fillId="0" borderId="22" xfId="53" applyNumberFormat="1" applyFont="1" applyFill="1" applyBorder="1" applyAlignment="1">
      <alignment horizontal="center" vertical="center" wrapText="1"/>
    </xf>
    <xf numFmtId="0" fontId="39" fillId="0" borderId="17" xfId="53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2" fillId="0" borderId="2" xfId="53" applyNumberFormat="1" applyFont="1" applyFill="1" applyBorder="1" applyAlignment="1">
      <alignment horizontal="center" vertical="center" wrapText="1"/>
    </xf>
    <xf numFmtId="0" fontId="42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39" fillId="0" borderId="2" xfId="53" applyFont="1" applyFill="1" applyBorder="1" applyAlignment="1">
      <alignment vertical="center"/>
    </xf>
    <xf numFmtId="14" fontId="49" fillId="0" borderId="2" xfId="53" applyNumberFormat="1" applyFont="1" applyFill="1" applyBorder="1" applyAlignment="1">
      <alignment vertical="center" wrapText="1"/>
    </xf>
    <xf numFmtId="0" fontId="49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49" fillId="0" borderId="2" xfId="53" applyFont="1" applyFill="1" applyBorder="1" applyAlignment="1">
      <alignment vertical="center" wrapText="1"/>
    </xf>
    <xf numFmtId="164" fontId="49" fillId="0" borderId="2" xfId="29" applyNumberFormat="1" applyFont="1" applyFill="1" applyBorder="1" applyAlignment="1">
      <alignment vertical="center" wrapText="1"/>
    </xf>
    <xf numFmtId="164" fontId="39" fillId="0" borderId="0" xfId="53" applyNumberFormat="1" applyFont="1" applyFill="1" applyAlignment="1">
      <alignment vertical="center"/>
    </xf>
    <xf numFmtId="164" fontId="39" fillId="0" borderId="0" xfId="29" applyNumberFormat="1" applyFont="1" applyFill="1" applyAlignment="1">
      <alignment vertical="center"/>
    </xf>
    <xf numFmtId="14" fontId="39" fillId="0" borderId="16" xfId="53" applyNumberFormat="1" applyFont="1" applyFill="1" applyBorder="1" applyAlignment="1">
      <alignment horizontal="center" vertical="center" wrapText="1"/>
    </xf>
    <xf numFmtId="0" fontId="39" fillId="0" borderId="16" xfId="53" applyFont="1" applyFill="1" applyBorder="1" applyAlignment="1">
      <alignment horizontal="center" vertical="center" wrapText="1"/>
    </xf>
    <xf numFmtId="0" fontId="39" fillId="0" borderId="16" xfId="53" applyFont="1" applyFill="1" applyBorder="1" applyAlignment="1">
      <alignment vertical="center" wrapText="1"/>
    </xf>
    <xf numFmtId="0" fontId="39" fillId="0" borderId="16" xfId="53" quotePrefix="1" applyFont="1" applyFill="1" applyBorder="1" applyAlignment="1">
      <alignment horizontal="center" vertical="center" wrapText="1"/>
    </xf>
    <xf numFmtId="164" fontId="39" fillId="0" borderId="16" xfId="29" applyNumberFormat="1" applyFont="1" applyFill="1" applyBorder="1" applyAlignment="1">
      <alignment horizontal="right" vertical="center" wrapText="1"/>
    </xf>
    <xf numFmtId="164" fontId="39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39" fillId="0" borderId="2" xfId="53" applyNumberFormat="1" applyFont="1" applyFill="1" applyBorder="1" applyAlignment="1">
      <alignment vertical="center" wrapText="1"/>
    </xf>
    <xf numFmtId="0" fontId="39" fillId="0" borderId="2" xfId="53" applyFont="1" applyFill="1" applyBorder="1" applyAlignment="1">
      <alignment horizontal="center" vertical="center" wrapText="1"/>
    </xf>
    <xf numFmtId="0" fontId="39" fillId="0" borderId="2" xfId="53" applyFont="1" applyFill="1" applyBorder="1" applyAlignment="1">
      <alignment vertical="center" wrapText="1"/>
    </xf>
    <xf numFmtId="164" fontId="49" fillId="0" borderId="2" xfId="53" applyNumberFormat="1" applyFont="1" applyFill="1" applyBorder="1" applyAlignment="1">
      <alignment vertical="center" wrapText="1"/>
    </xf>
    <xf numFmtId="0" fontId="58" fillId="0" borderId="0" xfId="53" applyFont="1" applyFill="1" applyAlignment="1">
      <alignment vertical="center"/>
    </xf>
    <xf numFmtId="14" fontId="58" fillId="0" borderId="0" xfId="53" applyNumberFormat="1" applyFont="1" applyFill="1" applyAlignment="1">
      <alignment vertical="center"/>
    </xf>
    <xf numFmtId="0" fontId="58" fillId="0" borderId="0" xfId="53" applyFont="1" applyFill="1" applyAlignment="1">
      <alignment horizontal="center" vertical="center"/>
    </xf>
    <xf numFmtId="0" fontId="58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6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0" fillId="28" borderId="21" xfId="53" applyFont="1" applyFill="1" applyBorder="1" applyAlignment="1">
      <alignment horizontal="center" vertical="center" wrapText="1"/>
    </xf>
    <xf numFmtId="0" fontId="60" fillId="28" borderId="22" xfId="53" applyFont="1" applyFill="1" applyBorder="1" applyAlignment="1">
      <alignment horizontal="center" vertical="center" wrapText="1"/>
    </xf>
    <xf numFmtId="0" fontId="39" fillId="0" borderId="0" xfId="53" applyFont="1" applyAlignment="1">
      <alignment vertical="center"/>
    </xf>
    <xf numFmtId="0" fontId="60" fillId="28" borderId="17" xfId="53" applyFont="1" applyFill="1" applyBorder="1" applyAlignment="1">
      <alignment horizontal="center" vertical="center" wrapText="1"/>
    </xf>
    <xf numFmtId="43" fontId="60" fillId="28" borderId="22" xfId="29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2" fillId="28" borderId="2" xfId="53" applyFont="1" applyFill="1" applyBorder="1" applyAlignment="1">
      <alignment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vertical="center" wrapText="1"/>
    </xf>
    <xf numFmtId="43" fontId="62" fillId="28" borderId="2" xfId="29" applyFont="1" applyFill="1" applyBorder="1" applyAlignment="1">
      <alignment vertical="center" wrapText="1"/>
    </xf>
    <xf numFmtId="43" fontId="39" fillId="0" borderId="0" xfId="53" applyNumberFormat="1" applyFont="1" applyAlignment="1">
      <alignment vertical="center"/>
    </xf>
    <xf numFmtId="164" fontId="39" fillId="0" borderId="16" xfId="29" applyNumberFormat="1" applyFont="1" applyFill="1" applyBorder="1" applyAlignment="1">
      <alignment horizontal="center" vertical="center" wrapText="1"/>
    </xf>
    <xf numFmtId="43" fontId="39" fillId="0" borderId="16" xfId="29" applyFont="1" applyFill="1" applyBorder="1" applyAlignment="1">
      <alignment horizontal="center" vertical="center" wrapText="1"/>
    </xf>
    <xf numFmtId="43" fontId="39" fillId="0" borderId="16" xfId="29" applyFont="1" applyFill="1" applyBorder="1" applyAlignment="1">
      <alignment horizontal="right" vertical="center" wrapText="1"/>
    </xf>
    <xf numFmtId="43" fontId="39" fillId="0" borderId="16" xfId="29" applyFont="1" applyFill="1" applyBorder="1" applyAlignment="1">
      <alignment vertical="center" wrapText="1"/>
    </xf>
    <xf numFmtId="0" fontId="57" fillId="28" borderId="18" xfId="53" applyFont="1" applyFill="1" applyBorder="1" applyAlignment="1">
      <alignment horizontal="center" vertical="center" wrapText="1"/>
    </xf>
    <xf numFmtId="14" fontId="57" fillId="28" borderId="18" xfId="53" applyNumberFormat="1" applyFont="1" applyFill="1" applyBorder="1" applyAlignment="1">
      <alignment horizontal="center" vertical="center" wrapText="1"/>
    </xf>
    <xf numFmtId="0" fontId="57" fillId="28" borderId="18" xfId="53" applyFont="1" applyFill="1" applyBorder="1" applyAlignment="1">
      <alignment vertical="center" wrapText="1"/>
    </xf>
    <xf numFmtId="164" fontId="57" fillId="28" borderId="18" xfId="29" applyNumberFormat="1" applyFont="1" applyFill="1" applyBorder="1" applyAlignment="1">
      <alignment horizontal="center" vertical="center" wrapText="1"/>
    </xf>
    <xf numFmtId="43" fontId="57" fillId="28" borderId="18" xfId="29" applyFont="1" applyFill="1" applyBorder="1" applyAlignment="1">
      <alignment horizontal="right" vertical="center" wrapText="1"/>
    </xf>
    <xf numFmtId="43" fontId="39" fillId="0" borderId="18" xfId="29" applyFont="1" applyFill="1" applyBorder="1" applyAlignment="1">
      <alignment vertical="center" wrapText="1"/>
    </xf>
    <xf numFmtId="14" fontId="60" fillId="28" borderId="2" xfId="53" applyNumberFormat="1" applyFont="1" applyFill="1" applyBorder="1" applyAlignment="1">
      <alignment vertical="center" wrapText="1"/>
    </xf>
    <xf numFmtId="0" fontId="60" fillId="28" borderId="2" xfId="53" applyFont="1" applyFill="1" applyBorder="1" applyAlignment="1">
      <alignment horizontal="center" vertical="center" wrapText="1"/>
    </xf>
    <xf numFmtId="0" fontId="60" fillId="28" borderId="2" xfId="53" applyFont="1" applyFill="1" applyBorder="1" applyAlignment="1">
      <alignment vertical="center" wrapText="1"/>
    </xf>
    <xf numFmtId="164" fontId="60" fillId="28" borderId="2" xfId="29" applyNumberFormat="1" applyFont="1" applyFill="1" applyBorder="1" applyAlignment="1">
      <alignment vertical="center" wrapText="1"/>
    </xf>
    <xf numFmtId="43" fontId="36" fillId="0" borderId="0" xfId="29" applyFont="1" applyAlignment="1">
      <alignment vertical="center"/>
    </xf>
    <xf numFmtId="0" fontId="58" fillId="0" borderId="0" xfId="53" applyFont="1" applyAlignment="1">
      <alignment vertical="center"/>
    </xf>
    <xf numFmtId="0" fontId="58" fillId="0" borderId="0" xfId="53" applyFont="1" applyAlignment="1">
      <alignment horizontal="center" vertical="center"/>
    </xf>
    <xf numFmtId="164" fontId="58" fillId="0" borderId="0" xfId="29" applyNumberFormat="1" applyFont="1" applyAlignment="1">
      <alignment vertical="center"/>
    </xf>
    <xf numFmtId="43" fontId="58" fillId="0" borderId="0" xfId="29" applyFont="1" applyAlignment="1">
      <alignment vertical="center"/>
    </xf>
    <xf numFmtId="14" fontId="56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1" fillId="28" borderId="2" xfId="53" applyNumberFormat="1" applyFont="1" applyFill="1" applyBorder="1" applyAlignment="1">
      <alignment horizontal="center" vertical="center" wrapText="1"/>
    </xf>
    <xf numFmtId="14" fontId="62" fillId="28" borderId="2" xfId="53" applyNumberFormat="1" applyFont="1" applyFill="1" applyBorder="1" applyAlignment="1">
      <alignment vertical="center" wrapText="1"/>
    </xf>
    <xf numFmtId="14" fontId="57" fillId="28" borderId="23" xfId="53" applyNumberFormat="1" applyFont="1" applyFill="1" applyBorder="1" applyAlignment="1">
      <alignment horizontal="center" vertical="center" wrapText="1"/>
    </xf>
    <xf numFmtId="0" fontId="57" fillId="28" borderId="23" xfId="53" applyFont="1" applyFill="1" applyBorder="1" applyAlignment="1">
      <alignment horizontal="center" vertical="center" wrapText="1"/>
    </xf>
    <xf numFmtId="0" fontId="57" fillId="28" borderId="23" xfId="53" applyFont="1" applyFill="1" applyBorder="1" applyAlignment="1">
      <alignment vertical="center" wrapText="1"/>
    </xf>
    <xf numFmtId="164" fontId="57" fillId="28" borderId="23" xfId="29" applyNumberFormat="1" applyFont="1" applyFill="1" applyBorder="1" applyAlignment="1">
      <alignment horizontal="right" vertical="center" wrapText="1"/>
    </xf>
    <xf numFmtId="164" fontId="57" fillId="28" borderId="23" xfId="53" applyNumberFormat="1" applyFont="1" applyFill="1" applyBorder="1" applyAlignment="1">
      <alignment vertical="center" wrapText="1"/>
    </xf>
    <xf numFmtId="164" fontId="62" fillId="28" borderId="2" xfId="53" applyNumberFormat="1" applyFont="1" applyFill="1" applyBorder="1" applyAlignment="1">
      <alignment vertical="center" wrapText="1"/>
    </xf>
    <xf numFmtId="0" fontId="60" fillId="0" borderId="0" xfId="53" applyFont="1" applyBorder="1" applyAlignment="1">
      <alignment vertical="center"/>
    </xf>
    <xf numFmtId="0" fontId="60" fillId="0" borderId="0" xfId="53" applyFont="1" applyBorder="1" applyAlignment="1">
      <alignment horizontal="center" vertical="center"/>
    </xf>
    <xf numFmtId="164" fontId="39" fillId="0" borderId="0" xfId="29" applyNumberFormat="1" applyFont="1" applyAlignment="1">
      <alignment vertical="center"/>
    </xf>
    <xf numFmtId="43" fontId="39" fillId="0" borderId="0" xfId="29" applyFont="1" applyAlignment="1">
      <alignment vertical="center"/>
    </xf>
    <xf numFmtId="0" fontId="60" fillId="0" borderId="0" xfId="53" quotePrefix="1" applyFont="1" applyAlignment="1">
      <alignment horizontal="left" vertical="center"/>
    </xf>
    <xf numFmtId="0" fontId="39" fillId="0" borderId="0" xfId="53" applyFont="1" applyAlignment="1">
      <alignment horizontal="center" vertical="center"/>
    </xf>
    <xf numFmtId="0" fontId="62" fillId="28" borderId="0" xfId="53" applyFont="1" applyFill="1" applyAlignment="1">
      <alignment vertical="center" wrapText="1"/>
    </xf>
    <xf numFmtId="0" fontId="62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0" fontId="62" fillId="28" borderId="0" xfId="53" applyFont="1" applyFill="1" applyAlignment="1">
      <alignment horizontal="center" vertical="center"/>
    </xf>
    <xf numFmtId="164" fontId="62" fillId="28" borderId="0" xfId="29" applyNumberFormat="1" applyFont="1" applyFill="1" applyAlignment="1">
      <alignment horizontal="center" vertical="center"/>
    </xf>
    <xf numFmtId="0" fontId="49" fillId="0" borderId="0" xfId="53" applyFont="1" applyAlignment="1">
      <alignment vertical="center"/>
    </xf>
    <xf numFmtId="0" fontId="60" fillId="28" borderId="0" xfId="53" applyFont="1" applyFill="1" applyAlignment="1">
      <alignment horizontal="center" vertical="center"/>
    </xf>
    <xf numFmtId="0" fontId="60" fillId="28" borderId="0" xfId="53" applyFont="1" applyFill="1" applyAlignment="1">
      <alignment horizontal="center" vertical="center" wrapText="1"/>
    </xf>
    <xf numFmtId="164" fontId="60" fillId="28" borderId="0" xfId="29" applyNumberFormat="1" applyFont="1" applyFill="1" applyAlignment="1">
      <alignment horizontal="center" vertical="center"/>
    </xf>
    <xf numFmtId="0" fontId="60" fillId="28" borderId="0" xfId="53" applyFont="1" applyFill="1" applyAlignment="1">
      <alignment vertical="center" wrapText="1"/>
    </xf>
    <xf numFmtId="14" fontId="58" fillId="0" borderId="0" xfId="53" applyNumberFormat="1" applyFont="1" applyAlignment="1">
      <alignment vertical="center"/>
    </xf>
    <xf numFmtId="43" fontId="60" fillId="28" borderId="2" xfId="29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43" fontId="39" fillId="0" borderId="0" xfId="53" applyNumberFormat="1" applyFont="1" applyFill="1" applyAlignment="1">
      <alignment vertical="center"/>
    </xf>
    <xf numFmtId="164" fontId="57" fillId="28" borderId="18" xfId="29" applyNumberFormat="1" applyFont="1" applyFill="1" applyBorder="1" applyAlignment="1">
      <alignment horizontal="right" vertical="center" wrapText="1"/>
    </xf>
    <xf numFmtId="164" fontId="39" fillId="0" borderId="18" xfId="53" applyNumberFormat="1" applyFont="1" applyFill="1" applyBorder="1" applyAlignment="1">
      <alignment vertical="center" wrapText="1"/>
    </xf>
    <xf numFmtId="43" fontId="49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39" fillId="0" borderId="21" xfId="53" applyFont="1" applyFill="1" applyBorder="1" applyAlignment="1" applyProtection="1">
      <alignment horizontal="center" vertical="center" wrapText="1"/>
      <protection hidden="1"/>
    </xf>
    <xf numFmtId="0" fontId="39" fillId="0" borderId="22" xfId="53" applyFont="1" applyFill="1" applyBorder="1" applyAlignment="1" applyProtection="1">
      <alignment horizontal="center" vertical="center" wrapText="1"/>
      <protection hidden="1"/>
    </xf>
    <xf numFmtId="0" fontId="39" fillId="0" borderId="0" xfId="53" applyFont="1" applyFill="1" applyAlignment="1" applyProtection="1">
      <alignment vertical="center"/>
      <protection hidden="1"/>
    </xf>
    <xf numFmtId="14" fontId="39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0" fontId="49" fillId="0" borderId="2" xfId="53" applyFont="1" applyFill="1" applyBorder="1" applyAlignment="1" applyProtection="1">
      <alignment horizontal="center" vertical="center" wrapText="1"/>
      <protection hidden="1"/>
    </xf>
    <xf numFmtId="0" fontId="55" fillId="0" borderId="0" xfId="53" applyFont="1" applyFill="1" applyAlignment="1" applyProtection="1">
      <alignment horizontal="center" vertical="center" wrapText="1"/>
      <protection hidden="1"/>
    </xf>
    <xf numFmtId="0" fontId="49" fillId="0" borderId="2" xfId="53" applyFont="1" applyFill="1" applyBorder="1" applyAlignment="1" applyProtection="1">
      <alignment vertical="center" wrapText="1"/>
      <protection hidden="1"/>
    </xf>
    <xf numFmtId="14" fontId="39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39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39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39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39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39" fillId="0" borderId="2" xfId="53" applyNumberFormat="1" applyFont="1" applyFill="1" applyBorder="1" applyAlignment="1" applyProtection="1">
      <alignment vertical="center" wrapText="1"/>
      <protection hidden="1"/>
    </xf>
    <xf numFmtId="0" fontId="39" fillId="0" borderId="2" xfId="53" applyFont="1" applyFill="1" applyBorder="1" applyAlignment="1" applyProtection="1">
      <alignment horizontal="center" vertical="center" wrapText="1"/>
      <protection hidden="1"/>
    </xf>
    <xf numFmtId="0" fontId="39" fillId="0" borderId="2" xfId="53" applyNumberFormat="1" applyFont="1" applyFill="1" applyBorder="1" applyAlignment="1" applyProtection="1">
      <alignment vertical="center" wrapText="1"/>
      <protection hidden="1"/>
    </xf>
    <xf numFmtId="164" fontId="49" fillId="0" borderId="2" xfId="53" applyNumberFormat="1" applyFont="1" applyFill="1" applyBorder="1" applyAlignment="1" applyProtection="1">
      <alignment vertical="center" wrapText="1"/>
      <protection hidden="1"/>
    </xf>
    <xf numFmtId="0" fontId="39" fillId="0" borderId="2" xfId="53" applyFont="1" applyFill="1" applyBorder="1" applyAlignment="1" applyProtection="1">
      <alignment vertical="center" wrapText="1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58" fillId="0" borderId="0" xfId="53" applyNumberFormat="1" applyFont="1" applyFill="1" applyAlignment="1" applyProtection="1">
      <alignment vertical="center"/>
      <protection hidden="1"/>
    </xf>
    <xf numFmtId="0" fontId="58" fillId="0" borderId="0" xfId="53" applyFont="1" applyFill="1" applyAlignment="1" applyProtection="1">
      <alignment horizontal="center" vertical="center"/>
      <protection hidden="1"/>
    </xf>
    <xf numFmtId="0" fontId="58" fillId="0" borderId="0" xfId="53" applyFont="1" applyFill="1" applyAlignment="1" applyProtection="1">
      <alignment vertical="center" wrapText="1"/>
      <protection hidden="1"/>
    </xf>
    <xf numFmtId="0" fontId="58" fillId="0" borderId="0" xfId="53" applyNumberFormat="1" applyFont="1" applyFill="1" applyAlignment="1" applyProtection="1">
      <alignment vertical="center"/>
      <protection hidden="1"/>
    </xf>
    <xf numFmtId="0" fontId="58" fillId="0" borderId="0" xfId="53" applyFont="1" applyFill="1" applyAlignment="1" applyProtection="1">
      <alignment vertical="center"/>
      <protection hidden="1"/>
    </xf>
    <xf numFmtId="43" fontId="49" fillId="0" borderId="2" xfId="29" applyFont="1" applyFill="1" applyBorder="1" applyAlignment="1" applyProtection="1">
      <alignment vertical="center" wrapText="1"/>
      <protection hidden="1"/>
    </xf>
    <xf numFmtId="43" fontId="39" fillId="0" borderId="16" xfId="29" applyFont="1" applyFill="1" applyBorder="1" applyAlignment="1" applyProtection="1">
      <alignment horizontal="center" vertical="center" wrapText="1"/>
      <protection hidden="1"/>
    </xf>
    <xf numFmtId="43" fontId="39" fillId="0" borderId="16" xfId="29" applyFont="1" applyFill="1" applyBorder="1" applyAlignment="1" applyProtection="1">
      <alignment vertical="center" wrapText="1"/>
      <protection hidden="1"/>
    </xf>
    <xf numFmtId="0" fontId="39" fillId="0" borderId="0" xfId="53" applyFont="1" applyFill="1" applyBorder="1" applyAlignment="1" applyProtection="1">
      <alignment horizontal="center" vertical="center" wrapText="1"/>
      <protection hidden="1"/>
    </xf>
    <xf numFmtId="0" fontId="42" fillId="0" borderId="0" xfId="53" applyFont="1" applyFill="1" applyBorder="1" applyAlignment="1" applyProtection="1">
      <alignment horizontal="center" vertical="center" wrapText="1"/>
      <protection hidden="1"/>
    </xf>
    <xf numFmtId="0" fontId="49" fillId="0" borderId="0" xfId="53" applyFont="1" applyFill="1" applyBorder="1" applyAlignment="1" applyProtection="1">
      <alignment vertical="center" wrapText="1"/>
      <protection hidden="1"/>
    </xf>
    <xf numFmtId="164" fontId="39" fillId="0" borderId="0" xfId="53" applyNumberFormat="1" applyFont="1" applyFill="1" applyBorder="1" applyAlignment="1" applyProtection="1">
      <alignment vertical="center" wrapText="1"/>
      <protection hidden="1"/>
    </xf>
    <xf numFmtId="0" fontId="39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2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2" fillId="0" borderId="2" xfId="53" applyFont="1" applyFill="1" applyBorder="1" applyAlignment="1" applyProtection="1">
      <alignment horizontal="center" vertical="center" wrapText="1"/>
      <protection locked="0"/>
    </xf>
    <xf numFmtId="0" fontId="42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4" fillId="0" borderId="16" xfId="0" applyNumberFormat="1" applyFont="1" applyBorder="1" applyAlignment="1">
      <alignment horizontal="left" vertical="center" wrapText="1"/>
    </xf>
    <xf numFmtId="0" fontId="65" fillId="0" borderId="16" xfId="53" applyFont="1" applyFill="1" applyBorder="1" applyAlignment="1">
      <alignment vertical="center" wrapText="1"/>
    </xf>
    <xf numFmtId="0" fontId="66" fillId="0" borderId="0" xfId="53" applyFont="1" applyFill="1" applyAlignment="1">
      <alignment vertical="center"/>
    </xf>
    <xf numFmtId="14" fontId="66" fillId="0" borderId="16" xfId="53" applyNumberFormat="1" applyFont="1" applyFill="1" applyBorder="1" applyAlignment="1">
      <alignment horizontal="center" vertical="center" wrapText="1"/>
    </xf>
    <xf numFmtId="0" fontId="66" fillId="0" borderId="16" xfId="53" applyFont="1" applyFill="1" applyBorder="1" applyAlignment="1">
      <alignment horizontal="center" vertical="center" wrapText="1"/>
    </xf>
    <xf numFmtId="0" fontId="66" fillId="0" borderId="16" xfId="53" applyFont="1" applyFill="1" applyBorder="1" applyAlignment="1">
      <alignment vertical="center" wrapText="1"/>
    </xf>
    <xf numFmtId="164" fontId="66" fillId="0" borderId="16" xfId="53" applyNumberFormat="1" applyFont="1" applyFill="1" applyBorder="1" applyAlignment="1">
      <alignment vertical="center" wrapText="1"/>
    </xf>
    <xf numFmtId="0" fontId="66" fillId="0" borderId="16" xfId="53" quotePrefix="1" applyFont="1" applyFill="1" applyBorder="1" applyAlignment="1">
      <alignment horizontal="center" vertical="center" wrapText="1"/>
    </xf>
    <xf numFmtId="164" fontId="66" fillId="0" borderId="16" xfId="29" applyNumberFormat="1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right" vertical="center" wrapText="1"/>
    </xf>
    <xf numFmtId="0" fontId="65" fillId="0" borderId="16" xfId="53" applyFont="1" applyFill="1" applyBorder="1" applyAlignment="1">
      <alignment horizontal="center" vertical="center" wrapText="1"/>
    </xf>
    <xf numFmtId="0" fontId="65" fillId="0" borderId="0" xfId="53" applyFont="1" applyFill="1" applyAlignment="1">
      <alignment vertical="center"/>
    </xf>
    <xf numFmtId="14" fontId="65" fillId="0" borderId="16" xfId="53" applyNumberFormat="1" applyFont="1" applyFill="1" applyBorder="1" applyAlignment="1">
      <alignment horizontal="center" vertical="center" wrapText="1"/>
    </xf>
    <xf numFmtId="0" fontId="65" fillId="0" borderId="16" xfId="53" quotePrefix="1" applyFont="1" applyFill="1" applyBorder="1" applyAlignment="1">
      <alignment horizontal="center" vertical="center" wrapText="1"/>
    </xf>
    <xf numFmtId="164" fontId="65" fillId="0" borderId="16" xfId="29" applyNumberFormat="1" applyFont="1" applyFill="1" applyBorder="1" applyAlignment="1">
      <alignment horizontal="right" vertical="center" wrapText="1"/>
    </xf>
    <xf numFmtId="164" fontId="65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4" fillId="0" borderId="16" xfId="0" applyNumberFormat="1" applyFont="1" applyBorder="1" applyAlignment="1">
      <alignment horizontal="left" vertical="center"/>
    </xf>
    <xf numFmtId="164" fontId="39" fillId="0" borderId="16" xfId="57" applyNumberFormat="1" applyFont="1" applyFill="1" applyBorder="1" applyAlignment="1">
      <alignment horizontal="lef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9" fillId="29" borderId="16" xfId="29" applyNumberFormat="1" applyFont="1" applyFill="1" applyBorder="1" applyAlignment="1">
      <alignment horizontal="right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0" fontId="32" fillId="0" borderId="16" xfId="0" quotePrefix="1" applyFont="1" applyFill="1" applyBorder="1" applyAlignment="1">
      <alignment vertical="center" wrapText="1"/>
    </xf>
    <xf numFmtId="0" fontId="39" fillId="29" borderId="16" xfId="53" quotePrefix="1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vertical="center" wrapText="1"/>
    </xf>
    <xf numFmtId="164" fontId="65" fillId="0" borderId="16" xfId="29" applyNumberFormat="1" applyFont="1" applyFill="1" applyBorder="1" applyAlignment="1">
      <alignment horizontal="center" vertical="center" wrapText="1"/>
    </xf>
    <xf numFmtId="43" fontId="65" fillId="0" borderId="16" xfId="29" applyFont="1" applyFill="1" applyBorder="1" applyAlignment="1">
      <alignment horizontal="center" vertical="center" wrapText="1"/>
    </xf>
    <xf numFmtId="43" fontId="65" fillId="0" borderId="16" xfId="29" applyFont="1" applyFill="1" applyBorder="1" applyAlignment="1">
      <alignment horizontal="right" vertical="center" wrapText="1"/>
    </xf>
    <xf numFmtId="43" fontId="65" fillId="0" borderId="16" xfId="29" applyFont="1" applyFill="1" applyBorder="1" applyAlignment="1">
      <alignment vertical="center" wrapText="1"/>
    </xf>
    <xf numFmtId="164" fontId="39" fillId="0" borderId="16" xfId="57" quotePrefix="1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5" fillId="0" borderId="16" xfId="0" applyNumberFormat="1" applyFont="1" applyFill="1" applyBorder="1" applyAlignment="1">
      <alignment vertical="center"/>
    </xf>
    <xf numFmtId="0" fontId="39" fillId="29" borderId="0" xfId="53" applyFont="1" applyFill="1" applyAlignment="1">
      <alignment vertical="center"/>
    </xf>
    <xf numFmtId="14" fontId="39" fillId="29" borderId="16" xfId="53" applyNumberFormat="1" applyFont="1" applyFill="1" applyBorder="1" applyAlignment="1">
      <alignment horizontal="center" vertical="center" wrapText="1"/>
    </xf>
    <xf numFmtId="0" fontId="39" fillId="29" borderId="16" xfId="53" applyFont="1" applyFill="1" applyBorder="1" applyAlignment="1">
      <alignment horizontal="center" vertical="center" wrapText="1"/>
    </xf>
    <xf numFmtId="0" fontId="39" fillId="29" borderId="16" xfId="53" applyFont="1" applyFill="1" applyBorder="1" applyAlignment="1">
      <alignment vertical="center" wrapText="1"/>
    </xf>
    <xf numFmtId="164" fontId="39" fillId="29" borderId="16" xfId="53" applyNumberFormat="1" applyFont="1" applyFill="1" applyBorder="1" applyAlignment="1">
      <alignment vertical="center" wrapText="1"/>
    </xf>
    <xf numFmtId="0" fontId="39" fillId="0" borderId="0" xfId="53" applyFont="1" applyAlignment="1">
      <alignment horizontal="center" vertical="center"/>
    </xf>
    <xf numFmtId="0" fontId="60" fillId="28" borderId="0" xfId="53" applyFont="1" applyFill="1" applyAlignment="1">
      <alignment horizontal="center" vertical="center"/>
    </xf>
    <xf numFmtId="0" fontId="62" fillId="28" borderId="0" xfId="53" applyFont="1" applyFill="1" applyAlignment="1">
      <alignment horizontal="center" vertical="center" wrapText="1"/>
    </xf>
    <xf numFmtId="14" fontId="39" fillId="0" borderId="0" xfId="53" applyNumberFormat="1" applyFont="1" applyFill="1" applyBorder="1" applyAlignment="1">
      <alignment vertical="center"/>
    </xf>
    <xf numFmtId="0" fontId="39" fillId="0" borderId="0" xfId="53" applyFont="1" applyFill="1" applyBorder="1" applyAlignment="1">
      <alignment horizontal="center" vertical="center"/>
    </xf>
    <xf numFmtId="14" fontId="39" fillId="0" borderId="0" xfId="53" applyNumberFormat="1" applyFont="1" applyFill="1" applyAlignment="1">
      <alignment vertical="center"/>
    </xf>
    <xf numFmtId="0" fontId="39" fillId="0" borderId="0" xfId="53" applyFont="1" applyFill="1" applyAlignment="1">
      <alignment vertical="center" wrapText="1"/>
    </xf>
    <xf numFmtId="14" fontId="39" fillId="0" borderId="0" xfId="53" quotePrefix="1" applyNumberFormat="1" applyFont="1" applyFill="1" applyAlignment="1">
      <alignment horizontal="left" vertical="center"/>
    </xf>
    <xf numFmtId="0" fontId="39" fillId="0" borderId="0" xfId="53" applyFont="1" applyFill="1" applyAlignment="1">
      <alignment horizontal="center" vertical="center"/>
    </xf>
    <xf numFmtId="14" fontId="49" fillId="0" borderId="0" xfId="53" applyNumberFormat="1" applyFont="1" applyFill="1" applyAlignment="1">
      <alignment vertical="center" wrapText="1"/>
    </xf>
    <xf numFmtId="0" fontId="49" fillId="0" borderId="0" xfId="53" applyFont="1" applyFill="1" applyAlignment="1">
      <alignment horizontal="center" vertical="center" wrapText="1"/>
    </xf>
    <xf numFmtId="14" fontId="67" fillId="0" borderId="0" xfId="53" applyNumberFormat="1" applyFont="1" applyFill="1" applyAlignment="1">
      <alignment horizontal="center" vertical="center" wrapText="1"/>
    </xf>
    <xf numFmtId="14" fontId="49" fillId="0" borderId="0" xfId="53" applyNumberFormat="1" applyFont="1" applyFill="1" applyAlignment="1">
      <alignment horizontal="center" vertical="center" wrapText="1"/>
    </xf>
    <xf numFmtId="0" fontId="49" fillId="0" borderId="0" xfId="53" applyFont="1" applyFill="1" applyAlignment="1">
      <alignment horizontal="center" vertical="center"/>
    </xf>
    <xf numFmtId="0" fontId="49" fillId="0" borderId="0" xfId="53" applyFont="1" applyFill="1" applyAlignment="1">
      <alignment vertical="center"/>
    </xf>
    <xf numFmtId="0" fontId="49" fillId="0" borderId="0" xfId="53" applyFont="1" applyFill="1" applyAlignment="1">
      <alignment vertical="center" wrapText="1"/>
    </xf>
    <xf numFmtId="14" fontId="39" fillId="0" borderId="0" xfId="53" applyNumberFormat="1" applyFont="1" applyFill="1" applyAlignment="1">
      <alignment horizontal="center" vertical="center" wrapText="1"/>
    </xf>
    <xf numFmtId="164" fontId="39" fillId="0" borderId="24" xfId="29" applyNumberFormat="1" applyFont="1" applyBorder="1" applyAlignment="1">
      <alignment horizontal="center" vertical="center"/>
    </xf>
    <xf numFmtId="43" fontId="39" fillId="0" borderId="0" xfId="29" applyNumberFormat="1" applyFont="1" applyAlignment="1">
      <alignment vertical="center"/>
    </xf>
    <xf numFmtId="164" fontId="39" fillId="0" borderId="0" xfId="29" applyNumberFormat="1" applyFont="1" applyAlignment="1">
      <alignment horizontal="center" vertical="center"/>
    </xf>
    <xf numFmtId="43" fontId="62" fillId="28" borderId="0" xfId="29" applyFont="1" applyFill="1" applyAlignment="1">
      <alignment horizontal="center" vertical="center"/>
    </xf>
    <xf numFmtId="43" fontId="62" fillId="28" borderId="0" xfId="29" applyFont="1" applyFill="1" applyAlignment="1">
      <alignment horizontal="center" vertical="center" wrapText="1"/>
    </xf>
    <xf numFmtId="43" fontId="60" fillId="28" borderId="0" xfId="29" applyFont="1" applyFill="1" applyAlignment="1">
      <alignment horizontal="center" vertical="center"/>
    </xf>
    <xf numFmtId="0" fontId="35" fillId="0" borderId="0" xfId="77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164" fontId="32" fillId="0" borderId="16" xfId="57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horizontal="center" vertical="center"/>
    </xf>
    <xf numFmtId="164" fontId="32" fillId="0" borderId="0" xfId="57" applyNumberFormat="1" applyFont="1" applyFill="1" applyAlignment="1">
      <alignment horizontal="center" vertical="center"/>
    </xf>
    <xf numFmtId="0" fontId="32" fillId="0" borderId="0" xfId="57" applyFont="1" applyFill="1" applyAlignment="1">
      <alignment horizontal="left" vertical="center"/>
    </xf>
    <xf numFmtId="164" fontId="33" fillId="0" borderId="0" xfId="57" applyNumberFormat="1" applyFont="1" applyFill="1" applyAlignment="1">
      <alignment vertical="center" wrapText="1"/>
    </xf>
    <xf numFmtId="164" fontId="33" fillId="0" borderId="0" xfId="57" applyNumberFormat="1" applyFont="1" applyFill="1" applyAlignment="1">
      <alignment horizontal="center" vertical="center" wrapText="1"/>
    </xf>
    <xf numFmtId="0" fontId="32" fillId="0" borderId="0" xfId="54" applyFont="1" applyFill="1" applyAlignment="1">
      <alignment horizontal="left" vertical="center"/>
    </xf>
    <xf numFmtId="14" fontId="33" fillId="0" borderId="0" xfId="57" applyNumberFormat="1" applyFont="1" applyFill="1" applyAlignment="1">
      <alignment horizontal="center" vertical="center" wrapText="1"/>
    </xf>
    <xf numFmtId="164" fontId="32" fillId="0" borderId="0" xfId="57" applyNumberFormat="1" applyFont="1" applyFill="1" applyAlignment="1">
      <alignment horizontal="center" vertical="center" wrapText="1"/>
    </xf>
    <xf numFmtId="164" fontId="32" fillId="0" borderId="0" xfId="0" applyNumberFormat="1" applyFont="1" applyFill="1" applyAlignment="1">
      <alignment vertical="center"/>
    </xf>
    <xf numFmtId="164" fontId="32" fillId="0" borderId="0" xfId="0" applyNumberFormat="1" applyFont="1" applyFill="1" applyAlignment="1">
      <alignment horizontal="left" vertical="center"/>
    </xf>
    <xf numFmtId="164" fontId="32" fillId="0" borderId="2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Fill="1" applyAlignment="1">
      <alignment vertical="center"/>
    </xf>
    <xf numFmtId="164" fontId="36" fillId="0" borderId="2" xfId="0" applyNumberFormat="1" applyFont="1" applyFill="1" applyBorder="1" applyAlignment="1">
      <alignment horizontal="center" vertical="center" wrapText="1"/>
    </xf>
    <xf numFmtId="164" fontId="32" fillId="0" borderId="19" xfId="0" applyNumberFormat="1" applyFont="1" applyFill="1" applyBorder="1" applyAlignment="1">
      <alignment vertical="center" wrapText="1"/>
    </xf>
    <xf numFmtId="49" fontId="32" fillId="0" borderId="19" xfId="0" applyNumberFormat="1" applyFont="1" applyFill="1" applyBorder="1" applyAlignment="1">
      <alignment vertical="center" wrapText="1"/>
    </xf>
    <xf numFmtId="164" fontId="32" fillId="0" borderId="19" xfId="0" applyNumberFormat="1" applyFont="1" applyFill="1" applyBorder="1" applyAlignment="1">
      <alignment horizontal="left" vertical="center" wrapText="1"/>
    </xf>
    <xf numFmtId="14" fontId="32" fillId="0" borderId="16" xfId="0" applyNumberFormat="1" applyFont="1" applyFill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horizontal="center" vertical="center" wrapText="1"/>
    </xf>
    <xf numFmtId="164" fontId="32" fillId="0" borderId="16" xfId="29" applyNumberFormat="1" applyFont="1" applyFill="1" applyBorder="1" applyAlignment="1">
      <alignment horizontal="left" vertical="center" wrapText="1"/>
    </xf>
    <xf numFmtId="164" fontId="33" fillId="0" borderId="0" xfId="0" applyNumberFormat="1" applyFont="1" applyFill="1" applyAlignment="1">
      <alignment vertical="center"/>
    </xf>
    <xf numFmtId="164" fontId="33" fillId="0" borderId="16" xfId="0" applyNumberFormat="1" applyFont="1" applyFill="1" applyBorder="1" applyAlignment="1">
      <alignment vertical="center" wrapText="1"/>
    </xf>
    <xf numFmtId="164" fontId="33" fillId="0" borderId="16" xfId="0" applyNumberFormat="1" applyFont="1" applyFill="1" applyBorder="1" applyAlignment="1">
      <alignment horizontal="center" vertical="center" wrapText="1"/>
    </xf>
    <xf numFmtId="164" fontId="33" fillId="0" borderId="18" xfId="0" applyNumberFormat="1" applyFont="1" applyFill="1" applyBorder="1" applyAlignment="1">
      <alignment vertical="center" wrapText="1"/>
    </xf>
    <xf numFmtId="164" fontId="33" fillId="0" borderId="18" xfId="0" applyNumberFormat="1" applyFont="1" applyFill="1" applyBorder="1" applyAlignment="1">
      <alignment horizontal="center" vertical="center" wrapText="1"/>
    </xf>
    <xf numFmtId="164" fontId="32" fillId="0" borderId="0" xfId="0" quotePrefix="1" applyNumberFormat="1" applyFont="1" applyFill="1" applyAlignment="1">
      <alignment vertical="center"/>
    </xf>
    <xf numFmtId="0" fontId="35" fillId="0" borderId="0" xfId="57" applyFont="1" applyFill="1" applyAlignment="1">
      <alignment horizontal="center" vertical="center"/>
    </xf>
    <xf numFmtId="0" fontId="33" fillId="0" borderId="0" xfId="57" applyFont="1" applyFill="1" applyAlignment="1">
      <alignment horizontal="center" vertical="center"/>
    </xf>
    <xf numFmtId="0" fontId="32" fillId="0" borderId="0" xfId="57" applyFont="1" applyFill="1" applyAlignment="1">
      <alignment horizontal="center" vertical="center"/>
    </xf>
    <xf numFmtId="164" fontId="33" fillId="0" borderId="0" xfId="57" applyNumberFormat="1" applyFont="1" applyFill="1" applyAlignment="1">
      <alignment horizontal="center" vertical="center" wrapText="1"/>
    </xf>
    <xf numFmtId="164" fontId="32" fillId="0" borderId="0" xfId="57" applyNumberFormat="1" applyFont="1" applyFill="1" applyAlignment="1">
      <alignment horizontal="center" vertical="center" wrapText="1"/>
    </xf>
    <xf numFmtId="164" fontId="32" fillId="0" borderId="2" xfId="0" applyNumberFormat="1" applyFont="1" applyFill="1" applyBorder="1" applyAlignment="1">
      <alignment horizontal="center" vertical="center" wrapText="1"/>
    </xf>
    <xf numFmtId="0" fontId="39" fillId="0" borderId="21" xfId="53" applyFont="1" applyFill="1" applyBorder="1" applyAlignment="1" applyProtection="1">
      <alignment horizontal="center" vertical="center" wrapText="1"/>
      <protection hidden="1"/>
    </xf>
    <xf numFmtId="0" fontId="39" fillId="0" borderId="22" xfId="53" applyFont="1" applyFill="1" applyBorder="1" applyAlignment="1" applyProtection="1">
      <alignment horizontal="center" vertical="center" wrapText="1"/>
      <protection hidden="1"/>
    </xf>
    <xf numFmtId="164" fontId="35" fillId="0" borderId="0" xfId="0" applyNumberFormat="1" applyFont="1" applyAlignment="1">
      <alignment vertical="center"/>
    </xf>
    <xf numFmtId="164" fontId="35" fillId="0" borderId="0" xfId="0" applyNumberFormat="1" applyFont="1" applyAlignment="1">
      <alignment horizontal="center" vertical="center"/>
    </xf>
    <xf numFmtId="164" fontId="33" fillId="0" borderId="19" xfId="0" applyNumberFormat="1" applyFont="1" applyFill="1" applyBorder="1" applyAlignment="1">
      <alignment vertical="center" wrapText="1"/>
    </xf>
    <xf numFmtId="49" fontId="33" fillId="0" borderId="19" xfId="0" applyNumberFormat="1" applyFont="1" applyFill="1" applyBorder="1" applyAlignment="1">
      <alignment vertical="center" wrapText="1"/>
    </xf>
    <xf numFmtId="164" fontId="33" fillId="0" borderId="19" xfId="0" applyNumberFormat="1" applyFont="1" applyFill="1" applyBorder="1" applyAlignment="1">
      <alignment horizontal="left" vertical="center" wrapText="1"/>
    </xf>
    <xf numFmtId="164" fontId="35" fillId="0" borderId="0" xfId="0" applyNumberFormat="1" applyFont="1" applyFill="1" applyAlignment="1">
      <alignment vertical="center"/>
    </xf>
    <xf numFmtId="164" fontId="35" fillId="0" borderId="0" xfId="0" applyNumberFormat="1" applyFont="1" applyFill="1" applyAlignment="1">
      <alignment horizontal="center" vertical="center"/>
    </xf>
    <xf numFmtId="43" fontId="32" fillId="0" borderId="0" xfId="29" applyFont="1" applyFill="1" applyAlignment="1">
      <alignment vertical="center"/>
    </xf>
    <xf numFmtId="0" fontId="33" fillId="0" borderId="0" xfId="53" applyFont="1" applyFill="1" applyAlignment="1" applyProtection="1">
      <alignment vertical="center" wrapText="1"/>
      <protection hidden="1"/>
    </xf>
    <xf numFmtId="14" fontId="39" fillId="0" borderId="0" xfId="53" applyNumberFormat="1" applyFont="1" applyFill="1" applyBorder="1" applyAlignment="1" applyProtection="1">
      <alignment vertical="center"/>
      <protection hidden="1"/>
    </xf>
    <xf numFmtId="0" fontId="39" fillId="0" borderId="0" xfId="53" applyFont="1" applyFill="1" applyBorder="1" applyAlignment="1" applyProtection="1">
      <alignment horizontal="center" vertical="center"/>
      <protection hidden="1"/>
    </xf>
    <xf numFmtId="14" fontId="39" fillId="0" borderId="0" xfId="53" applyNumberFormat="1" applyFont="1" applyFill="1" applyAlignment="1" applyProtection="1">
      <alignment vertical="center"/>
      <protection hidden="1"/>
    </xf>
    <xf numFmtId="0" fontId="39" fillId="0" borderId="0" xfId="53" applyFont="1" applyFill="1" applyAlignment="1" applyProtection="1">
      <alignment vertical="center" wrapText="1"/>
      <protection hidden="1"/>
    </xf>
    <xf numFmtId="0" fontId="39" fillId="0" borderId="0" xfId="53" applyNumberFormat="1" applyFont="1" applyFill="1" applyAlignment="1" applyProtection="1">
      <alignment vertical="center"/>
      <protection hidden="1"/>
    </xf>
    <xf numFmtId="164" fontId="39" fillId="0" borderId="0" xfId="53" applyNumberFormat="1" applyFont="1" applyFill="1" applyAlignment="1" applyProtection="1">
      <alignment vertical="center"/>
      <protection hidden="1"/>
    </xf>
    <xf numFmtId="0" fontId="39" fillId="0" borderId="0" xfId="53" quotePrefix="1" applyFont="1" applyAlignment="1" applyProtection="1">
      <protection hidden="1"/>
    </xf>
    <xf numFmtId="0" fontId="39" fillId="0" borderId="0" xfId="53" applyFont="1" applyFill="1" applyAlignment="1" applyProtection="1">
      <alignment horizontal="center" vertical="center"/>
      <protection hidden="1"/>
    </xf>
    <xf numFmtId="14" fontId="49" fillId="0" borderId="0" xfId="53" applyNumberFormat="1" applyFont="1" applyFill="1" applyAlignment="1" applyProtection="1">
      <alignment vertical="center" wrapText="1"/>
      <protection hidden="1"/>
    </xf>
    <xf numFmtId="0" fontId="49" fillId="0" borderId="0" xfId="53" applyFont="1" applyFill="1" applyAlignment="1" applyProtection="1">
      <alignment horizontal="center" vertical="center" wrapText="1"/>
      <protection hidden="1"/>
    </xf>
    <xf numFmtId="14" fontId="67" fillId="0" borderId="0" xfId="53" applyNumberFormat="1" applyFont="1" applyFill="1" applyAlignment="1" applyProtection="1">
      <alignment horizontal="center" vertical="center" wrapText="1"/>
      <protection hidden="1"/>
    </xf>
    <xf numFmtId="0" fontId="67" fillId="0" borderId="0" xfId="53" applyFont="1" applyFill="1" applyAlignment="1" applyProtection="1">
      <alignment horizontal="center" vertical="center"/>
      <protection hidden="1"/>
    </xf>
    <xf numFmtId="0" fontId="62" fillId="28" borderId="0" xfId="53" applyNumberFormat="1" applyFont="1" applyFill="1" applyAlignment="1" applyProtection="1">
      <alignment horizontal="center" vertical="center"/>
      <protection hidden="1"/>
    </xf>
    <xf numFmtId="0" fontId="49" fillId="0" borderId="0" xfId="53" applyFont="1" applyFill="1" applyAlignment="1" applyProtection="1">
      <alignment horizontal="center" vertical="center"/>
      <protection hidden="1"/>
    </xf>
    <xf numFmtId="0" fontId="49" fillId="0" borderId="0" xfId="53" applyFont="1" applyFill="1" applyAlignment="1" applyProtection="1">
      <alignment vertical="center"/>
      <protection hidden="1"/>
    </xf>
    <xf numFmtId="0" fontId="39" fillId="0" borderId="0" xfId="53" applyFont="1" applyFill="1" applyAlignment="1" applyProtection="1">
      <alignment horizontal="center" vertical="center"/>
      <protection hidden="1"/>
    </xf>
    <xf numFmtId="0" fontId="60" fillId="28" borderId="0" xfId="53" applyNumberFormat="1" applyFont="1" applyFill="1" applyAlignment="1" applyProtection="1">
      <alignment horizontal="center" vertical="center"/>
      <protection hidden="1"/>
    </xf>
    <xf numFmtId="14" fontId="39" fillId="0" borderId="0" xfId="53" applyNumberFormat="1" applyFont="1" applyFill="1" applyBorder="1" applyAlignment="1" applyProtection="1">
      <alignment vertical="center" wrapText="1"/>
      <protection hidden="1"/>
    </xf>
    <xf numFmtId="0" fontId="39" fillId="0" borderId="0" xfId="53" applyNumberFormat="1" applyFont="1" applyFill="1" applyBorder="1" applyAlignment="1" applyProtection="1">
      <alignment vertical="center" wrapText="1"/>
      <protection hidden="1"/>
    </xf>
    <xf numFmtId="164" fontId="49" fillId="0" borderId="0" xfId="53" applyNumberFormat="1" applyFont="1" applyFill="1" applyBorder="1" applyAlignment="1" applyProtection="1">
      <alignment vertical="center" wrapText="1"/>
      <protection hidden="1"/>
    </xf>
    <xf numFmtId="14" fontId="67" fillId="0" borderId="0" xfId="53" applyNumberFormat="1" applyFont="1" applyFill="1" applyAlignment="1" applyProtection="1">
      <alignment horizontal="center" vertical="center"/>
      <protection hidden="1"/>
    </xf>
    <xf numFmtId="14" fontId="67" fillId="0" borderId="0" xfId="53" applyNumberFormat="1" applyFont="1" applyFill="1" applyAlignment="1" applyProtection="1">
      <alignment vertical="center"/>
      <protection hidden="1"/>
    </xf>
    <xf numFmtId="0" fontId="67" fillId="0" borderId="0" xfId="53" applyFont="1" applyFill="1" applyAlignment="1" applyProtection="1">
      <alignment vertical="center" wrapText="1"/>
      <protection hidden="1"/>
    </xf>
    <xf numFmtId="0" fontId="67" fillId="0" borderId="0" xfId="53" applyNumberFormat="1" applyFont="1" applyFill="1" applyAlignment="1" applyProtection="1">
      <alignment vertical="center"/>
      <protection hidden="1"/>
    </xf>
    <xf numFmtId="0" fontId="67" fillId="0" borderId="0" xfId="53" applyFont="1" applyFill="1" applyAlignment="1" applyProtection="1">
      <alignment vertical="center"/>
      <protection hidden="1"/>
    </xf>
    <xf numFmtId="0" fontId="49" fillId="0" borderId="0" xfId="53" applyFont="1" applyFill="1" applyAlignment="1" applyProtection="1">
      <alignment horizontal="center" vertical="center"/>
      <protection hidden="1"/>
    </xf>
    <xf numFmtId="14" fontId="49" fillId="0" borderId="26" xfId="53" applyNumberFormat="1" applyFont="1" applyFill="1" applyBorder="1" applyAlignment="1" applyProtection="1">
      <alignment vertical="center" wrapText="1"/>
      <protection hidden="1"/>
    </xf>
    <xf numFmtId="0" fontId="49" fillId="0" borderId="26" xfId="53" applyFont="1" applyFill="1" applyBorder="1" applyAlignment="1" applyProtection="1">
      <alignment horizontal="center" vertical="center" wrapText="1"/>
      <protection hidden="1"/>
    </xf>
    <xf numFmtId="0" fontId="49" fillId="0" borderId="26" xfId="53" applyFont="1" applyFill="1" applyBorder="1" applyAlignment="1" applyProtection="1">
      <alignment vertical="center" wrapText="1"/>
      <protection hidden="1"/>
    </xf>
    <xf numFmtId="0" fontId="49" fillId="0" borderId="26" xfId="53" applyNumberFormat="1" applyFont="1" applyFill="1" applyBorder="1" applyAlignment="1" applyProtection="1">
      <alignment vertical="center" wrapText="1"/>
      <protection hidden="1"/>
    </xf>
    <xf numFmtId="164" fontId="49" fillId="0" borderId="26" xfId="29" applyNumberFormat="1" applyFont="1" applyFill="1" applyBorder="1" applyAlignment="1" applyProtection="1">
      <alignment vertical="center" wrapText="1"/>
      <protection hidden="1"/>
    </xf>
    <xf numFmtId="14" fontId="49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9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9" fillId="0" borderId="0" xfId="53" applyFont="1" applyFill="1" applyBorder="1" applyAlignment="1" applyProtection="1">
      <alignment horizontal="center" vertical="center" wrapText="1"/>
      <protection hidden="1"/>
    </xf>
    <xf numFmtId="43" fontId="39" fillId="0" borderId="0" xfId="53" applyNumberFormat="1" applyFont="1" applyFill="1" applyAlignment="1" applyProtection="1">
      <alignment vertical="center"/>
      <protection hidden="1"/>
    </xf>
    <xf numFmtId="43" fontId="49" fillId="0" borderId="0" xfId="29" applyFont="1" applyFill="1" applyBorder="1" applyAlignment="1" applyProtection="1">
      <alignment vertical="center" wrapText="1"/>
      <protection hidden="1"/>
    </xf>
    <xf numFmtId="43" fontId="49" fillId="0" borderId="26" xfId="29" applyFont="1" applyFill="1" applyBorder="1" applyAlignment="1" applyProtection="1">
      <alignment vertical="center" wrapText="1"/>
      <protection hidden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Fill="1" applyAlignment="1">
      <alignment horizontal="center" vertical="center" wrapText="1"/>
    </xf>
    <xf numFmtId="164" fontId="32" fillId="0" borderId="0" xfId="57" applyNumberFormat="1" applyFont="1" applyFill="1" applyAlignment="1">
      <alignment horizontal="center" vertical="center" wrapText="1"/>
    </xf>
    <xf numFmtId="164" fontId="32" fillId="0" borderId="2" xfId="0" applyNumberFormat="1" applyFont="1" applyFill="1" applyBorder="1" applyAlignment="1">
      <alignment horizontal="center" vertical="center" wrapText="1"/>
    </xf>
    <xf numFmtId="164" fontId="32" fillId="0" borderId="26" xfId="0" applyNumberFormat="1" applyFont="1" applyFill="1" applyBorder="1" applyAlignment="1">
      <alignment horizontal="center" vertical="center" wrapText="1"/>
    </xf>
    <xf numFmtId="164" fontId="32" fillId="0" borderId="23" xfId="0" applyNumberFormat="1" applyFont="1" applyFill="1" applyBorder="1" applyAlignment="1">
      <alignment horizontal="center" vertical="center" wrapText="1"/>
    </xf>
    <xf numFmtId="164" fontId="34" fillId="0" borderId="0" xfId="0" applyNumberFormat="1" applyFont="1" applyFill="1" applyAlignment="1">
      <alignment horizontal="center" vertical="center"/>
    </xf>
    <xf numFmtId="164" fontId="32" fillId="0" borderId="0" xfId="0" applyNumberFormat="1" applyFont="1" applyFill="1" applyAlignment="1">
      <alignment horizontal="center" vertical="center"/>
    </xf>
    <xf numFmtId="164" fontId="32" fillId="0" borderId="26" xfId="0" applyNumberFormat="1" applyFont="1" applyBorder="1" applyAlignment="1">
      <alignment horizontal="center" vertical="center"/>
    </xf>
    <xf numFmtId="164" fontId="32" fillId="0" borderId="23" xfId="0" applyNumberFormat="1" applyFont="1" applyBorder="1" applyAlignment="1">
      <alignment horizontal="center" vertical="center"/>
    </xf>
    <xf numFmtId="0" fontId="39" fillId="0" borderId="26" xfId="53" applyFont="1" applyFill="1" applyBorder="1" applyAlignment="1">
      <alignment horizontal="center" vertical="center" wrapText="1"/>
    </xf>
    <xf numFmtId="0" fontId="39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5" fillId="0" borderId="0" xfId="53" applyFont="1" applyFill="1" applyAlignment="1">
      <alignment horizontal="center" vertical="center" wrapText="1"/>
    </xf>
    <xf numFmtId="14" fontId="39" fillId="0" borderId="26" xfId="53" applyNumberFormat="1" applyFont="1" applyFill="1" applyBorder="1" applyAlignment="1">
      <alignment horizontal="center" vertical="center" wrapText="1"/>
    </xf>
    <xf numFmtId="14" fontId="39" fillId="0" borderId="27" xfId="53" applyNumberFormat="1" applyFont="1" applyFill="1" applyBorder="1" applyAlignment="1">
      <alignment horizontal="center" vertical="center" wrapText="1"/>
    </xf>
    <xf numFmtId="0" fontId="39" fillId="0" borderId="28" xfId="53" applyFont="1" applyFill="1" applyBorder="1" applyAlignment="1">
      <alignment horizontal="center" vertical="center" wrapText="1"/>
    </xf>
    <xf numFmtId="0" fontId="39" fillId="0" borderId="21" xfId="53" applyFont="1" applyFill="1" applyBorder="1" applyAlignment="1">
      <alignment horizontal="center" vertical="center" wrapText="1"/>
    </xf>
    <xf numFmtId="0" fontId="67" fillId="0" borderId="0" xfId="53" applyFont="1" applyFill="1" applyAlignment="1">
      <alignment horizontal="center" vertical="center"/>
    </xf>
    <xf numFmtId="0" fontId="49" fillId="0" borderId="0" xfId="53" applyFont="1" applyFill="1" applyAlignment="1">
      <alignment horizontal="center" vertical="center" wrapText="1"/>
    </xf>
    <xf numFmtId="0" fontId="39" fillId="0" borderId="0" xfId="53" applyFont="1" applyFill="1" applyAlignment="1">
      <alignment horizontal="center" vertical="center"/>
    </xf>
    <xf numFmtId="0" fontId="39" fillId="0" borderId="22" xfId="53" applyFont="1" applyFill="1" applyBorder="1" applyAlignment="1">
      <alignment horizontal="center" vertical="center" wrapText="1"/>
    </xf>
    <xf numFmtId="0" fontId="39" fillId="0" borderId="17" xfId="53" applyFont="1" applyFill="1" applyBorder="1" applyAlignment="1">
      <alignment horizontal="center" vertical="center" wrapText="1"/>
    </xf>
    <xf numFmtId="0" fontId="39" fillId="0" borderId="29" xfId="53" applyFont="1" applyFill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0" fillId="28" borderId="26" xfId="53" applyFont="1" applyFill="1" applyBorder="1" applyAlignment="1">
      <alignment horizontal="center" vertical="center" wrapText="1"/>
    </xf>
    <xf numFmtId="0" fontId="60" fillId="28" borderId="27" xfId="53" applyFont="1" applyFill="1" applyBorder="1" applyAlignment="1">
      <alignment horizontal="center" vertical="center" wrapText="1"/>
    </xf>
    <xf numFmtId="0" fontId="60" fillId="28" borderId="30" xfId="53" applyFont="1" applyFill="1" applyBorder="1" applyAlignment="1">
      <alignment horizontal="center" vertical="center" wrapText="1"/>
    </xf>
    <xf numFmtId="0" fontId="60" fillId="28" borderId="21" xfId="53" applyFont="1" applyFill="1" applyBorder="1" applyAlignment="1">
      <alignment horizontal="center" vertical="center" wrapText="1"/>
    </xf>
    <xf numFmtId="0" fontId="60" fillId="28" borderId="22" xfId="53" applyFont="1" applyFill="1" applyBorder="1" applyAlignment="1">
      <alignment horizontal="center" vertical="center" wrapText="1"/>
    </xf>
    <xf numFmtId="0" fontId="60" fillId="28" borderId="17" xfId="53" applyFont="1" applyFill="1" applyBorder="1" applyAlignment="1">
      <alignment horizontal="center" vertical="center" wrapText="1"/>
    </xf>
    <xf numFmtId="0" fontId="60" fillId="28" borderId="29" xfId="53" applyFont="1" applyFill="1" applyBorder="1" applyAlignment="1">
      <alignment horizontal="center" vertical="center" wrapText="1"/>
    </xf>
    <xf numFmtId="0" fontId="60" fillId="28" borderId="28" xfId="53" applyFont="1" applyFill="1" applyBorder="1" applyAlignment="1">
      <alignment horizontal="center" vertical="center" wrapText="1"/>
    </xf>
    <xf numFmtId="164" fontId="60" fillId="28" borderId="22" xfId="29" applyNumberFormat="1" applyFont="1" applyFill="1" applyBorder="1" applyAlignment="1">
      <alignment horizontal="center" vertical="center" wrapText="1"/>
    </xf>
    <xf numFmtId="164" fontId="60" fillId="28" borderId="17" xfId="29" applyNumberFormat="1" applyFont="1" applyFill="1" applyBorder="1" applyAlignment="1">
      <alignment horizontal="center" vertical="center" wrapText="1"/>
    </xf>
    <xf numFmtId="0" fontId="62" fillId="28" borderId="0" xfId="53" applyFont="1" applyFill="1" applyAlignment="1">
      <alignment horizontal="center" vertical="center" wrapText="1"/>
    </xf>
    <xf numFmtId="0" fontId="60" fillId="28" borderId="0" xfId="53" applyFont="1" applyFill="1" applyAlignment="1">
      <alignment horizontal="center" vertical="center"/>
    </xf>
    <xf numFmtId="0" fontId="39" fillId="0" borderId="0" xfId="53" applyFont="1" applyAlignment="1">
      <alignment horizontal="center" vertical="center"/>
    </xf>
    <xf numFmtId="0" fontId="56" fillId="28" borderId="0" xfId="53" applyFont="1" applyFill="1" applyAlignment="1">
      <alignment horizontal="center" vertical="center"/>
    </xf>
    <xf numFmtId="0" fontId="56" fillId="28" borderId="0" xfId="53" applyFont="1" applyFill="1" applyAlignment="1">
      <alignment horizontal="left" vertical="center" wrapText="1"/>
    </xf>
    <xf numFmtId="0" fontId="56" fillId="28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9" fillId="0" borderId="0" xfId="53" applyFont="1" applyAlignment="1">
      <alignment horizontal="center" vertical="center" wrapText="1"/>
    </xf>
    <xf numFmtId="14" fontId="60" fillId="28" borderId="26" xfId="53" applyNumberFormat="1" applyFont="1" applyFill="1" applyBorder="1" applyAlignment="1">
      <alignment horizontal="center" vertical="center" wrapText="1"/>
    </xf>
    <xf numFmtId="14" fontId="60" fillId="28" borderId="27" xfId="53" applyNumberFormat="1" applyFont="1" applyFill="1" applyBorder="1" applyAlignment="1">
      <alignment horizontal="center" vertical="center" wrapText="1"/>
    </xf>
    <xf numFmtId="43" fontId="49" fillId="0" borderId="0" xfId="29" applyFont="1" applyAlignment="1">
      <alignment horizontal="center" vertical="center"/>
    </xf>
    <xf numFmtId="0" fontId="60" fillId="28" borderId="2" xfId="53" applyFont="1" applyFill="1" applyBorder="1" applyAlignment="1">
      <alignment horizontal="center" vertical="center" wrapText="1"/>
    </xf>
    <xf numFmtId="164" fontId="60" fillId="28" borderId="2" xfId="29" applyNumberFormat="1" applyFont="1" applyFill="1" applyBorder="1" applyAlignment="1">
      <alignment horizontal="center" vertical="center" wrapText="1"/>
    </xf>
    <xf numFmtId="0" fontId="49" fillId="0" borderId="0" xfId="53" applyFont="1" applyFill="1" applyAlignment="1" applyProtection="1">
      <alignment horizontal="center" vertical="center"/>
      <protection hidden="1"/>
    </xf>
    <xf numFmtId="0" fontId="67" fillId="0" borderId="0" xfId="53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9" fillId="0" borderId="0" xfId="53" applyFont="1" applyFill="1" applyAlignment="1" applyProtection="1">
      <alignment horizontal="center" vertical="center"/>
      <protection hidden="1"/>
    </xf>
    <xf numFmtId="0" fontId="55" fillId="0" borderId="0" xfId="53" applyFont="1" applyFill="1" applyAlignment="1" applyProtection="1">
      <alignment horizontal="center" vertical="center" wrapText="1"/>
      <protection hidden="1"/>
    </xf>
    <xf numFmtId="14" fontId="39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39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39" fillId="0" borderId="28" xfId="53" applyFont="1" applyFill="1" applyBorder="1" applyAlignment="1" applyProtection="1">
      <alignment horizontal="center" vertical="center" wrapText="1"/>
      <protection hidden="1"/>
    </xf>
    <xf numFmtId="0" fontId="39" fillId="0" borderId="21" xfId="53" applyFont="1" applyFill="1" applyBorder="1" applyAlignment="1" applyProtection="1">
      <alignment horizontal="center" vertical="center" wrapText="1"/>
      <protection hidden="1"/>
    </xf>
    <xf numFmtId="0" fontId="39" fillId="0" borderId="29" xfId="53" applyFont="1" applyFill="1" applyBorder="1" applyAlignment="1" applyProtection="1">
      <alignment horizontal="center" vertical="center" wrapText="1"/>
      <protection hidden="1"/>
    </xf>
    <xf numFmtId="0" fontId="39" fillId="0" borderId="22" xfId="53" applyFont="1" applyFill="1" applyBorder="1" applyAlignment="1" applyProtection="1">
      <alignment horizontal="center" vertical="center" wrapText="1"/>
      <protection hidden="1"/>
    </xf>
    <xf numFmtId="0" fontId="39" fillId="0" borderId="17" xfId="53" applyFont="1" applyFill="1" applyBorder="1" applyAlignment="1" applyProtection="1">
      <alignment horizontal="center" vertical="center" wrapText="1"/>
      <protection hidden="1"/>
    </xf>
    <xf numFmtId="0" fontId="39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39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164" fontId="60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0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0" fillId="28" borderId="32" xfId="29" applyNumberFormat="1" applyFont="1" applyFill="1" applyBorder="1" applyAlignment="1" applyProtection="1">
      <alignment horizontal="center" vertical="center" wrapText="1"/>
      <protection hidden="1"/>
    </xf>
    <xf numFmtId="0" fontId="49" fillId="0" borderId="0" xfId="53" applyFont="1" applyFill="1" applyAlignment="1" applyProtection="1">
      <alignment vertical="center" wrapText="1"/>
      <protection hidden="1"/>
    </xf>
    <xf numFmtId="14" fontId="39" fillId="0" borderId="0" xfId="53" applyNumberFormat="1" applyFont="1" applyFill="1" applyAlignment="1" applyProtection="1">
      <alignment horizontal="center" vertical="center"/>
      <protection hidden="1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 2" xfId="77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3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0000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33"/>
  </sheetPr>
  <dimension ref="B1:IR61"/>
  <sheetViews>
    <sheetView tabSelected="1" workbookViewId="0">
      <selection activeCell="X17" sqref="X17"/>
    </sheetView>
  </sheetViews>
  <sheetFormatPr defaultColWidth="5.42578125" defaultRowHeight="15"/>
  <cols>
    <col min="1" max="1" width="4.28515625" style="56" customWidth="1"/>
    <col min="2" max="2" width="5.28515625" style="56" customWidth="1"/>
    <col min="3" max="3" width="14.85546875" style="56" customWidth="1"/>
    <col min="4" max="4" width="16" style="56" customWidth="1"/>
    <col min="5" max="5" width="3.85546875" style="56" customWidth="1"/>
    <col min="6" max="6" width="6" style="56" customWidth="1"/>
    <col min="7" max="8" width="6.7109375" style="56" customWidth="1"/>
    <col min="9" max="9" width="10.42578125" style="56" customWidth="1"/>
    <col min="10" max="10" width="5.85546875" style="56" customWidth="1"/>
    <col min="11" max="11" width="8.28515625" style="56" customWidth="1"/>
    <col min="12" max="12" width="5" style="56" customWidth="1"/>
    <col min="13" max="13" width="6.42578125" style="56" customWidth="1"/>
    <col min="14" max="14" width="3.140625" style="56" customWidth="1"/>
    <col min="15" max="15" width="7.140625" style="56" customWidth="1"/>
    <col min="16" max="16" width="5" style="90" customWidth="1"/>
    <col min="17" max="17" width="5" style="56" customWidth="1"/>
    <col min="18" max="18" width="1.5703125" style="56" customWidth="1"/>
    <col min="19" max="19" width="5" style="56" customWidth="1"/>
    <col min="20" max="20" width="1.5703125" style="56" customWidth="1"/>
    <col min="21" max="21" width="5.5703125" style="56" customWidth="1"/>
    <col min="22" max="22" width="9.42578125" style="56" bestFit="1" customWidth="1"/>
    <col min="23" max="220" width="9.140625" style="56" customWidth="1"/>
    <col min="221" max="221" width="11.28515625" style="56" customWidth="1"/>
    <col min="222" max="238" width="9.140625" style="56" customWidth="1"/>
    <col min="239" max="239" width="10" style="56" customWidth="1"/>
    <col min="240" max="240" width="13.5703125" style="56" customWidth="1"/>
    <col min="241" max="245" width="2" style="56" customWidth="1"/>
    <col min="246" max="246" width="4.5703125" style="56" customWidth="1"/>
    <col min="247" max="249" width="2" style="56" customWidth="1"/>
    <col min="250" max="251" width="3" style="56" customWidth="1"/>
    <col min="252" max="16384" width="5.42578125" style="56"/>
  </cols>
  <sheetData>
    <row r="1" spans="2:252" ht="12.75" customHeight="1">
      <c r="B1" s="54" t="s">
        <v>0</v>
      </c>
      <c r="C1" s="55"/>
      <c r="D1" s="55"/>
      <c r="E1" s="55"/>
      <c r="F1" s="55"/>
      <c r="G1" s="55"/>
      <c r="I1" s="57"/>
      <c r="L1" s="58" t="str">
        <f>+IF(LEFT($S$4,1)="T","Mẫu số 01 - TT","Mẫu số 02 - TT")</f>
        <v>Mẫu số 01 - TT</v>
      </c>
      <c r="N1" s="59"/>
      <c r="O1" s="59"/>
      <c r="P1" s="60"/>
      <c r="Q1" s="51"/>
      <c r="R1" s="51"/>
      <c r="S1" s="51"/>
      <c r="T1" s="52"/>
      <c r="U1" s="51"/>
      <c r="V1" s="61"/>
      <c r="IE1" s="62"/>
      <c r="IF1" s="62"/>
      <c r="IG1" s="62"/>
      <c r="IH1" s="62"/>
      <c r="II1" s="62"/>
      <c r="IJ1" s="62"/>
      <c r="IK1" s="62"/>
      <c r="IL1" s="62"/>
      <c r="IM1" s="62"/>
      <c r="IN1" s="62"/>
      <c r="IO1" s="62"/>
      <c r="IP1" s="62"/>
      <c r="IQ1" s="62"/>
      <c r="IR1" s="62"/>
    </row>
    <row r="2" spans="2:252" ht="12.75" customHeight="1">
      <c r="B2" s="63" t="s">
        <v>121</v>
      </c>
      <c r="C2" s="55"/>
      <c r="D2" s="55"/>
      <c r="E2" s="55"/>
      <c r="F2" s="55"/>
      <c r="G2" s="55"/>
      <c r="H2" s="57"/>
      <c r="I2" s="57"/>
      <c r="L2" s="50" t="s">
        <v>173</v>
      </c>
      <c r="N2" s="64"/>
      <c r="O2" s="64"/>
      <c r="P2" s="60"/>
      <c r="Q2" s="51"/>
      <c r="R2" s="51"/>
      <c r="S2" s="51"/>
      <c r="T2" s="53"/>
      <c r="U2" s="72" t="s">
        <v>176</v>
      </c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</row>
    <row r="3" spans="2:252" ht="12.75" customHeight="1">
      <c r="B3" s="63"/>
      <c r="C3" s="55"/>
      <c r="D3" s="55"/>
      <c r="E3" s="55"/>
      <c r="G3" s="55"/>
      <c r="I3" s="65"/>
      <c r="L3" s="50" t="s">
        <v>174</v>
      </c>
      <c r="N3" s="64"/>
      <c r="O3" s="64"/>
      <c r="P3" s="66"/>
      <c r="Q3" s="72" t="s">
        <v>175</v>
      </c>
      <c r="R3" s="51"/>
      <c r="S3" s="51"/>
      <c r="T3" s="53"/>
      <c r="U3" s="72" t="s">
        <v>177</v>
      </c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</row>
    <row r="4" spans="2:252" ht="17.25" customHeight="1">
      <c r="B4" s="63"/>
      <c r="C4" s="55"/>
      <c r="D4" s="55"/>
      <c r="E4" s="55"/>
      <c r="G4" s="67"/>
      <c r="H4" s="68" t="str">
        <f>IF(LEFT($S$4,1)="T","PHIẾU THU","PHIẾU CHI")</f>
        <v>PHIẾU THU</v>
      </c>
      <c r="J4" s="67"/>
      <c r="K4" s="69"/>
      <c r="M4" s="69"/>
      <c r="N4" s="69"/>
      <c r="O4" s="69"/>
      <c r="P4" s="70"/>
      <c r="Q4" s="100">
        <v>12</v>
      </c>
      <c r="R4" s="101"/>
      <c r="S4" s="102" t="s">
        <v>1419</v>
      </c>
      <c r="T4" s="103"/>
      <c r="U4" s="104">
        <v>3</v>
      </c>
      <c r="IE4" s="62"/>
      <c r="IF4" s="62"/>
      <c r="IG4" s="62"/>
      <c r="IH4" s="62"/>
      <c r="II4" s="62"/>
      <c r="IJ4" s="62"/>
      <c r="IK4" s="62"/>
      <c r="IL4" s="62"/>
      <c r="IM4" s="62"/>
      <c r="IN4" s="62"/>
      <c r="IO4" s="62"/>
      <c r="IP4" s="62"/>
      <c r="IQ4" s="62"/>
      <c r="IR4" s="62"/>
    </row>
    <row r="5" spans="2:252" ht="14.25" customHeight="1">
      <c r="B5" s="63"/>
      <c r="C5" s="55"/>
      <c r="D5" s="55"/>
      <c r="E5" s="55"/>
      <c r="G5" s="67"/>
      <c r="H5" s="71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>Ngày  3  tháng  12  năm  2015</v>
      </c>
      <c r="J5" s="67"/>
      <c r="K5" s="69"/>
      <c r="M5" s="69"/>
      <c r="N5" s="69"/>
      <c r="O5" s="69"/>
      <c r="P5" s="70"/>
      <c r="Q5" s="72"/>
      <c r="T5" s="62"/>
      <c r="U5" s="72"/>
      <c r="IE5" s="62"/>
      <c r="IF5" s="62"/>
      <c r="IG5" s="62"/>
      <c r="IH5" s="62"/>
      <c r="II5" s="62"/>
      <c r="IJ5" s="62"/>
      <c r="IK5" s="62"/>
      <c r="IL5" s="62"/>
      <c r="IM5" s="62"/>
      <c r="IN5" s="62"/>
      <c r="IO5" s="62"/>
      <c r="IP5" s="62"/>
      <c r="IQ5" s="62"/>
      <c r="IR5" s="62"/>
    </row>
    <row r="6" spans="2:252" s="75" customFormat="1" ht="13.5" customHeight="1">
      <c r="B6" s="73"/>
      <c r="C6" s="74"/>
      <c r="D6" s="74"/>
      <c r="E6" s="74"/>
      <c r="G6" s="76"/>
      <c r="H6" s="76"/>
      <c r="I6" s="76"/>
      <c r="L6" s="77" t="str">
        <f>IF($Q$4&lt;10,"Quyển số: 0"&amp;$Q$4,"Quyển số: "&amp;$Q$4)</f>
        <v>Quyển số: 12</v>
      </c>
      <c r="O6" s="78"/>
      <c r="P6" s="79"/>
      <c r="T6" s="80"/>
      <c r="U6" s="72"/>
      <c r="IE6" s="81">
        <f>'[1]In-Thu'!C11</f>
        <v>5500000</v>
      </c>
      <c r="IF6" s="45" t="str">
        <f>RIGHT("000000000000"&amp;ROUND(IE6,0),12)</f>
        <v>000005500000</v>
      </c>
      <c r="IG6" s="45">
        <v>1</v>
      </c>
      <c r="IH6" s="45">
        <v>2</v>
      </c>
      <c r="II6" s="45">
        <v>3</v>
      </c>
      <c r="IJ6" s="45">
        <v>4</v>
      </c>
      <c r="IK6" s="45">
        <v>5</v>
      </c>
      <c r="IL6" s="45">
        <v>6</v>
      </c>
      <c r="IM6" s="45">
        <v>7</v>
      </c>
      <c r="IN6" s="45">
        <v>8</v>
      </c>
      <c r="IO6" s="45">
        <v>9</v>
      </c>
      <c r="IP6" s="45">
        <v>10</v>
      </c>
      <c r="IQ6" s="45">
        <v>11</v>
      </c>
      <c r="IR6" s="45">
        <v>12</v>
      </c>
    </row>
    <row r="7" spans="2:252" s="75" customFormat="1" ht="13.5" customHeight="1">
      <c r="E7" s="73"/>
      <c r="F7" s="76"/>
      <c r="G7" s="76"/>
      <c r="H7" s="76"/>
      <c r="I7" s="76"/>
      <c r="L7" s="82" t="str">
        <f>"Số :    "</f>
        <v xml:space="preserve">Số :    </v>
      </c>
      <c r="M7" s="83" t="str">
        <f>$S$4&amp;IF($U$4&gt;=10,$U$4,"0"&amp;$U$4)</f>
        <v>T03</v>
      </c>
      <c r="N7" s="78"/>
      <c r="O7" s="78"/>
      <c r="P7" s="79"/>
      <c r="IE7" s="84"/>
      <c r="IF7" s="46"/>
      <c r="IG7" s="46">
        <f>VALUE(MID(IF6,IG6,1))</f>
        <v>0</v>
      </c>
      <c r="IH7" s="46">
        <f>VALUE(MID(IF6,IH6,1))</f>
        <v>0</v>
      </c>
      <c r="II7" s="46">
        <f>VALUE(MID(IF6,II6,1))</f>
        <v>0</v>
      </c>
      <c r="IJ7" s="46">
        <f>VALUE(MID(IF6,IJ6,1))</f>
        <v>0</v>
      </c>
      <c r="IK7" s="46">
        <f>VALUE(MID(IF6,IK6,1))</f>
        <v>0</v>
      </c>
      <c r="IL7" s="46">
        <f>VALUE(MID(IF6,IL6,1))</f>
        <v>5</v>
      </c>
      <c r="IM7" s="46">
        <f>VALUE(MID(IF6,IM6,1))</f>
        <v>5</v>
      </c>
      <c r="IN7" s="46">
        <f>VALUE(MID(IF6,IN6,1))</f>
        <v>0</v>
      </c>
      <c r="IO7" s="46">
        <f>VALUE(MID(IF6,IO6,1))</f>
        <v>0</v>
      </c>
      <c r="IP7" s="46">
        <f>VALUE(MID(IF6,IP6,1))</f>
        <v>0</v>
      </c>
      <c r="IQ7" s="46">
        <f>VALUE(MID(IF6,IQ6,1))</f>
        <v>0</v>
      </c>
      <c r="IR7" s="46">
        <f>VALUE(MID(IF6,IR6,1))</f>
        <v>0</v>
      </c>
    </row>
    <row r="8" spans="2:252" s="75" customFormat="1" ht="13.5" customHeight="1">
      <c r="E8" s="73"/>
      <c r="F8" s="73"/>
      <c r="G8" s="73"/>
      <c r="H8" s="73"/>
      <c r="I8" s="73"/>
      <c r="K8" s="85"/>
      <c r="L8" s="77" t="s">
        <v>122</v>
      </c>
      <c r="M8" s="86" t="str">
        <f ca="1">IF($S$4="T","1111",IF($S$4="C",IF(ISNA(VLOOKUP($M$7,INDIRECT("DSTM"&amp;$Q$4),9,0)),"",VLOOKUP($M$7,INDIRECT("DSTM"&amp;$Q$4),9,0)),""))</f>
        <v>1111</v>
      </c>
      <c r="N8" s="78"/>
      <c r="O8" s="78"/>
      <c r="P8" s="87"/>
      <c r="IE8" s="84"/>
      <c r="IF8" s="46"/>
      <c r="IG8" s="46">
        <f>SUM(IG7:IG7)</f>
        <v>0</v>
      </c>
      <c r="IH8" s="46">
        <f>SUM(IG7:IH7)</f>
        <v>0</v>
      </c>
      <c r="II8" s="46">
        <f>SUM(IG7:II7)</f>
        <v>0</v>
      </c>
      <c r="IJ8" s="46">
        <f>SUM(IJ7:IJ7)</f>
        <v>0</v>
      </c>
      <c r="IK8" s="46">
        <f>SUM(IJ7:IK7)</f>
        <v>0</v>
      </c>
      <c r="IL8" s="46">
        <f>SUM(IJ7:IL7)</f>
        <v>5</v>
      </c>
      <c r="IM8" s="46">
        <f>SUM(IM7:IM7)</f>
        <v>5</v>
      </c>
      <c r="IN8" s="46">
        <f>SUM(IM7:IN7)</f>
        <v>5</v>
      </c>
      <c r="IO8" s="46">
        <f>SUM(IM7:IO7)</f>
        <v>5</v>
      </c>
      <c r="IP8" s="46">
        <f>SUM(IP7:IP7)</f>
        <v>0</v>
      </c>
      <c r="IQ8" s="46">
        <f>SUM(IP7:IQ7)</f>
        <v>0</v>
      </c>
      <c r="IR8" s="46">
        <f>SUM(IP7:IV7)</f>
        <v>0</v>
      </c>
    </row>
    <row r="9" spans="2:252" s="75" customFormat="1" ht="13.5" customHeight="1">
      <c r="E9" s="73"/>
      <c r="F9" s="73"/>
      <c r="G9" s="73"/>
      <c r="H9" s="73"/>
      <c r="I9" s="73"/>
      <c r="K9" s="85"/>
      <c r="L9" s="82" t="s">
        <v>123</v>
      </c>
      <c r="M9" s="86" t="str">
        <f ca="1">IF($S$4="C","1111",IF($S$4="T",IF(ISNA(VLOOKUP($M$7,INDIRECT("DSTM"&amp;$Q$4),9,0)),"",VLOOKUP($M$7,INDIRECT("DSTM"&amp;$Q$4),9,0)),""))</f>
        <v>1121</v>
      </c>
      <c r="N9" s="78"/>
      <c r="O9" s="78"/>
      <c r="P9" s="87"/>
      <c r="IE9" s="84"/>
      <c r="IF9" s="46"/>
      <c r="IG9" s="46"/>
      <c r="IH9" s="46"/>
      <c r="II9" s="46"/>
      <c r="IJ9" s="46"/>
      <c r="IK9" s="46"/>
      <c r="IL9" s="46"/>
      <c r="IM9" s="46"/>
      <c r="IN9" s="46"/>
      <c r="IO9" s="46"/>
      <c r="IP9" s="46"/>
      <c r="IQ9" s="46"/>
      <c r="IR9" s="46"/>
    </row>
    <row r="10" spans="2:252" s="75" customFormat="1" ht="13.5" customHeight="1">
      <c r="C10" s="88" t="str">
        <f ca="1">IF($S$4="T","Họ tên người nộp tiền :","Họ và tên người nhận tiền :")&amp;" "&amp;IF(ISNA(VLOOKUP($M$7,INDIRECT("DSTM"&amp;$Q$4),8,0)),"",VLOOKUP($M$7,INDIRECT("DSTM"&amp;$Q$4),8,0))</f>
        <v>Họ tên người nộp tiền : Phạm Thị Đông</v>
      </c>
      <c r="D10" s="73"/>
      <c r="F10" s="73"/>
      <c r="G10" s="73"/>
      <c r="H10" s="73"/>
      <c r="I10" s="73"/>
      <c r="K10" s="73"/>
      <c r="L10" s="82"/>
      <c r="M10" s="86"/>
      <c r="N10" s="78"/>
      <c r="O10" s="73"/>
      <c r="P10" s="79"/>
      <c r="IE10" s="84"/>
      <c r="IF10" s="46"/>
      <c r="IG10" s="47" t="str">
        <f>IF(IG7=0,"",CHOOSE(IG7,"một","hai","ba","bốn","năm","sáu","bảy","tám","chín"))</f>
        <v/>
      </c>
      <c r="IH10" s="47" t="str">
        <f>IF(IH7=0,IF(AND(IG7&lt;&gt;0,II7&lt;&gt;0),"lẻ",""),CHOOSE(IH7,"mười","hai","ba","bốn","năm","sáu","bảy","tám","chín"))</f>
        <v/>
      </c>
      <c r="II10" s="47" t="str">
        <f>IF(II7=0,"",CHOOSE(II7,IF(IH7&gt;1,"mốt","một"),"hai","ba","bốn",IF(IH7=0,"năm","lăm"),"sáu","bảy","tám","chín"))</f>
        <v/>
      </c>
      <c r="IJ10" s="47" t="str">
        <f>IF(IJ7=0,"",CHOOSE(IJ7,"một","hai","ba","bốn","năm","sáu","bảy","tám","chín"))</f>
        <v/>
      </c>
      <c r="IK10" s="47" t="str">
        <f>IF(IK7=0,IF(AND(IJ7&lt;&gt;0,IL7&lt;&gt;0),"lẻ",""),CHOOSE(IK7,"mười","hai","ba","bốn","năm","sáu","bảy","tám","chín"))</f>
        <v/>
      </c>
      <c r="IL10" s="47" t="str">
        <f>IF(IL7=0,"",CHOOSE(IL7,IF(IK7&gt;1,"mốt","một"),"hai","ba","bốn",IF(IK7=0,"năm","lăm"),"sáu","bảy","tám","chín"))</f>
        <v>năm</v>
      </c>
      <c r="IM10" s="47" t="str">
        <f>IF(IM7=0,"",CHOOSE(IM7,"một","hai","ba","bốn","năm","sáu","bảy","tám","chín"))</f>
        <v>năm</v>
      </c>
      <c r="IN10" s="47" t="str">
        <f>IF(IN7=0,IF(AND(IM7&lt;&gt;0,IO7&lt;&gt;0),"lẻ",""),CHOOSE(IN7,"mười","hai","ba","bốn","năm","sáu","bảy","tám","chín"))</f>
        <v/>
      </c>
      <c r="IO10" s="47" t="str">
        <f>IF(IO7=0,"",CHOOSE(IO7,IF(IN7&gt;1,"mốt","một"),"hai","ba","bốn",IF(IN7=0,"năm","lăm"),"sáu","bảy","tám","chín"))</f>
        <v/>
      </c>
      <c r="IP10" s="47" t="str">
        <f>IF(IP7=0,"",CHOOSE(IP7,"một","hai","ba","bốn","năm","sáu","bảy","tám","chín"))</f>
        <v/>
      </c>
      <c r="IQ10" s="47" t="str">
        <f>IF(IQ7=0,IF(AND(IP7&lt;&gt;0,IR7&lt;&gt;0),"lẻ",""),CHOOSE(IQ7,"mười","hai","ba","bốn","năm","sáu","bảy","tám","chín"))</f>
        <v/>
      </c>
      <c r="IR10" s="47" t="str">
        <f>IF(IR7=0,"",CHOOSE(IR7,IF(IQ7&gt;1,"mốt","một"),"hai","ba","bốn",IF(IQ7=0,"năm","lăm"),"sáu","bảy","tám","chín"))</f>
        <v/>
      </c>
    </row>
    <row r="11" spans="2:252" ht="13.5" customHeight="1">
      <c r="C11" s="88" t="str">
        <f>"Địa chỉ :"</f>
        <v>Địa chỉ :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66"/>
      <c r="IE11" s="89"/>
      <c r="IF11" s="48"/>
      <c r="IG11" s="49" t="str">
        <f>IF(IG7=0,"","trăm")</f>
        <v/>
      </c>
      <c r="IH11" s="49" t="str">
        <f>IF(IH7=0,"",IF(IH7=1,"","mươi"))</f>
        <v/>
      </c>
      <c r="II11" s="49" t="str">
        <f>IF(AND(II7=0,II8=0),"","tỷ")</f>
        <v/>
      </c>
      <c r="IJ11" s="49" t="str">
        <f>IF(IJ7=0,"","trăm")</f>
        <v/>
      </c>
      <c r="IK11" s="49" t="str">
        <f>IF(IK7=0,"",IF(IK7=1,"","mươi"))</f>
        <v/>
      </c>
      <c r="IL11" s="49" t="str">
        <f>IF(AND(IL7=0,IL8=0),"","triệu")</f>
        <v>triệu</v>
      </c>
      <c r="IM11" s="49" t="str">
        <f>IF(IM7=0,"","trăm")</f>
        <v>trăm</v>
      </c>
      <c r="IN11" s="49" t="str">
        <f>IF(IN7=0,"",IF(IN7=1,"","mươi"))</f>
        <v/>
      </c>
      <c r="IO11" s="49" t="str">
        <f>IF(AND(IO7=0,IO8=0),"","ngàn")</f>
        <v>ngàn</v>
      </c>
      <c r="IP11" s="49" t="str">
        <f>IF(IP7=0,"","trăm")</f>
        <v/>
      </c>
      <c r="IQ11" s="49" t="str">
        <f>IF(IQ7=0,"",IF(IQ7=1,"","mươi"))</f>
        <v/>
      </c>
      <c r="IR11" s="49" t="s">
        <v>124</v>
      </c>
    </row>
    <row r="12" spans="2:252" ht="13.5" customHeight="1">
      <c r="C12" s="88" t="str">
        <f ca="1">IF($S$4="T","Lý do nộp :","Lý do chi :")&amp;" "&amp;IF(ISNA(VLOOKUP($M$7,INDIRECT("DSTM"&amp;$Q$4),6,0)),"",VLOOKUP($M$7,INDIRECT("DSTM"&amp;$Q$4),6,0))</f>
        <v>Lý do nộp : Rút tiền gửi NH nhập quỹ TM - Q11</v>
      </c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IE12" s="89"/>
      <c r="IF12" s="48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48"/>
      <c r="IH12" s="48"/>
      <c r="II12" s="48"/>
      <c r="IJ12" s="48"/>
      <c r="IK12" s="48"/>
      <c r="IL12" s="48"/>
      <c r="IM12" s="48"/>
      <c r="IN12" s="48"/>
      <c r="IO12" s="48"/>
      <c r="IP12" s="48"/>
      <c r="IQ12" s="48"/>
      <c r="IR12" s="48"/>
    </row>
    <row r="13" spans="2:252" ht="13.5" customHeight="1">
      <c r="C13" s="56" t="s">
        <v>125</v>
      </c>
      <c r="D13" s="91">
        <f ca="1">SUMIF(INDIRECT("_DSP"&amp;$Q$4),$M$7,INDIRECT(IF($S$4="T","_DST"&amp;$Q$4,"_DSC"&amp;$Q$4)))</f>
        <v>300000000</v>
      </c>
      <c r="E13" s="56" t="s">
        <v>178</v>
      </c>
      <c r="F13" s="91"/>
      <c r="G13" s="91"/>
      <c r="P13" s="56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</row>
    <row r="14" spans="2:252" ht="13.5" customHeight="1">
      <c r="C14" s="56" t="str">
        <f ca="1">"Viết bằng chữ :  " &amp; [2]!VND(D13, TRUE)</f>
        <v>Viết bằng chữ :  Ba trăm triệu đồng</v>
      </c>
      <c r="P14" s="66"/>
    </row>
    <row r="15" spans="2:252" ht="13.5" customHeight="1">
      <c r="C15" s="88" t="str">
        <f ca="1">"Kèm theo : HĐ " &amp;IF(ISNA(VLOOKUP($M$7,INDIRECT("DSTM"&amp;$Q$4),7,0)),"",(VLOOKUP($M$7,INDIRECT("DSTM"&amp;$Q$4),7,0))) &amp; "   chứng từ gốc"</f>
        <v>Kèm theo : HĐ    chứng từ gốc</v>
      </c>
      <c r="D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9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</row>
    <row r="16" spans="2:252" ht="13.5" customHeight="1">
      <c r="K16" s="93"/>
      <c r="L16" s="93"/>
      <c r="M16" s="94" t="str">
        <f ca="1">H5</f>
        <v>Ngày  3  tháng  12  năm  2015</v>
      </c>
      <c r="N16" s="93"/>
      <c r="O16" s="93"/>
      <c r="P16" s="56"/>
    </row>
    <row r="17" spans="2:16" ht="13.5" customHeight="1">
      <c r="C17" s="95" t="s">
        <v>14</v>
      </c>
      <c r="D17" s="96"/>
      <c r="E17" s="95" t="s">
        <v>13</v>
      </c>
      <c r="F17" s="96"/>
      <c r="G17" s="96"/>
      <c r="H17" s="95" t="str">
        <f>IF($S$4="C","Thủ quỹ","Người nộp tiền")</f>
        <v>Người nộp tiền</v>
      </c>
      <c r="J17" s="95" t="s">
        <v>126</v>
      </c>
      <c r="K17" s="96"/>
      <c r="M17" s="97" t="str">
        <f>IF($S$4="T","Thủ quỹ","Người nhận tiền")</f>
        <v>Thủ quỹ</v>
      </c>
      <c r="N17" s="98"/>
      <c r="O17" s="98"/>
      <c r="P17" s="56"/>
    </row>
    <row r="18" spans="2:16" s="96" customFormat="1" ht="13.5" customHeight="1">
      <c r="C18" s="99" t="s">
        <v>129</v>
      </c>
      <c r="D18" s="56"/>
      <c r="E18" s="99" t="s">
        <v>130</v>
      </c>
      <c r="F18" s="56"/>
      <c r="G18" s="56"/>
      <c r="H18" s="99" t="s">
        <v>130</v>
      </c>
      <c r="J18" s="99" t="s">
        <v>130</v>
      </c>
      <c r="K18" s="56"/>
      <c r="M18" s="99" t="s">
        <v>130</v>
      </c>
      <c r="N18" s="56"/>
      <c r="O18" s="56"/>
    </row>
    <row r="19" spans="2:16" ht="14.25" customHeight="1">
      <c r="P19" s="56"/>
    </row>
    <row r="20" spans="2:16" ht="14.25" customHeight="1">
      <c r="P20" s="56"/>
    </row>
    <row r="21" spans="2:16" ht="14.25" customHeight="1">
      <c r="P21" s="56"/>
    </row>
    <row r="22" spans="2:16" ht="14.25" customHeight="1">
      <c r="P22" s="56"/>
    </row>
    <row r="23" spans="2:16" ht="14.25" customHeight="1">
      <c r="I23" s="61"/>
      <c r="P23" s="56"/>
    </row>
    <row r="24" spans="2:16" ht="14.25" customHeight="1">
      <c r="C24" s="373" t="s">
        <v>1389</v>
      </c>
      <c r="H24" s="372" t="str">
        <f>IF($S$4="T","","Phạm Thị Đông")</f>
        <v/>
      </c>
      <c r="J24" s="372" t="s">
        <v>1388</v>
      </c>
      <c r="M24" s="372" t="str">
        <f>IF($S$4="C","","Phạm Thị Đông")</f>
        <v>Phạm Thị Đông</v>
      </c>
      <c r="P24" s="56"/>
    </row>
    <row r="25" spans="2:16" ht="14.25" customHeight="1">
      <c r="B25" s="56" t="s">
        <v>131</v>
      </c>
      <c r="P25" s="56"/>
    </row>
    <row r="26" spans="2:16" ht="14.25" customHeight="1">
      <c r="B26" s="88"/>
      <c r="C26" s="88" t="s">
        <v>127</v>
      </c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56"/>
    </row>
    <row r="27" spans="2:16" ht="14.25" customHeight="1">
      <c r="B27" s="88"/>
      <c r="C27" s="88" t="s">
        <v>128</v>
      </c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56"/>
    </row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/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 ht="15" customHeight="1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</sheetData>
  <phoneticPr fontId="31" type="noConversion"/>
  <conditionalFormatting sqref="G8:G9 D7:D9">
    <cfRule type="expression" dxfId="29" priority="1" stopIfTrue="1">
      <formula>TYPE(B6)=16</formula>
    </cfRule>
  </conditionalFormatting>
  <conditionalFormatting sqref="D10">
    <cfRule type="expression" dxfId="2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5" right="0.25" top="0.5" bottom="0.75" header="0.3" footer="0.3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indexed="31"/>
  </sheetPr>
  <dimension ref="A1:S109"/>
  <sheetViews>
    <sheetView topLeftCell="B8" zoomScale="90" workbookViewId="0">
      <pane ySplit="5" topLeftCell="A94" activePane="bottomLeft" state="frozen"/>
      <selection activeCell="B8" sqref="B8"/>
      <selection pane="bottomLeft" activeCell="F113" sqref="F113"/>
    </sheetView>
  </sheetViews>
  <sheetFormatPr defaultRowHeight="15"/>
  <cols>
    <col min="1" max="1" width="4.28515625" style="6" hidden="1" customWidth="1"/>
    <col min="2" max="3" width="8.5703125" style="6" customWidth="1"/>
    <col min="4" max="5" width="7" style="6" customWidth="1"/>
    <col min="6" max="6" width="39.42578125" style="6" customWidth="1"/>
    <col min="7" max="7" width="12.5703125" style="6" hidden="1" customWidth="1"/>
    <col min="8" max="8" width="49" style="6" hidden="1" customWidth="1"/>
    <col min="9" max="9" width="7" style="6" customWidth="1"/>
    <col min="10" max="11" width="14.5703125" style="6" customWidth="1"/>
    <col min="12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60" t="s">
        <v>132</v>
      </c>
      <c r="K1" s="460"/>
      <c r="L1" s="460"/>
      <c r="M1" s="460"/>
    </row>
    <row r="2" spans="1:13" s="11" customFormat="1" ht="16.5" customHeight="1">
      <c r="B2" s="1" t="s">
        <v>49</v>
      </c>
      <c r="C2" s="329"/>
      <c r="D2" s="329"/>
      <c r="E2" s="329"/>
      <c r="F2" s="329"/>
      <c r="G2" s="329"/>
      <c r="H2" s="329"/>
      <c r="J2" s="461" t="s">
        <v>133</v>
      </c>
      <c r="K2" s="461"/>
      <c r="L2" s="461"/>
      <c r="M2" s="461"/>
    </row>
    <row r="3" spans="1:13" s="11" customFormat="1" ht="16.5" customHeight="1">
      <c r="B3" s="9"/>
      <c r="C3" s="329"/>
      <c r="D3" s="14"/>
      <c r="E3" s="14"/>
      <c r="F3" s="329"/>
      <c r="G3" s="329"/>
      <c r="H3" s="329"/>
      <c r="J3" s="461"/>
      <c r="K3" s="461"/>
      <c r="L3" s="461"/>
      <c r="M3" s="461"/>
    </row>
    <row r="4" spans="1:13" s="11" customFormat="1" ht="6.75" customHeight="1">
      <c r="B4" s="329"/>
      <c r="C4" s="329"/>
      <c r="D4" s="329"/>
      <c r="E4" s="329"/>
      <c r="F4" s="329"/>
      <c r="G4" s="329"/>
      <c r="H4" s="329"/>
      <c r="J4" s="330"/>
      <c r="K4" s="330"/>
      <c r="L4" s="330"/>
      <c r="M4" s="330"/>
    </row>
    <row r="5" spans="1:13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</row>
    <row r="6" spans="1:13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</row>
    <row r="7" spans="1:13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</row>
    <row r="8" spans="1:13">
      <c r="B8" s="15"/>
      <c r="L8" s="15" t="s">
        <v>19</v>
      </c>
    </row>
    <row r="9" spans="1:13" ht="28.5" customHeight="1">
      <c r="B9" s="464" t="s">
        <v>20</v>
      </c>
      <c r="C9" s="464" t="s">
        <v>21</v>
      </c>
      <c r="D9" s="463" t="s">
        <v>2</v>
      </c>
      <c r="E9" s="463"/>
      <c r="F9" s="463" t="s">
        <v>3</v>
      </c>
      <c r="G9" s="464" t="s">
        <v>134</v>
      </c>
      <c r="H9" s="464" t="s">
        <v>135</v>
      </c>
      <c r="I9" s="464" t="s">
        <v>22</v>
      </c>
      <c r="J9" s="463" t="s">
        <v>23</v>
      </c>
      <c r="K9" s="463"/>
      <c r="L9" s="463" t="s">
        <v>24</v>
      </c>
      <c r="M9" s="463" t="s">
        <v>4</v>
      </c>
    </row>
    <row r="10" spans="1:13" ht="17.25" customHeight="1">
      <c r="B10" s="465"/>
      <c r="C10" s="465"/>
      <c r="D10" s="331" t="s">
        <v>5</v>
      </c>
      <c r="E10" s="331" t="s">
        <v>6</v>
      </c>
      <c r="F10" s="463"/>
      <c r="G10" s="465"/>
      <c r="H10" s="465"/>
      <c r="I10" s="465"/>
      <c r="J10" s="331" t="s">
        <v>25</v>
      </c>
      <c r="K10" s="331" t="s">
        <v>26</v>
      </c>
      <c r="L10" s="463"/>
      <c r="M10" s="46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21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1716748336</v>
      </c>
      <c r="M12" s="29"/>
    </row>
    <row r="13" spans="1:13" ht="21" customHeight="1">
      <c r="A13" s="6" t="str">
        <f>D13&amp;E13</f>
        <v>C01</v>
      </c>
      <c r="B13" s="3">
        <v>42248</v>
      </c>
      <c r="C13" s="3">
        <v>42245</v>
      </c>
      <c r="D13" s="20"/>
      <c r="E13" s="20" t="s">
        <v>136</v>
      </c>
      <c r="F13" s="28" t="s">
        <v>1033</v>
      </c>
      <c r="G13" s="106" t="s">
        <v>1034</v>
      </c>
      <c r="H13" s="38" t="s">
        <v>1035</v>
      </c>
      <c r="I13" s="26" t="s">
        <v>94</v>
      </c>
      <c r="J13" s="19"/>
      <c r="K13" s="5">
        <v>400000</v>
      </c>
      <c r="L13" s="4">
        <f t="shared" ref="L13:L86" si="0">IF(F13&lt;&gt;"",L12+J13-K13,0)</f>
        <v>1716348336</v>
      </c>
      <c r="M13" s="18"/>
    </row>
    <row r="14" spans="1:13" ht="21" customHeight="1">
      <c r="A14" s="6" t="str">
        <f>D14&amp;E14</f>
        <v>C01</v>
      </c>
      <c r="B14" s="3">
        <v>42248</v>
      </c>
      <c r="C14" s="3">
        <v>42245</v>
      </c>
      <c r="D14" s="20"/>
      <c r="E14" s="20" t="s">
        <v>136</v>
      </c>
      <c r="F14" s="28" t="s">
        <v>1040</v>
      </c>
      <c r="G14" s="106" t="s">
        <v>1034</v>
      </c>
      <c r="H14" s="38" t="s">
        <v>1035</v>
      </c>
      <c r="I14" s="26" t="s">
        <v>35</v>
      </c>
      <c r="J14" s="19"/>
      <c r="K14" s="5">
        <v>20000</v>
      </c>
      <c r="L14" s="4">
        <f t="shared" ref="L14" si="1">IF(F14&lt;&gt;"",L13+J14-K14,0)</f>
        <v>1716328336</v>
      </c>
      <c r="M14" s="18"/>
    </row>
    <row r="15" spans="1:13" ht="21" customHeight="1">
      <c r="A15" s="6" t="str">
        <f t="shared" ref="A15:A94" si="2">D15&amp;E15</f>
        <v>C02</v>
      </c>
      <c r="B15" s="3">
        <v>42248</v>
      </c>
      <c r="C15" s="3">
        <v>42247</v>
      </c>
      <c r="D15" s="4"/>
      <c r="E15" s="4" t="s">
        <v>137</v>
      </c>
      <c r="F15" s="5" t="s">
        <v>1036</v>
      </c>
      <c r="G15" s="105" t="s">
        <v>1037</v>
      </c>
      <c r="H15" s="5" t="s">
        <v>725</v>
      </c>
      <c r="I15" s="26" t="s">
        <v>94</v>
      </c>
      <c r="J15" s="19"/>
      <c r="K15" s="5">
        <v>39000</v>
      </c>
      <c r="L15" s="4">
        <f t="shared" si="0"/>
        <v>1716289336</v>
      </c>
      <c r="M15" s="18"/>
    </row>
    <row r="16" spans="1:13" ht="21" customHeight="1">
      <c r="A16" s="6" t="str">
        <f t="shared" ref="A16" si="3">D16&amp;E16</f>
        <v>C02</v>
      </c>
      <c r="B16" s="3">
        <v>42248</v>
      </c>
      <c r="C16" s="3">
        <v>42247</v>
      </c>
      <c r="D16" s="4"/>
      <c r="E16" s="4" t="s">
        <v>137</v>
      </c>
      <c r="F16" s="5" t="s">
        <v>1041</v>
      </c>
      <c r="G16" s="105" t="s">
        <v>1037</v>
      </c>
      <c r="H16" s="5" t="s">
        <v>725</v>
      </c>
      <c r="I16" s="26" t="s">
        <v>35</v>
      </c>
      <c r="J16" s="19"/>
      <c r="K16" s="5">
        <v>3900</v>
      </c>
      <c r="L16" s="4">
        <f t="shared" ref="L16" si="4">IF(F16&lt;&gt;"",L15+J16-K16,0)</f>
        <v>1716285436</v>
      </c>
      <c r="M16" s="18"/>
    </row>
    <row r="17" spans="1:13" ht="21" customHeight="1">
      <c r="A17" s="6" t="str">
        <f t="shared" ref="A17" si="5">D17&amp;E17</f>
        <v>C03</v>
      </c>
      <c r="B17" s="3">
        <v>42248</v>
      </c>
      <c r="C17" s="3">
        <v>42247</v>
      </c>
      <c r="D17" s="4"/>
      <c r="E17" s="4" t="s">
        <v>138</v>
      </c>
      <c r="F17" s="5" t="s">
        <v>1038</v>
      </c>
      <c r="G17" s="105" t="s">
        <v>1039</v>
      </c>
      <c r="H17" s="5" t="s">
        <v>270</v>
      </c>
      <c r="I17" s="26" t="s">
        <v>94</v>
      </c>
      <c r="J17" s="19"/>
      <c r="K17" s="5">
        <v>1971934</v>
      </c>
      <c r="L17" s="4">
        <f t="shared" ref="L17" si="6">IF(F17&lt;&gt;"",L16+J17-K17,0)</f>
        <v>1714313502</v>
      </c>
      <c r="M17" s="18"/>
    </row>
    <row r="18" spans="1:13" ht="21" customHeight="1">
      <c r="A18" s="6" t="str">
        <f t="shared" ref="A18" si="7">D18&amp;E18</f>
        <v>C03</v>
      </c>
      <c r="B18" s="3">
        <v>42248</v>
      </c>
      <c r="C18" s="3">
        <v>42247</v>
      </c>
      <c r="D18" s="4"/>
      <c r="E18" s="4" t="s">
        <v>138</v>
      </c>
      <c r="F18" s="5" t="s">
        <v>1042</v>
      </c>
      <c r="G18" s="105" t="s">
        <v>1039</v>
      </c>
      <c r="H18" s="5" t="s">
        <v>270</v>
      </c>
      <c r="I18" s="26" t="s">
        <v>35</v>
      </c>
      <c r="J18" s="19"/>
      <c r="K18" s="5">
        <v>197193</v>
      </c>
      <c r="L18" s="4">
        <f t="shared" ref="L18" si="8">IF(F18&lt;&gt;"",L17+J18-K18,0)</f>
        <v>1714116309</v>
      </c>
      <c r="M18" s="18"/>
    </row>
    <row r="19" spans="1:13" ht="21" customHeight="1">
      <c r="A19" s="6" t="str">
        <f t="shared" ref="A19:A20" si="9">D19&amp;E19</f>
        <v>C04</v>
      </c>
      <c r="B19" s="3">
        <v>42248</v>
      </c>
      <c r="C19" s="3">
        <v>42149</v>
      </c>
      <c r="D19" s="4"/>
      <c r="E19" s="4" t="s">
        <v>139</v>
      </c>
      <c r="F19" s="5" t="s">
        <v>1111</v>
      </c>
      <c r="G19" s="105" t="s">
        <v>1113</v>
      </c>
      <c r="H19" s="5" t="s">
        <v>1114</v>
      </c>
      <c r="I19" s="26" t="s">
        <v>94</v>
      </c>
      <c r="J19" s="19"/>
      <c r="K19" s="5">
        <v>445455</v>
      </c>
      <c r="L19" s="4">
        <f t="shared" ref="L19:L24" si="10">IF(F19&lt;&gt;"",L18+J19-K19,0)</f>
        <v>1713670854</v>
      </c>
      <c r="M19" s="18"/>
    </row>
    <row r="20" spans="1:13" ht="21" customHeight="1">
      <c r="A20" s="6" t="str">
        <f t="shared" si="9"/>
        <v>C04</v>
      </c>
      <c r="B20" s="3">
        <v>42248</v>
      </c>
      <c r="C20" s="3">
        <v>42149</v>
      </c>
      <c r="D20" s="4"/>
      <c r="E20" s="4" t="s">
        <v>139</v>
      </c>
      <c r="F20" s="5" t="s">
        <v>1112</v>
      </c>
      <c r="G20" s="105" t="s">
        <v>1113</v>
      </c>
      <c r="H20" s="5" t="s">
        <v>1114</v>
      </c>
      <c r="I20" s="26" t="s">
        <v>35</v>
      </c>
      <c r="J20" s="19"/>
      <c r="K20" s="5">
        <v>44545</v>
      </c>
      <c r="L20" s="4">
        <f t="shared" si="10"/>
        <v>1713626309</v>
      </c>
      <c r="M20" s="18"/>
    </row>
    <row r="21" spans="1:13" ht="21" customHeight="1">
      <c r="A21" s="6" t="str">
        <f t="shared" ref="A21:A22" si="11">D21&amp;E21</f>
        <v>C05</v>
      </c>
      <c r="B21" s="3">
        <v>42248</v>
      </c>
      <c r="C21" s="3">
        <v>42177</v>
      </c>
      <c r="D21" s="4"/>
      <c r="E21" s="4" t="s">
        <v>140</v>
      </c>
      <c r="F21" s="5" t="s">
        <v>609</v>
      </c>
      <c r="G21" s="105" t="s">
        <v>1115</v>
      </c>
      <c r="H21" s="5" t="s">
        <v>611</v>
      </c>
      <c r="I21" s="26" t="s">
        <v>94</v>
      </c>
      <c r="J21" s="19"/>
      <c r="K21" s="5">
        <v>16000000</v>
      </c>
      <c r="L21" s="4">
        <f t="shared" si="10"/>
        <v>1697626309</v>
      </c>
      <c r="M21" s="18"/>
    </row>
    <row r="22" spans="1:13" ht="21" customHeight="1">
      <c r="A22" s="6" t="str">
        <f t="shared" si="11"/>
        <v>C05</v>
      </c>
      <c r="B22" s="3">
        <v>42248</v>
      </c>
      <c r="C22" s="3">
        <v>42177</v>
      </c>
      <c r="D22" s="4"/>
      <c r="E22" s="4" t="s">
        <v>140</v>
      </c>
      <c r="F22" s="5" t="s">
        <v>612</v>
      </c>
      <c r="G22" s="105" t="s">
        <v>1115</v>
      </c>
      <c r="H22" s="5" t="s">
        <v>611</v>
      </c>
      <c r="I22" s="26" t="s">
        <v>35</v>
      </c>
      <c r="J22" s="19"/>
      <c r="K22" s="5">
        <v>1600000</v>
      </c>
      <c r="L22" s="4">
        <f t="shared" si="10"/>
        <v>1696026309</v>
      </c>
      <c r="M22" s="18"/>
    </row>
    <row r="23" spans="1:13" ht="21" customHeight="1">
      <c r="A23" s="6" t="str">
        <f t="shared" si="2"/>
        <v>C06</v>
      </c>
      <c r="B23" s="3">
        <v>42249</v>
      </c>
      <c r="C23" s="3">
        <v>42249</v>
      </c>
      <c r="D23" s="4"/>
      <c r="E23" s="4" t="s">
        <v>141</v>
      </c>
      <c r="F23" s="5" t="s">
        <v>53</v>
      </c>
      <c r="G23" s="105" t="s">
        <v>1043</v>
      </c>
      <c r="H23" s="5" t="s">
        <v>888</v>
      </c>
      <c r="I23" s="26" t="s">
        <v>54</v>
      </c>
      <c r="J23" s="19"/>
      <c r="K23" s="5">
        <v>512400</v>
      </c>
      <c r="L23" s="4">
        <f t="shared" si="10"/>
        <v>1695513909</v>
      </c>
      <c r="M23" s="18"/>
    </row>
    <row r="24" spans="1:13" ht="21" customHeight="1">
      <c r="A24" s="6" t="str">
        <f t="shared" ref="A24" si="12">D24&amp;E24</f>
        <v>C06</v>
      </c>
      <c r="B24" s="3">
        <v>42249</v>
      </c>
      <c r="C24" s="3">
        <v>42249</v>
      </c>
      <c r="D24" s="4"/>
      <c r="E24" s="4" t="s">
        <v>141</v>
      </c>
      <c r="F24" s="5" t="s">
        <v>902</v>
      </c>
      <c r="G24" s="105" t="s">
        <v>1043</v>
      </c>
      <c r="H24" s="5" t="s">
        <v>888</v>
      </c>
      <c r="I24" s="26" t="s">
        <v>35</v>
      </c>
      <c r="J24" s="19"/>
      <c r="K24" s="5">
        <v>51240</v>
      </c>
      <c r="L24" s="4">
        <f t="shared" si="10"/>
        <v>1695462669</v>
      </c>
      <c r="M24" s="18"/>
    </row>
    <row r="25" spans="1:13" ht="21" customHeight="1">
      <c r="A25" s="6" t="str">
        <f t="shared" si="2"/>
        <v>T01</v>
      </c>
      <c r="B25" s="3">
        <v>42250</v>
      </c>
      <c r="C25" s="3">
        <v>42250</v>
      </c>
      <c r="D25" s="20" t="s">
        <v>39</v>
      </c>
      <c r="E25" s="20"/>
      <c r="F25" s="5" t="s">
        <v>743</v>
      </c>
      <c r="G25" s="28"/>
      <c r="H25" s="38" t="s">
        <v>187</v>
      </c>
      <c r="I25" s="26" t="s">
        <v>36</v>
      </c>
      <c r="J25" s="19">
        <v>900000000</v>
      </c>
      <c r="K25" s="5"/>
      <c r="L25" s="4">
        <f t="shared" ref="L25:L31" si="13">IF(F25&lt;&gt;"",L24+J25-K25,0)</f>
        <v>2595462669</v>
      </c>
      <c r="M25" s="18"/>
    </row>
    <row r="26" spans="1:13" ht="21" customHeight="1">
      <c r="A26" s="6" t="str">
        <f t="shared" ref="A26:A29" si="14">D26&amp;E26</f>
        <v>C07</v>
      </c>
      <c r="B26" s="3">
        <v>42250</v>
      </c>
      <c r="C26" s="3">
        <v>42250</v>
      </c>
      <c r="D26" s="20"/>
      <c r="E26" s="20" t="s">
        <v>142</v>
      </c>
      <c r="F26" s="5" t="s">
        <v>970</v>
      </c>
      <c r="G26" s="28"/>
      <c r="H26" s="38" t="s">
        <v>187</v>
      </c>
      <c r="I26" s="26" t="s">
        <v>36</v>
      </c>
      <c r="J26" s="19"/>
      <c r="K26" s="5">
        <v>901000000</v>
      </c>
      <c r="L26" s="4">
        <f t="shared" si="13"/>
        <v>1694462669</v>
      </c>
      <c r="M26" s="18"/>
    </row>
    <row r="27" spans="1:13" ht="21" customHeight="1">
      <c r="A27" s="6" t="str">
        <f t="shared" ref="A27" si="15">D27&amp;E27</f>
        <v>C08</v>
      </c>
      <c r="B27" s="3">
        <v>42250</v>
      </c>
      <c r="C27" s="3">
        <v>42250</v>
      </c>
      <c r="D27" s="20"/>
      <c r="E27" s="20" t="s">
        <v>143</v>
      </c>
      <c r="F27" s="5" t="s">
        <v>971</v>
      </c>
      <c r="G27" s="28"/>
      <c r="H27" s="38" t="s">
        <v>924</v>
      </c>
      <c r="I27" s="26" t="s">
        <v>36</v>
      </c>
      <c r="J27" s="19"/>
      <c r="K27" s="5">
        <v>220000000</v>
      </c>
      <c r="L27" s="4">
        <f t="shared" si="13"/>
        <v>1474462669</v>
      </c>
      <c r="M27" s="18"/>
    </row>
    <row r="28" spans="1:13" ht="21" customHeight="1">
      <c r="A28" s="6" t="str">
        <f t="shared" ref="A28" si="16">D28&amp;E28</f>
        <v>C09</v>
      </c>
      <c r="B28" s="3">
        <v>42250</v>
      </c>
      <c r="C28" s="3">
        <v>42250</v>
      </c>
      <c r="D28" s="20"/>
      <c r="E28" s="20" t="s">
        <v>144</v>
      </c>
      <c r="F28" s="5" t="s">
        <v>332</v>
      </c>
      <c r="G28" s="5"/>
      <c r="H28" s="5" t="s">
        <v>335</v>
      </c>
      <c r="I28" s="26" t="s">
        <v>334</v>
      </c>
      <c r="J28" s="19"/>
      <c r="K28" s="5">
        <v>600000000</v>
      </c>
      <c r="L28" s="4">
        <f t="shared" si="13"/>
        <v>874462669</v>
      </c>
      <c r="M28" s="18"/>
    </row>
    <row r="29" spans="1:13" ht="21" customHeight="1">
      <c r="A29" s="6" t="str">
        <f t="shared" si="14"/>
        <v>T02</v>
      </c>
      <c r="B29" s="3">
        <v>42251</v>
      </c>
      <c r="C29" s="3">
        <v>42251</v>
      </c>
      <c r="D29" s="20" t="s">
        <v>40</v>
      </c>
      <c r="E29" s="20"/>
      <c r="F29" s="5" t="s">
        <v>743</v>
      </c>
      <c r="G29" s="28"/>
      <c r="H29" s="38" t="s">
        <v>187</v>
      </c>
      <c r="I29" s="26" t="s">
        <v>36</v>
      </c>
      <c r="J29" s="19">
        <v>1130000000</v>
      </c>
      <c r="K29" s="5"/>
      <c r="L29" s="4">
        <f t="shared" si="13"/>
        <v>2004462669</v>
      </c>
      <c r="M29" s="18"/>
    </row>
    <row r="30" spans="1:13" ht="21" customHeight="1">
      <c r="A30" s="6" t="str">
        <f t="shared" si="2"/>
        <v>C10</v>
      </c>
      <c r="B30" s="3">
        <v>42251</v>
      </c>
      <c r="C30" s="3">
        <v>42251</v>
      </c>
      <c r="D30" s="4"/>
      <c r="E30" s="4" t="s">
        <v>145</v>
      </c>
      <c r="F30" s="5" t="s">
        <v>72</v>
      </c>
      <c r="G30" s="105" t="s">
        <v>1044</v>
      </c>
      <c r="H30" s="5" t="s">
        <v>888</v>
      </c>
      <c r="I30" s="26" t="s">
        <v>94</v>
      </c>
      <c r="J30" s="19"/>
      <c r="K30" s="5">
        <v>733500</v>
      </c>
      <c r="L30" s="4">
        <f t="shared" si="13"/>
        <v>2003729169</v>
      </c>
      <c r="M30" s="18"/>
    </row>
    <row r="31" spans="1:13" ht="21" customHeight="1">
      <c r="A31" s="6" t="str">
        <f t="shared" si="2"/>
        <v>C10</v>
      </c>
      <c r="B31" s="3">
        <v>42251</v>
      </c>
      <c r="C31" s="3">
        <v>42251</v>
      </c>
      <c r="D31" s="4"/>
      <c r="E31" s="4" t="s">
        <v>145</v>
      </c>
      <c r="F31" s="5" t="s">
        <v>73</v>
      </c>
      <c r="G31" s="105" t="s">
        <v>1044</v>
      </c>
      <c r="H31" s="5" t="s">
        <v>888</v>
      </c>
      <c r="I31" s="26" t="s">
        <v>35</v>
      </c>
      <c r="J31" s="19"/>
      <c r="K31" s="5">
        <v>73350</v>
      </c>
      <c r="L31" s="4">
        <f t="shared" si="13"/>
        <v>2003655819</v>
      </c>
      <c r="M31" s="18"/>
    </row>
    <row r="32" spans="1:13" ht="21" customHeight="1">
      <c r="A32" s="6" t="str">
        <f t="shared" si="2"/>
        <v>C11</v>
      </c>
      <c r="B32" s="3">
        <v>42251</v>
      </c>
      <c r="C32" s="3">
        <v>42251</v>
      </c>
      <c r="D32" s="20"/>
      <c r="E32" s="20" t="s">
        <v>146</v>
      </c>
      <c r="F32" s="5" t="s">
        <v>971</v>
      </c>
      <c r="G32" s="28"/>
      <c r="H32" s="38" t="s">
        <v>187</v>
      </c>
      <c r="I32" s="26" t="s">
        <v>36</v>
      </c>
      <c r="J32" s="19"/>
      <c r="K32" s="5">
        <v>100000000</v>
      </c>
      <c r="L32" s="4">
        <f t="shared" si="0"/>
        <v>1903655819</v>
      </c>
      <c r="M32" s="18"/>
    </row>
    <row r="33" spans="1:13" ht="21" customHeight="1">
      <c r="A33" s="6" t="str">
        <f t="shared" si="2"/>
        <v>C12</v>
      </c>
      <c r="B33" s="3">
        <v>42252</v>
      </c>
      <c r="C33" s="3">
        <v>42252</v>
      </c>
      <c r="D33" s="4"/>
      <c r="E33" s="4" t="s">
        <v>147</v>
      </c>
      <c r="F33" s="41" t="s">
        <v>1045</v>
      </c>
      <c r="G33" s="332" t="s">
        <v>1046</v>
      </c>
      <c r="H33" s="5" t="s">
        <v>1047</v>
      </c>
      <c r="I33" s="26" t="s">
        <v>94</v>
      </c>
      <c r="J33" s="19"/>
      <c r="K33" s="5">
        <v>1428000</v>
      </c>
      <c r="L33" s="4">
        <f t="shared" si="0"/>
        <v>1902227819</v>
      </c>
      <c r="M33" s="18"/>
    </row>
    <row r="34" spans="1:13" ht="21" customHeight="1">
      <c r="A34" s="6" t="str">
        <f t="shared" ref="A34" si="17">D34&amp;E34</f>
        <v>C12</v>
      </c>
      <c r="B34" s="3">
        <v>42252</v>
      </c>
      <c r="C34" s="3">
        <v>42252</v>
      </c>
      <c r="D34" s="4"/>
      <c r="E34" s="4" t="s">
        <v>147</v>
      </c>
      <c r="F34" s="41" t="s">
        <v>1048</v>
      </c>
      <c r="G34" s="332" t="s">
        <v>1046</v>
      </c>
      <c r="H34" s="5" t="s">
        <v>1047</v>
      </c>
      <c r="I34" s="26" t="s">
        <v>35</v>
      </c>
      <c r="J34" s="19"/>
      <c r="K34" s="5">
        <v>142800</v>
      </c>
      <c r="L34" s="4">
        <f t="shared" ref="L34" si="18">IF(F34&lt;&gt;"",L33+J34-K34,0)</f>
        <v>1902085019</v>
      </c>
      <c r="M34" s="18"/>
    </row>
    <row r="35" spans="1:13" ht="21" customHeight="1">
      <c r="A35" s="6" t="str">
        <f t="shared" si="2"/>
        <v>C13</v>
      </c>
      <c r="B35" s="3">
        <v>42254</v>
      </c>
      <c r="C35" s="3">
        <v>42254</v>
      </c>
      <c r="D35" s="20"/>
      <c r="E35" s="20" t="s">
        <v>148</v>
      </c>
      <c r="F35" s="28" t="s">
        <v>1049</v>
      </c>
      <c r="G35" s="332" t="s">
        <v>1050</v>
      </c>
      <c r="H35" s="38" t="s">
        <v>643</v>
      </c>
      <c r="I35" s="26" t="s">
        <v>94</v>
      </c>
      <c r="J35" s="19"/>
      <c r="K35" s="5">
        <v>462727</v>
      </c>
      <c r="L35" s="4">
        <f t="shared" si="0"/>
        <v>1901622292</v>
      </c>
      <c r="M35" s="18"/>
    </row>
    <row r="36" spans="1:13" ht="21" customHeight="1">
      <c r="A36" s="6" t="str">
        <f t="shared" ref="A36" si="19">D36&amp;E36</f>
        <v>C13</v>
      </c>
      <c r="B36" s="3">
        <v>42254</v>
      </c>
      <c r="C36" s="3">
        <v>42254</v>
      </c>
      <c r="D36" s="20"/>
      <c r="E36" s="20" t="s">
        <v>148</v>
      </c>
      <c r="F36" s="28" t="s">
        <v>1051</v>
      </c>
      <c r="G36" s="332" t="s">
        <v>1050</v>
      </c>
      <c r="H36" s="38" t="s">
        <v>643</v>
      </c>
      <c r="I36" s="26" t="s">
        <v>35</v>
      </c>
      <c r="J36" s="19"/>
      <c r="K36" s="5">
        <v>46273</v>
      </c>
      <c r="L36" s="4">
        <f t="shared" ref="L36" si="20">IF(F36&lt;&gt;"",L35+J36-K36,0)</f>
        <v>1901576019</v>
      </c>
      <c r="M36" s="18"/>
    </row>
    <row r="37" spans="1:13" ht="21" customHeight="1">
      <c r="A37" s="6" t="str">
        <f t="shared" si="2"/>
        <v>C14</v>
      </c>
      <c r="B37" s="3">
        <v>42255</v>
      </c>
      <c r="C37" s="3">
        <v>42255</v>
      </c>
      <c r="D37" s="4"/>
      <c r="E37" s="20" t="s">
        <v>149</v>
      </c>
      <c r="F37" s="5" t="s">
        <v>1052</v>
      </c>
      <c r="G37" s="105" t="s">
        <v>1053</v>
      </c>
      <c r="H37" s="5" t="s">
        <v>978</v>
      </c>
      <c r="I37" s="26" t="s">
        <v>94</v>
      </c>
      <c r="J37" s="19"/>
      <c r="K37" s="5">
        <v>6538000</v>
      </c>
      <c r="L37" s="4">
        <f t="shared" si="0"/>
        <v>1895038019</v>
      </c>
      <c r="M37" s="18"/>
    </row>
    <row r="38" spans="1:13" ht="21" customHeight="1">
      <c r="A38" s="6" t="str">
        <f t="shared" si="2"/>
        <v>C15</v>
      </c>
      <c r="B38" s="3">
        <v>42255</v>
      </c>
      <c r="C38" s="3">
        <v>42255</v>
      </c>
      <c r="D38" s="20"/>
      <c r="E38" s="20" t="s">
        <v>150</v>
      </c>
      <c r="F38" s="5" t="s">
        <v>971</v>
      </c>
      <c r="G38" s="28"/>
      <c r="H38" s="38" t="s">
        <v>187</v>
      </c>
      <c r="I38" s="26" t="s">
        <v>36</v>
      </c>
      <c r="J38" s="19"/>
      <c r="K38" s="5">
        <v>15000000</v>
      </c>
      <c r="L38" s="4">
        <f t="shared" si="0"/>
        <v>1880038019</v>
      </c>
      <c r="M38" s="18"/>
    </row>
    <row r="39" spans="1:13" ht="21" customHeight="1">
      <c r="A39" s="6" t="str">
        <f t="shared" si="2"/>
        <v>C16</v>
      </c>
      <c r="B39" s="3">
        <v>42256</v>
      </c>
      <c r="C39" s="3">
        <v>42256</v>
      </c>
      <c r="D39" s="20"/>
      <c r="E39" s="20" t="s">
        <v>151</v>
      </c>
      <c r="F39" s="28" t="s">
        <v>53</v>
      </c>
      <c r="G39" s="106" t="s">
        <v>1054</v>
      </c>
      <c r="H39" s="38" t="s">
        <v>888</v>
      </c>
      <c r="I39" s="26" t="s">
        <v>54</v>
      </c>
      <c r="J39" s="19"/>
      <c r="K39" s="5">
        <v>738100</v>
      </c>
      <c r="L39" s="4">
        <f t="shared" si="0"/>
        <v>1879299919</v>
      </c>
      <c r="M39" s="18"/>
    </row>
    <row r="40" spans="1:13" ht="21" customHeight="1">
      <c r="A40" s="6" t="str">
        <f t="shared" si="2"/>
        <v>C16</v>
      </c>
      <c r="B40" s="3">
        <v>42256</v>
      </c>
      <c r="C40" s="3">
        <v>42256</v>
      </c>
      <c r="D40" s="20"/>
      <c r="E40" s="20" t="s">
        <v>151</v>
      </c>
      <c r="F40" s="28" t="s">
        <v>902</v>
      </c>
      <c r="G40" s="106" t="s">
        <v>1054</v>
      </c>
      <c r="H40" s="38" t="s">
        <v>888</v>
      </c>
      <c r="I40" s="26" t="s">
        <v>35</v>
      </c>
      <c r="J40" s="19"/>
      <c r="K40" s="5">
        <v>73810</v>
      </c>
      <c r="L40" s="4">
        <f t="shared" si="0"/>
        <v>1879226109</v>
      </c>
      <c r="M40" s="18"/>
    </row>
    <row r="41" spans="1:13" ht="21" customHeight="1">
      <c r="A41" s="6" t="str">
        <f t="shared" si="2"/>
        <v>C17</v>
      </c>
      <c r="B41" s="3">
        <v>42256</v>
      </c>
      <c r="C41" s="3">
        <v>42256</v>
      </c>
      <c r="D41" s="20"/>
      <c r="E41" s="20" t="s">
        <v>152</v>
      </c>
      <c r="F41" s="28" t="s">
        <v>72</v>
      </c>
      <c r="G41" s="106" t="s">
        <v>1055</v>
      </c>
      <c r="H41" s="38" t="s">
        <v>888</v>
      </c>
      <c r="I41" s="26" t="s">
        <v>94</v>
      </c>
      <c r="J41" s="19"/>
      <c r="K41" s="5">
        <v>782400</v>
      </c>
      <c r="L41" s="4">
        <f t="shared" si="0"/>
        <v>1878443709</v>
      </c>
      <c r="M41" s="18"/>
    </row>
    <row r="42" spans="1:13" ht="21" customHeight="1">
      <c r="A42" s="6" t="str">
        <f t="shared" ref="A42" si="21">D42&amp;E42</f>
        <v>C17</v>
      </c>
      <c r="B42" s="3">
        <v>42256</v>
      </c>
      <c r="C42" s="3">
        <v>42256</v>
      </c>
      <c r="D42" s="20"/>
      <c r="E42" s="20" t="s">
        <v>152</v>
      </c>
      <c r="F42" s="28" t="s">
        <v>73</v>
      </c>
      <c r="G42" s="106" t="s">
        <v>1055</v>
      </c>
      <c r="H42" s="38" t="s">
        <v>888</v>
      </c>
      <c r="I42" s="26" t="s">
        <v>35</v>
      </c>
      <c r="J42" s="19"/>
      <c r="K42" s="5">
        <v>78240</v>
      </c>
      <c r="L42" s="4">
        <f t="shared" ref="L42" si="22">IF(F42&lt;&gt;"",L41+J42-K42,0)</f>
        <v>1878365469</v>
      </c>
      <c r="M42" s="18"/>
    </row>
    <row r="43" spans="1:13" ht="21" customHeight="1">
      <c r="A43" s="6" t="str">
        <f t="shared" ref="A43" si="23">D43&amp;E43</f>
        <v>C18</v>
      </c>
      <c r="B43" s="3">
        <v>42258</v>
      </c>
      <c r="C43" s="3">
        <v>42258</v>
      </c>
      <c r="D43" s="20"/>
      <c r="E43" s="20" t="s">
        <v>153</v>
      </c>
      <c r="F43" s="28" t="s">
        <v>72</v>
      </c>
      <c r="G43" s="106" t="s">
        <v>1056</v>
      </c>
      <c r="H43" s="38" t="s">
        <v>888</v>
      </c>
      <c r="I43" s="26" t="s">
        <v>94</v>
      </c>
      <c r="J43" s="19"/>
      <c r="K43" s="5">
        <v>668300</v>
      </c>
      <c r="L43" s="4">
        <f t="shared" ref="L43" si="24">IF(F43&lt;&gt;"",L42+J43-K43,0)</f>
        <v>1877697169</v>
      </c>
      <c r="M43" s="18"/>
    </row>
    <row r="44" spans="1:13" ht="21" customHeight="1">
      <c r="A44" s="6" t="str">
        <f t="shared" ref="A44" si="25">D44&amp;E44</f>
        <v>C18</v>
      </c>
      <c r="B44" s="3">
        <v>42258</v>
      </c>
      <c r="C44" s="3">
        <v>42258</v>
      </c>
      <c r="D44" s="20"/>
      <c r="E44" s="20" t="s">
        <v>153</v>
      </c>
      <c r="F44" s="28" t="s">
        <v>73</v>
      </c>
      <c r="G44" s="106" t="s">
        <v>1056</v>
      </c>
      <c r="H44" s="38" t="s">
        <v>888</v>
      </c>
      <c r="I44" s="26" t="s">
        <v>35</v>
      </c>
      <c r="J44" s="19"/>
      <c r="K44" s="5">
        <v>66830</v>
      </c>
      <c r="L44" s="4">
        <f t="shared" ref="L44" si="26">IF(F44&lt;&gt;"",L43+J44-K44,0)</f>
        <v>1877630339</v>
      </c>
      <c r="M44" s="18"/>
    </row>
    <row r="45" spans="1:13" ht="21" customHeight="1">
      <c r="A45" s="6" t="str">
        <f t="shared" si="2"/>
        <v>C19</v>
      </c>
      <c r="B45" s="3">
        <v>42261</v>
      </c>
      <c r="C45" s="3">
        <v>42261</v>
      </c>
      <c r="D45" s="20"/>
      <c r="E45" s="20" t="s">
        <v>154</v>
      </c>
      <c r="F45" s="28" t="s">
        <v>1057</v>
      </c>
      <c r="G45" s="106" t="s">
        <v>1058</v>
      </c>
      <c r="H45" s="38" t="s">
        <v>1059</v>
      </c>
      <c r="I45" s="26" t="s">
        <v>94</v>
      </c>
      <c r="J45" s="19"/>
      <c r="K45" s="5">
        <v>621882</v>
      </c>
      <c r="L45" s="4">
        <f t="shared" si="0"/>
        <v>1877008457</v>
      </c>
      <c r="M45" s="18"/>
    </row>
    <row r="46" spans="1:13" ht="21" customHeight="1">
      <c r="A46" s="6" t="str">
        <f t="shared" ref="A46" si="27">D46&amp;E46</f>
        <v>C19</v>
      </c>
      <c r="B46" s="3">
        <v>42261</v>
      </c>
      <c r="C46" s="3">
        <v>42261</v>
      </c>
      <c r="D46" s="20"/>
      <c r="E46" s="20" t="s">
        <v>154</v>
      </c>
      <c r="F46" s="28" t="s">
        <v>1065</v>
      </c>
      <c r="G46" s="106" t="s">
        <v>1058</v>
      </c>
      <c r="H46" s="38" t="s">
        <v>1059</v>
      </c>
      <c r="I46" s="26" t="s">
        <v>35</v>
      </c>
      <c r="J46" s="19"/>
      <c r="K46" s="5">
        <v>62188</v>
      </c>
      <c r="L46" s="4">
        <f t="shared" ref="L46" si="28">IF(F46&lt;&gt;"",L45+J46-K46,0)</f>
        <v>1876946269</v>
      </c>
      <c r="M46" s="18"/>
    </row>
    <row r="47" spans="1:13" ht="21" customHeight="1">
      <c r="A47" s="6" t="str">
        <f t="shared" si="2"/>
        <v>C20</v>
      </c>
      <c r="B47" s="3">
        <v>42261</v>
      </c>
      <c r="C47" s="3">
        <v>42261</v>
      </c>
      <c r="D47" s="4"/>
      <c r="E47" s="20" t="s">
        <v>155</v>
      </c>
      <c r="F47" s="28" t="s">
        <v>72</v>
      </c>
      <c r="G47" s="106" t="s">
        <v>1060</v>
      </c>
      <c r="H47" s="38" t="s">
        <v>888</v>
      </c>
      <c r="I47" s="26" t="s">
        <v>94</v>
      </c>
      <c r="J47" s="19"/>
      <c r="K47" s="5">
        <v>815000</v>
      </c>
      <c r="L47" s="4">
        <f t="shared" si="0"/>
        <v>1876131269</v>
      </c>
      <c r="M47" s="18"/>
    </row>
    <row r="48" spans="1:13" ht="21" customHeight="1">
      <c r="A48" s="6" t="str">
        <f t="shared" si="2"/>
        <v>C20</v>
      </c>
      <c r="B48" s="3">
        <v>42261</v>
      </c>
      <c r="C48" s="3">
        <v>42261</v>
      </c>
      <c r="D48" s="4"/>
      <c r="E48" s="20" t="s">
        <v>155</v>
      </c>
      <c r="F48" s="28" t="s">
        <v>73</v>
      </c>
      <c r="G48" s="106" t="s">
        <v>1060</v>
      </c>
      <c r="H48" s="38" t="s">
        <v>888</v>
      </c>
      <c r="I48" s="26" t="s">
        <v>35</v>
      </c>
      <c r="J48" s="19"/>
      <c r="K48" s="5">
        <v>81500</v>
      </c>
      <c r="L48" s="4">
        <f t="shared" si="0"/>
        <v>1876049769</v>
      </c>
      <c r="M48" s="18"/>
    </row>
    <row r="49" spans="1:13" ht="21" customHeight="1">
      <c r="A49" s="6" t="str">
        <f t="shared" si="2"/>
        <v>C21</v>
      </c>
      <c r="B49" s="3">
        <v>42261</v>
      </c>
      <c r="C49" s="3">
        <v>42261</v>
      </c>
      <c r="D49" s="20"/>
      <c r="E49" s="20" t="s">
        <v>156</v>
      </c>
      <c r="F49" s="5" t="s">
        <v>1061</v>
      </c>
      <c r="G49" s="105" t="s">
        <v>1062</v>
      </c>
      <c r="H49" s="5" t="s">
        <v>978</v>
      </c>
      <c r="I49" s="26" t="s">
        <v>94</v>
      </c>
      <c r="J49" s="19"/>
      <c r="K49" s="5">
        <v>2050000</v>
      </c>
      <c r="L49" s="4">
        <f t="shared" si="0"/>
        <v>1873999769</v>
      </c>
      <c r="M49" s="18"/>
    </row>
    <row r="50" spans="1:13" ht="21" customHeight="1">
      <c r="A50" s="6" t="str">
        <f t="shared" si="2"/>
        <v>C22</v>
      </c>
      <c r="B50" s="3">
        <v>42262</v>
      </c>
      <c r="C50" s="3">
        <v>42262</v>
      </c>
      <c r="D50" s="20"/>
      <c r="E50" s="20" t="s">
        <v>157</v>
      </c>
      <c r="F50" s="5" t="s">
        <v>332</v>
      </c>
      <c r="G50" s="5"/>
      <c r="H50" s="5" t="s">
        <v>335</v>
      </c>
      <c r="I50" s="26" t="s">
        <v>334</v>
      </c>
      <c r="J50" s="19"/>
      <c r="K50" s="5">
        <v>600000000</v>
      </c>
      <c r="L50" s="4">
        <f t="shared" si="0"/>
        <v>1273999769</v>
      </c>
      <c r="M50" s="18"/>
    </row>
    <row r="51" spans="1:13" ht="21" customHeight="1">
      <c r="A51" s="6" t="str">
        <f t="shared" si="2"/>
        <v>C23</v>
      </c>
      <c r="B51" s="3">
        <v>42262</v>
      </c>
      <c r="C51" s="3">
        <v>42262</v>
      </c>
      <c r="D51" s="4"/>
      <c r="E51" s="20" t="s">
        <v>158</v>
      </c>
      <c r="F51" s="5" t="s">
        <v>756</v>
      </c>
      <c r="G51" s="105" t="s">
        <v>1063</v>
      </c>
      <c r="H51" s="5" t="s">
        <v>192</v>
      </c>
      <c r="I51" s="26" t="s">
        <v>94</v>
      </c>
      <c r="J51" s="19"/>
      <c r="K51" s="5">
        <v>110282</v>
      </c>
      <c r="L51" s="4">
        <f t="shared" si="0"/>
        <v>1273889487</v>
      </c>
      <c r="M51" s="18"/>
    </row>
    <row r="52" spans="1:13" ht="21" customHeight="1">
      <c r="A52" s="6" t="str">
        <f t="shared" si="2"/>
        <v>C23</v>
      </c>
      <c r="B52" s="3">
        <v>42262</v>
      </c>
      <c r="C52" s="3">
        <v>42262</v>
      </c>
      <c r="D52" s="4"/>
      <c r="E52" s="20" t="s">
        <v>158</v>
      </c>
      <c r="F52" s="5" t="s">
        <v>53</v>
      </c>
      <c r="G52" s="105" t="s">
        <v>1063</v>
      </c>
      <c r="H52" s="5" t="s">
        <v>192</v>
      </c>
      <c r="I52" s="26" t="s">
        <v>54</v>
      </c>
      <c r="J52" s="19"/>
      <c r="K52" s="5">
        <v>1210000</v>
      </c>
      <c r="L52" s="4">
        <f t="shared" si="0"/>
        <v>1272679487</v>
      </c>
      <c r="M52" s="18"/>
    </row>
    <row r="53" spans="1:13" ht="21" customHeight="1">
      <c r="A53" s="6" t="str">
        <f t="shared" si="2"/>
        <v>C23</v>
      </c>
      <c r="B53" s="3">
        <v>42262</v>
      </c>
      <c r="C53" s="3">
        <v>42262</v>
      </c>
      <c r="D53" s="4"/>
      <c r="E53" s="20" t="s">
        <v>158</v>
      </c>
      <c r="F53" s="28" t="s">
        <v>890</v>
      </c>
      <c r="G53" s="105" t="s">
        <v>1063</v>
      </c>
      <c r="H53" s="5" t="s">
        <v>192</v>
      </c>
      <c r="I53" s="26" t="s">
        <v>35</v>
      </c>
      <c r="J53" s="19"/>
      <c r="K53" s="5">
        <v>132028</v>
      </c>
      <c r="L53" s="4">
        <f t="shared" si="0"/>
        <v>1272547459</v>
      </c>
      <c r="M53" s="18"/>
    </row>
    <row r="54" spans="1:13" ht="21" customHeight="1">
      <c r="A54" s="6" t="str">
        <f t="shared" ref="A54:A55" si="29">D54&amp;E54</f>
        <v>C24</v>
      </c>
      <c r="B54" s="3">
        <v>42262</v>
      </c>
      <c r="C54" s="3">
        <v>42262</v>
      </c>
      <c r="D54" s="4"/>
      <c r="E54" s="20" t="s">
        <v>159</v>
      </c>
      <c r="F54" s="28" t="s">
        <v>85</v>
      </c>
      <c r="G54" s="105" t="s">
        <v>1116</v>
      </c>
      <c r="H54" s="5" t="s">
        <v>1117</v>
      </c>
      <c r="I54" s="26" t="s">
        <v>94</v>
      </c>
      <c r="J54" s="19"/>
      <c r="K54" s="5">
        <v>872727</v>
      </c>
      <c r="L54" s="4">
        <f t="shared" si="0"/>
        <v>1271674732</v>
      </c>
      <c r="M54" s="18"/>
    </row>
    <row r="55" spans="1:13" ht="21" customHeight="1">
      <c r="A55" s="6" t="str">
        <f t="shared" si="29"/>
        <v>C24</v>
      </c>
      <c r="B55" s="3">
        <v>42262</v>
      </c>
      <c r="C55" s="3">
        <v>42262</v>
      </c>
      <c r="D55" s="4"/>
      <c r="E55" s="20" t="s">
        <v>159</v>
      </c>
      <c r="F55" s="28" t="s">
        <v>86</v>
      </c>
      <c r="G55" s="105" t="s">
        <v>1116</v>
      </c>
      <c r="H55" s="5" t="s">
        <v>1117</v>
      </c>
      <c r="I55" s="26" t="s">
        <v>35</v>
      </c>
      <c r="J55" s="19"/>
      <c r="K55" s="5">
        <v>87273</v>
      </c>
      <c r="L55" s="4">
        <f t="shared" si="0"/>
        <v>1271587459</v>
      </c>
      <c r="M55" s="18"/>
    </row>
    <row r="56" spans="1:13" ht="21" customHeight="1">
      <c r="A56" s="6" t="str">
        <f t="shared" si="2"/>
        <v>C25</v>
      </c>
      <c r="B56" s="3">
        <v>42264</v>
      </c>
      <c r="C56" s="3">
        <v>42264</v>
      </c>
      <c r="D56" s="20"/>
      <c r="E56" s="20" t="s">
        <v>160</v>
      </c>
      <c r="F56" s="28" t="s">
        <v>53</v>
      </c>
      <c r="G56" s="106" t="s">
        <v>1064</v>
      </c>
      <c r="H56" s="38" t="s">
        <v>888</v>
      </c>
      <c r="I56" s="26" t="s">
        <v>54</v>
      </c>
      <c r="J56" s="19"/>
      <c r="K56" s="5">
        <v>617100</v>
      </c>
      <c r="L56" s="4">
        <f t="shared" ref="L56:L66" si="30">IF(F56&lt;&gt;"",L55+J56-K56,0)</f>
        <v>1270970359</v>
      </c>
      <c r="M56" s="18"/>
    </row>
    <row r="57" spans="1:13" ht="21" customHeight="1">
      <c r="A57" s="6" t="str">
        <f t="shared" ref="A57" si="31">D57&amp;E57</f>
        <v>C25</v>
      </c>
      <c r="B57" s="3">
        <v>42264</v>
      </c>
      <c r="C57" s="3">
        <v>42264</v>
      </c>
      <c r="D57" s="20"/>
      <c r="E57" s="20" t="s">
        <v>160</v>
      </c>
      <c r="F57" s="28" t="s">
        <v>902</v>
      </c>
      <c r="G57" s="106" t="s">
        <v>1064</v>
      </c>
      <c r="H57" s="38" t="s">
        <v>888</v>
      </c>
      <c r="I57" s="26" t="s">
        <v>35</v>
      </c>
      <c r="J57" s="19"/>
      <c r="K57" s="5">
        <v>61710</v>
      </c>
      <c r="L57" s="4">
        <f t="shared" si="30"/>
        <v>1270908649</v>
      </c>
      <c r="M57" s="18"/>
    </row>
    <row r="58" spans="1:13" ht="21" customHeight="1">
      <c r="A58" s="6" t="str">
        <f t="shared" si="2"/>
        <v>C26</v>
      </c>
      <c r="B58" s="3">
        <v>42265</v>
      </c>
      <c r="C58" s="3">
        <v>42265</v>
      </c>
      <c r="D58" s="4"/>
      <c r="E58" s="20" t="s">
        <v>161</v>
      </c>
      <c r="F58" s="5" t="s">
        <v>756</v>
      </c>
      <c r="G58" s="105" t="s">
        <v>1066</v>
      </c>
      <c r="H58" s="5" t="s">
        <v>192</v>
      </c>
      <c r="I58" s="26" t="s">
        <v>94</v>
      </c>
      <c r="J58" s="19"/>
      <c r="K58" s="5">
        <v>47264</v>
      </c>
      <c r="L58" s="4">
        <f t="shared" si="30"/>
        <v>1270861385</v>
      </c>
      <c r="M58" s="18"/>
    </row>
    <row r="59" spans="1:13" ht="21" customHeight="1">
      <c r="A59" s="6" t="str">
        <f t="shared" ref="A59" si="32">D59&amp;E59</f>
        <v>C26</v>
      </c>
      <c r="B59" s="3">
        <v>42265</v>
      </c>
      <c r="C59" s="3">
        <v>42265</v>
      </c>
      <c r="D59" s="4"/>
      <c r="E59" s="20" t="s">
        <v>161</v>
      </c>
      <c r="F59" s="5" t="s">
        <v>1067</v>
      </c>
      <c r="G59" s="105" t="s">
        <v>1066</v>
      </c>
      <c r="H59" s="5" t="s">
        <v>192</v>
      </c>
      <c r="I59" s="26" t="s">
        <v>35</v>
      </c>
      <c r="J59" s="19"/>
      <c r="K59" s="5">
        <v>4726</v>
      </c>
      <c r="L59" s="4">
        <f t="shared" si="30"/>
        <v>1270856659</v>
      </c>
      <c r="M59" s="18"/>
    </row>
    <row r="60" spans="1:13" ht="21" customHeight="1">
      <c r="A60" s="6" t="str">
        <f t="shared" si="2"/>
        <v>T03</v>
      </c>
      <c r="B60" s="3">
        <v>42266</v>
      </c>
      <c r="C60" s="3">
        <v>42266</v>
      </c>
      <c r="D60" s="20" t="s">
        <v>41</v>
      </c>
      <c r="E60" s="20"/>
      <c r="F60" s="5" t="s">
        <v>743</v>
      </c>
      <c r="G60" s="28"/>
      <c r="H60" s="38" t="s">
        <v>187</v>
      </c>
      <c r="I60" s="26" t="s">
        <v>36</v>
      </c>
      <c r="J60" s="19">
        <v>1250000000</v>
      </c>
      <c r="K60" s="5"/>
      <c r="L60" s="4">
        <f t="shared" si="30"/>
        <v>2520856659</v>
      </c>
      <c r="M60" s="18"/>
    </row>
    <row r="61" spans="1:13" ht="21" customHeight="1">
      <c r="A61" s="6" t="str">
        <f t="shared" ref="A61:A62" si="33">D61&amp;E61</f>
        <v>C27</v>
      </c>
      <c r="B61" s="3">
        <v>42266</v>
      </c>
      <c r="C61" s="3">
        <v>42266</v>
      </c>
      <c r="D61" s="20"/>
      <c r="E61" s="20" t="s">
        <v>162</v>
      </c>
      <c r="F61" s="5" t="s">
        <v>971</v>
      </c>
      <c r="G61" s="28"/>
      <c r="H61" s="38" t="s">
        <v>187</v>
      </c>
      <c r="I61" s="26" t="s">
        <v>36</v>
      </c>
      <c r="J61" s="19"/>
      <c r="K61" s="5">
        <v>25000000</v>
      </c>
      <c r="L61" s="4">
        <f t="shared" si="30"/>
        <v>2495856659</v>
      </c>
      <c r="M61" s="18"/>
    </row>
    <row r="62" spans="1:13" ht="21" customHeight="1">
      <c r="A62" s="6" t="str">
        <f t="shared" si="33"/>
        <v>C28</v>
      </c>
      <c r="B62" s="3">
        <v>42267</v>
      </c>
      <c r="C62" s="3">
        <v>42267</v>
      </c>
      <c r="D62" s="20"/>
      <c r="E62" s="20" t="s">
        <v>163</v>
      </c>
      <c r="F62" s="5" t="s">
        <v>332</v>
      </c>
      <c r="G62" s="5"/>
      <c r="H62" s="5" t="s">
        <v>335</v>
      </c>
      <c r="I62" s="26" t="s">
        <v>334</v>
      </c>
      <c r="J62" s="19"/>
      <c r="K62" s="5">
        <v>500000000</v>
      </c>
      <c r="L62" s="4">
        <f t="shared" si="30"/>
        <v>1995856659</v>
      </c>
      <c r="M62" s="18"/>
    </row>
    <row r="63" spans="1:13" ht="21" customHeight="1">
      <c r="A63" s="6" t="str">
        <f t="shared" si="2"/>
        <v>C29</v>
      </c>
      <c r="B63" s="3">
        <v>42268</v>
      </c>
      <c r="C63" s="3">
        <v>42268</v>
      </c>
      <c r="D63" s="4"/>
      <c r="E63" s="20" t="s">
        <v>164</v>
      </c>
      <c r="F63" s="5" t="s">
        <v>756</v>
      </c>
      <c r="G63" s="105" t="s">
        <v>1068</v>
      </c>
      <c r="H63" s="5" t="s">
        <v>888</v>
      </c>
      <c r="I63" s="26" t="s">
        <v>94</v>
      </c>
      <c r="J63" s="19"/>
      <c r="K63" s="5">
        <v>876909</v>
      </c>
      <c r="L63" s="4">
        <f t="shared" si="30"/>
        <v>1994979750</v>
      </c>
      <c r="M63" s="18"/>
    </row>
    <row r="64" spans="1:13" ht="21" customHeight="1">
      <c r="A64" s="6" t="str">
        <f t="shared" ref="A64" si="34">D64&amp;E64</f>
        <v>C29</v>
      </c>
      <c r="B64" s="3">
        <v>42268</v>
      </c>
      <c r="C64" s="3">
        <v>42268</v>
      </c>
      <c r="D64" s="4"/>
      <c r="E64" s="20" t="s">
        <v>164</v>
      </c>
      <c r="F64" s="5" t="s">
        <v>1067</v>
      </c>
      <c r="G64" s="105" t="s">
        <v>1068</v>
      </c>
      <c r="H64" s="5" t="s">
        <v>888</v>
      </c>
      <c r="I64" s="26" t="s">
        <v>35</v>
      </c>
      <c r="J64" s="19"/>
      <c r="K64" s="5">
        <v>87691</v>
      </c>
      <c r="L64" s="4">
        <f t="shared" si="30"/>
        <v>1994892059</v>
      </c>
      <c r="M64" s="18"/>
    </row>
    <row r="65" spans="1:13" ht="21" customHeight="1">
      <c r="A65" s="6" t="str">
        <f t="shared" si="2"/>
        <v>C30</v>
      </c>
      <c r="B65" s="3">
        <v>42268</v>
      </c>
      <c r="C65" s="3">
        <v>42268</v>
      </c>
      <c r="D65" s="20"/>
      <c r="E65" s="20" t="s">
        <v>165</v>
      </c>
      <c r="F65" s="28" t="s">
        <v>1033</v>
      </c>
      <c r="G65" s="106" t="s">
        <v>1069</v>
      </c>
      <c r="H65" s="38" t="s">
        <v>1035</v>
      </c>
      <c r="I65" s="26" t="s">
        <v>94</v>
      </c>
      <c r="J65" s="19"/>
      <c r="K65" s="5">
        <v>500000</v>
      </c>
      <c r="L65" s="4">
        <f t="shared" si="30"/>
        <v>1994392059</v>
      </c>
      <c r="M65" s="18"/>
    </row>
    <row r="66" spans="1:13" ht="21" customHeight="1">
      <c r="A66" s="6" t="str">
        <f t="shared" ref="A66" si="35">D66&amp;E66</f>
        <v>C30</v>
      </c>
      <c r="B66" s="3">
        <v>42268</v>
      </c>
      <c r="C66" s="3">
        <v>42268</v>
      </c>
      <c r="D66" s="20"/>
      <c r="E66" s="20" t="s">
        <v>165</v>
      </c>
      <c r="F66" s="28" t="s">
        <v>1040</v>
      </c>
      <c r="G66" s="106" t="s">
        <v>1069</v>
      </c>
      <c r="H66" s="38" t="s">
        <v>1035</v>
      </c>
      <c r="I66" s="26" t="s">
        <v>35</v>
      </c>
      <c r="J66" s="19"/>
      <c r="K66" s="5">
        <v>25000</v>
      </c>
      <c r="L66" s="4">
        <f t="shared" si="30"/>
        <v>1994367059</v>
      </c>
      <c r="M66" s="18"/>
    </row>
    <row r="67" spans="1:13" ht="21" customHeight="1">
      <c r="A67" s="6" t="str">
        <f t="shared" si="2"/>
        <v>C31</v>
      </c>
      <c r="B67" s="3">
        <v>42270</v>
      </c>
      <c r="C67" s="3">
        <v>42270</v>
      </c>
      <c r="D67" s="20"/>
      <c r="E67" s="20" t="s">
        <v>166</v>
      </c>
      <c r="F67" s="5" t="s">
        <v>1070</v>
      </c>
      <c r="G67" s="105" t="s">
        <v>1071</v>
      </c>
      <c r="H67" s="5" t="s">
        <v>1072</v>
      </c>
      <c r="I67" s="26" t="s">
        <v>94</v>
      </c>
      <c r="J67" s="19"/>
      <c r="K67" s="5">
        <v>354533</v>
      </c>
      <c r="L67" s="4">
        <f t="shared" si="0"/>
        <v>1994012526</v>
      </c>
      <c r="M67" s="18"/>
    </row>
    <row r="68" spans="1:13" ht="21" customHeight="1">
      <c r="A68" s="6" t="str">
        <f t="shared" ref="A68" si="36">D68&amp;E68</f>
        <v>C31</v>
      </c>
      <c r="B68" s="3">
        <v>42270</v>
      </c>
      <c r="C68" s="3">
        <v>42270</v>
      </c>
      <c r="D68" s="20"/>
      <c r="E68" s="20" t="s">
        <v>166</v>
      </c>
      <c r="F68" s="5" t="s">
        <v>1073</v>
      </c>
      <c r="G68" s="105" t="s">
        <v>1071</v>
      </c>
      <c r="H68" s="5" t="s">
        <v>1072</v>
      </c>
      <c r="I68" s="26" t="s">
        <v>35</v>
      </c>
      <c r="J68" s="19"/>
      <c r="K68" s="5">
        <v>35453</v>
      </c>
      <c r="L68" s="4">
        <f t="shared" si="0"/>
        <v>1993977073</v>
      </c>
      <c r="M68" s="18"/>
    </row>
    <row r="69" spans="1:13" ht="21" customHeight="1">
      <c r="A69" s="6" t="str">
        <f t="shared" si="2"/>
        <v>C32</v>
      </c>
      <c r="B69" s="3">
        <v>42271</v>
      </c>
      <c r="C69" s="3">
        <v>42271</v>
      </c>
      <c r="D69" s="4"/>
      <c r="E69" s="20" t="s">
        <v>167</v>
      </c>
      <c r="F69" s="5" t="s">
        <v>72</v>
      </c>
      <c r="G69" s="105" t="s">
        <v>1074</v>
      </c>
      <c r="H69" s="5" t="s">
        <v>888</v>
      </c>
      <c r="I69" s="26" t="s">
        <v>94</v>
      </c>
      <c r="J69" s="19"/>
      <c r="K69" s="5">
        <v>809455</v>
      </c>
      <c r="L69" s="4">
        <f t="shared" si="0"/>
        <v>1993167618</v>
      </c>
      <c r="M69" s="18"/>
    </row>
    <row r="70" spans="1:13" ht="21" customHeight="1">
      <c r="A70" s="6" t="str">
        <f t="shared" ref="A70" si="37">D70&amp;E70</f>
        <v>C32</v>
      </c>
      <c r="B70" s="3">
        <v>42271</v>
      </c>
      <c r="C70" s="3">
        <v>42271</v>
      </c>
      <c r="D70" s="4"/>
      <c r="E70" s="20" t="s">
        <v>167</v>
      </c>
      <c r="F70" s="5" t="s">
        <v>73</v>
      </c>
      <c r="G70" s="105" t="s">
        <v>1074</v>
      </c>
      <c r="H70" s="5" t="s">
        <v>888</v>
      </c>
      <c r="I70" s="26" t="s">
        <v>35</v>
      </c>
      <c r="J70" s="19"/>
      <c r="K70" s="5">
        <v>80945</v>
      </c>
      <c r="L70" s="4">
        <f t="shared" ref="L70" si="38">IF(F70&lt;&gt;"",L69+J70-K70,0)</f>
        <v>1993086673</v>
      </c>
      <c r="M70" s="18"/>
    </row>
    <row r="71" spans="1:13" ht="21" customHeight="1">
      <c r="A71" s="6" t="str">
        <f t="shared" si="2"/>
        <v>C33</v>
      </c>
      <c r="B71" s="3">
        <v>42271</v>
      </c>
      <c r="C71" s="3">
        <v>42271</v>
      </c>
      <c r="D71" s="4"/>
      <c r="E71" s="20" t="s">
        <v>168</v>
      </c>
      <c r="F71" s="41" t="s">
        <v>288</v>
      </c>
      <c r="G71" s="332" t="s">
        <v>1075</v>
      </c>
      <c r="H71" s="38" t="s">
        <v>290</v>
      </c>
      <c r="I71" s="26" t="s">
        <v>34</v>
      </c>
      <c r="J71" s="19"/>
      <c r="K71" s="5">
        <v>5610000</v>
      </c>
      <c r="L71" s="4">
        <f t="shared" si="0"/>
        <v>1987476673</v>
      </c>
      <c r="M71" s="18"/>
    </row>
    <row r="72" spans="1:13" ht="21" customHeight="1">
      <c r="A72" s="6" t="str">
        <f t="shared" si="2"/>
        <v>C34</v>
      </c>
      <c r="B72" s="3">
        <v>42272</v>
      </c>
      <c r="C72" s="3">
        <v>42272</v>
      </c>
      <c r="D72" s="4"/>
      <c r="E72" s="20" t="s">
        <v>169</v>
      </c>
      <c r="F72" s="5" t="s">
        <v>1076</v>
      </c>
      <c r="G72" s="105" t="s">
        <v>1077</v>
      </c>
      <c r="H72" s="5" t="s">
        <v>1035</v>
      </c>
      <c r="I72" s="26" t="s">
        <v>94</v>
      </c>
      <c r="J72" s="19"/>
      <c r="K72" s="5">
        <v>500000</v>
      </c>
      <c r="L72" s="4">
        <f t="shared" si="0"/>
        <v>1986976673</v>
      </c>
      <c r="M72" s="18"/>
    </row>
    <row r="73" spans="1:13" ht="21" customHeight="1">
      <c r="A73" s="6" t="str">
        <f t="shared" ref="A73" si="39">D73&amp;E73</f>
        <v>C34</v>
      </c>
      <c r="B73" s="3">
        <v>42272</v>
      </c>
      <c r="C73" s="3">
        <v>42272</v>
      </c>
      <c r="D73" s="4"/>
      <c r="E73" s="20" t="s">
        <v>169</v>
      </c>
      <c r="F73" s="5" t="s">
        <v>1078</v>
      </c>
      <c r="G73" s="105" t="s">
        <v>1077</v>
      </c>
      <c r="H73" s="5" t="s">
        <v>1035</v>
      </c>
      <c r="I73" s="26" t="s">
        <v>35</v>
      </c>
      <c r="J73" s="19"/>
      <c r="K73" s="5">
        <v>25000</v>
      </c>
      <c r="L73" s="4">
        <f t="shared" si="0"/>
        <v>1986951673</v>
      </c>
      <c r="M73" s="18"/>
    </row>
    <row r="74" spans="1:13" ht="21" customHeight="1">
      <c r="A74" s="6" t="str">
        <f t="shared" ref="A74:A75" si="40">D74&amp;E74</f>
        <v>C35</v>
      </c>
      <c r="B74" s="3">
        <v>42276</v>
      </c>
      <c r="C74" s="3">
        <v>42276</v>
      </c>
      <c r="D74" s="4"/>
      <c r="E74" s="20" t="s">
        <v>170</v>
      </c>
      <c r="F74" s="5" t="s">
        <v>1118</v>
      </c>
      <c r="G74" s="105" t="s">
        <v>1120</v>
      </c>
      <c r="H74" s="5" t="s">
        <v>1121</v>
      </c>
      <c r="I74" s="26" t="s">
        <v>94</v>
      </c>
      <c r="J74" s="19"/>
      <c r="K74" s="5">
        <v>1086363</v>
      </c>
      <c r="L74" s="4">
        <f t="shared" si="0"/>
        <v>1985865310</v>
      </c>
      <c r="M74" s="18"/>
    </row>
    <row r="75" spans="1:13" ht="21" customHeight="1">
      <c r="A75" s="6" t="str">
        <f t="shared" si="40"/>
        <v>C35</v>
      </c>
      <c r="B75" s="3">
        <v>42276</v>
      </c>
      <c r="C75" s="3">
        <v>42276</v>
      </c>
      <c r="D75" s="4"/>
      <c r="E75" s="20" t="s">
        <v>170</v>
      </c>
      <c r="F75" s="5" t="s">
        <v>1119</v>
      </c>
      <c r="G75" s="105" t="s">
        <v>1120</v>
      </c>
      <c r="H75" s="5" t="s">
        <v>1121</v>
      </c>
      <c r="I75" s="26" t="s">
        <v>35</v>
      </c>
      <c r="J75" s="19"/>
      <c r="K75" s="5">
        <v>108637</v>
      </c>
      <c r="L75" s="4">
        <f t="shared" si="0"/>
        <v>1985756673</v>
      </c>
      <c r="M75" s="18"/>
    </row>
    <row r="76" spans="1:13" ht="21" customHeight="1">
      <c r="A76" s="6" t="str">
        <f t="shared" si="2"/>
        <v>C36</v>
      </c>
      <c r="B76" s="3">
        <v>42276</v>
      </c>
      <c r="C76" s="3">
        <v>42276</v>
      </c>
      <c r="D76" s="4"/>
      <c r="E76" s="20" t="s">
        <v>171</v>
      </c>
      <c r="F76" s="5" t="s">
        <v>72</v>
      </c>
      <c r="G76" s="105" t="s">
        <v>1079</v>
      </c>
      <c r="H76" s="5" t="s">
        <v>888</v>
      </c>
      <c r="I76" s="26" t="s">
        <v>94</v>
      </c>
      <c r="J76" s="19"/>
      <c r="K76" s="5">
        <v>843182</v>
      </c>
      <c r="L76" s="4">
        <f t="shared" si="0"/>
        <v>1984913491</v>
      </c>
      <c r="M76" s="18"/>
    </row>
    <row r="77" spans="1:13" ht="21" customHeight="1">
      <c r="A77" s="6" t="str">
        <f t="shared" ref="A77" si="41">D77&amp;E77</f>
        <v>C36</v>
      </c>
      <c r="B77" s="3">
        <v>42276</v>
      </c>
      <c r="C77" s="3">
        <v>42276</v>
      </c>
      <c r="D77" s="4"/>
      <c r="E77" s="20" t="s">
        <v>171</v>
      </c>
      <c r="F77" s="5" t="s">
        <v>73</v>
      </c>
      <c r="G77" s="105" t="s">
        <v>1079</v>
      </c>
      <c r="H77" s="5" t="s">
        <v>888</v>
      </c>
      <c r="I77" s="26" t="s">
        <v>35</v>
      </c>
      <c r="J77" s="19"/>
      <c r="K77" s="5">
        <v>84318</v>
      </c>
      <c r="L77" s="4">
        <f t="shared" si="0"/>
        <v>1984829173</v>
      </c>
      <c r="M77" s="18"/>
    </row>
    <row r="78" spans="1:13" ht="21" customHeight="1">
      <c r="A78" s="6" t="str">
        <f t="shared" ref="A78:A79" si="42">D78&amp;E78</f>
        <v>C37</v>
      </c>
      <c r="B78" s="3">
        <v>42276</v>
      </c>
      <c r="C78" s="3">
        <v>42276</v>
      </c>
      <c r="D78" s="4"/>
      <c r="E78" s="20" t="s">
        <v>172</v>
      </c>
      <c r="F78" s="5" t="s">
        <v>1122</v>
      </c>
      <c r="G78" s="105" t="s">
        <v>1124</v>
      </c>
      <c r="H78" s="5" t="s">
        <v>1125</v>
      </c>
      <c r="I78" s="26" t="s">
        <v>94</v>
      </c>
      <c r="J78" s="19"/>
      <c r="K78" s="5">
        <v>2518179</v>
      </c>
      <c r="L78" s="4">
        <f t="shared" si="0"/>
        <v>1982310994</v>
      </c>
      <c r="M78" s="18"/>
    </row>
    <row r="79" spans="1:13" ht="21" customHeight="1">
      <c r="A79" s="6" t="str">
        <f t="shared" si="42"/>
        <v>C37</v>
      </c>
      <c r="B79" s="3">
        <v>42276</v>
      </c>
      <c r="C79" s="3">
        <v>42276</v>
      </c>
      <c r="D79" s="4"/>
      <c r="E79" s="20" t="s">
        <v>172</v>
      </c>
      <c r="F79" s="5" t="s">
        <v>1123</v>
      </c>
      <c r="G79" s="105" t="s">
        <v>1124</v>
      </c>
      <c r="H79" s="5" t="s">
        <v>1125</v>
      </c>
      <c r="I79" s="26" t="s">
        <v>35</v>
      </c>
      <c r="J79" s="19"/>
      <c r="K79" s="5">
        <v>251818</v>
      </c>
      <c r="L79" s="4">
        <f t="shared" si="0"/>
        <v>1982059176</v>
      </c>
      <c r="M79" s="18"/>
    </row>
    <row r="80" spans="1:13" ht="21" customHeight="1">
      <c r="A80" s="6" t="str">
        <f t="shared" si="2"/>
        <v>C38</v>
      </c>
      <c r="B80" s="3">
        <v>42276</v>
      </c>
      <c r="C80" s="3">
        <v>42276</v>
      </c>
      <c r="D80" s="4"/>
      <c r="E80" s="20" t="s">
        <v>336</v>
      </c>
      <c r="F80" s="41" t="s">
        <v>1080</v>
      </c>
      <c r="G80" s="332" t="s">
        <v>1081</v>
      </c>
      <c r="H80" s="38" t="s">
        <v>565</v>
      </c>
      <c r="I80" s="26" t="s">
        <v>94</v>
      </c>
      <c r="J80" s="19"/>
      <c r="K80" s="5">
        <v>15000000</v>
      </c>
      <c r="L80" s="4">
        <f t="shared" si="0"/>
        <v>1967059176</v>
      </c>
      <c r="M80" s="18"/>
    </row>
    <row r="81" spans="1:13" ht="21" customHeight="1">
      <c r="A81" s="6" t="str">
        <f t="shared" ref="A81" si="43">D81&amp;E81</f>
        <v>C38</v>
      </c>
      <c r="B81" s="3">
        <v>42276</v>
      </c>
      <c r="C81" s="3">
        <v>42276</v>
      </c>
      <c r="D81" s="4"/>
      <c r="E81" s="20" t="s">
        <v>336</v>
      </c>
      <c r="F81" s="41" t="s">
        <v>1082</v>
      </c>
      <c r="G81" s="332" t="s">
        <v>1081</v>
      </c>
      <c r="H81" s="38" t="s">
        <v>565</v>
      </c>
      <c r="I81" s="26" t="s">
        <v>35</v>
      </c>
      <c r="J81" s="19"/>
      <c r="K81" s="5">
        <v>1500000</v>
      </c>
      <c r="L81" s="4">
        <f t="shared" si="0"/>
        <v>1965559176</v>
      </c>
      <c r="M81" s="18"/>
    </row>
    <row r="82" spans="1:13" ht="21" customHeight="1">
      <c r="A82" s="6" t="str">
        <f t="shared" ref="A82:A83" si="44">D82&amp;E82</f>
        <v>C39</v>
      </c>
      <c r="B82" s="3">
        <v>42276</v>
      </c>
      <c r="C82" s="3">
        <v>42276</v>
      </c>
      <c r="D82" s="4"/>
      <c r="E82" s="20" t="s">
        <v>337</v>
      </c>
      <c r="F82" s="41" t="s">
        <v>609</v>
      </c>
      <c r="G82" s="332" t="s">
        <v>1126</v>
      </c>
      <c r="H82" s="38" t="s">
        <v>1127</v>
      </c>
      <c r="I82" s="26" t="s">
        <v>94</v>
      </c>
      <c r="J82" s="19"/>
      <c r="K82" s="5">
        <v>16000000</v>
      </c>
      <c r="L82" s="4">
        <f t="shared" si="0"/>
        <v>1949559176</v>
      </c>
      <c r="M82" s="18"/>
    </row>
    <row r="83" spans="1:13" ht="21" customHeight="1">
      <c r="A83" s="6" t="str">
        <f t="shared" si="44"/>
        <v>C39</v>
      </c>
      <c r="B83" s="3">
        <v>42276</v>
      </c>
      <c r="C83" s="3">
        <v>42276</v>
      </c>
      <c r="D83" s="4"/>
      <c r="E83" s="20" t="s">
        <v>337</v>
      </c>
      <c r="F83" s="41" t="s">
        <v>612</v>
      </c>
      <c r="G83" s="332" t="s">
        <v>1126</v>
      </c>
      <c r="H83" s="38" t="s">
        <v>1127</v>
      </c>
      <c r="I83" s="26" t="s">
        <v>35</v>
      </c>
      <c r="J83" s="19"/>
      <c r="K83" s="5">
        <v>1600000</v>
      </c>
      <c r="L83" s="4">
        <f t="shared" si="0"/>
        <v>1947959176</v>
      </c>
      <c r="M83" s="18"/>
    </row>
    <row r="84" spans="1:13" ht="21" customHeight="1">
      <c r="A84" s="6" t="str">
        <f t="shared" si="2"/>
        <v>C40</v>
      </c>
      <c r="B84" s="3">
        <v>42277</v>
      </c>
      <c r="C84" s="3">
        <v>42277</v>
      </c>
      <c r="D84" s="4"/>
      <c r="E84" s="20" t="s">
        <v>338</v>
      </c>
      <c r="F84" s="28" t="s">
        <v>72</v>
      </c>
      <c r="G84" s="332" t="s">
        <v>1083</v>
      </c>
      <c r="H84" s="38" t="s">
        <v>888</v>
      </c>
      <c r="I84" s="26" t="s">
        <v>94</v>
      </c>
      <c r="J84" s="19"/>
      <c r="K84" s="5">
        <v>556500</v>
      </c>
      <c r="L84" s="4">
        <f t="shared" si="0"/>
        <v>1947402676</v>
      </c>
      <c r="M84" s="18"/>
    </row>
    <row r="85" spans="1:13" ht="21" customHeight="1">
      <c r="A85" s="6" t="str">
        <f t="shared" ref="A85" si="45">D85&amp;E85</f>
        <v>C40</v>
      </c>
      <c r="B85" s="3">
        <v>42277</v>
      </c>
      <c r="C85" s="3">
        <v>42277</v>
      </c>
      <c r="D85" s="4"/>
      <c r="E85" s="20" t="s">
        <v>338</v>
      </c>
      <c r="F85" s="28" t="s">
        <v>73</v>
      </c>
      <c r="G85" s="332" t="s">
        <v>1083</v>
      </c>
      <c r="H85" s="38" t="s">
        <v>888</v>
      </c>
      <c r="I85" s="26" t="s">
        <v>35</v>
      </c>
      <c r="J85" s="19"/>
      <c r="K85" s="5">
        <v>55650</v>
      </c>
      <c r="L85" s="4">
        <f t="shared" si="0"/>
        <v>1947347026</v>
      </c>
      <c r="M85" s="18"/>
    </row>
    <row r="86" spans="1:13" ht="21" customHeight="1">
      <c r="A86" s="6" t="str">
        <f t="shared" si="2"/>
        <v>C41</v>
      </c>
      <c r="B86" s="3">
        <v>42277</v>
      </c>
      <c r="C86" s="3">
        <v>42277</v>
      </c>
      <c r="D86" s="4"/>
      <c r="E86" s="20" t="s">
        <v>339</v>
      </c>
      <c r="F86" s="5" t="s">
        <v>756</v>
      </c>
      <c r="G86" s="332" t="s">
        <v>1084</v>
      </c>
      <c r="H86" s="5" t="s">
        <v>192</v>
      </c>
      <c r="I86" s="26" t="s">
        <v>94</v>
      </c>
      <c r="J86" s="19"/>
      <c r="K86" s="5">
        <v>538500</v>
      </c>
      <c r="L86" s="4">
        <f t="shared" si="0"/>
        <v>1946808526</v>
      </c>
      <c r="M86" s="18"/>
    </row>
    <row r="87" spans="1:13" ht="21" customHeight="1">
      <c r="A87" s="6" t="str">
        <f t="shared" ref="A87" si="46">D87&amp;E87</f>
        <v>C41</v>
      </c>
      <c r="B87" s="3">
        <v>42277</v>
      </c>
      <c r="C87" s="3">
        <v>42277</v>
      </c>
      <c r="D87" s="4"/>
      <c r="E87" s="20" t="s">
        <v>339</v>
      </c>
      <c r="F87" s="5" t="s">
        <v>53</v>
      </c>
      <c r="G87" s="332" t="s">
        <v>1084</v>
      </c>
      <c r="H87" s="5" t="s">
        <v>192</v>
      </c>
      <c r="I87" s="26" t="s">
        <v>54</v>
      </c>
      <c r="J87" s="19"/>
      <c r="K87" s="5">
        <v>1766545</v>
      </c>
      <c r="L87" s="4">
        <f t="shared" ref="L87:L92" si="47">IF(F87&lt;&gt;"",L86+J87-K87,0)</f>
        <v>1945041981</v>
      </c>
      <c r="M87" s="18"/>
    </row>
    <row r="88" spans="1:13" ht="21" customHeight="1">
      <c r="A88" s="6" t="str">
        <f t="shared" ref="A88" si="48">D88&amp;E88</f>
        <v>C41</v>
      </c>
      <c r="B88" s="3">
        <v>42277</v>
      </c>
      <c r="C88" s="3">
        <v>42277</v>
      </c>
      <c r="D88" s="4"/>
      <c r="E88" s="20" t="s">
        <v>339</v>
      </c>
      <c r="F88" s="5" t="s">
        <v>1085</v>
      </c>
      <c r="G88" s="332" t="s">
        <v>1084</v>
      </c>
      <c r="H88" s="5" t="s">
        <v>192</v>
      </c>
      <c r="I88" s="26" t="s">
        <v>35</v>
      </c>
      <c r="J88" s="19"/>
      <c r="K88" s="5">
        <v>230505</v>
      </c>
      <c r="L88" s="4">
        <f t="shared" si="47"/>
        <v>1944811476</v>
      </c>
      <c r="M88" s="18"/>
    </row>
    <row r="89" spans="1:13" ht="21" customHeight="1">
      <c r="A89" s="6" t="str">
        <f t="shared" ref="A89:A90" si="49">D89&amp;E89</f>
        <v>C42</v>
      </c>
      <c r="B89" s="3">
        <v>42277</v>
      </c>
      <c r="C89" s="3">
        <v>42277</v>
      </c>
      <c r="D89" s="4"/>
      <c r="E89" s="20" t="s">
        <v>340</v>
      </c>
      <c r="F89" s="5" t="s">
        <v>1108</v>
      </c>
      <c r="G89" s="332" t="s">
        <v>1110</v>
      </c>
      <c r="H89" s="5" t="s">
        <v>270</v>
      </c>
      <c r="I89" s="26" t="s">
        <v>94</v>
      </c>
      <c r="J89" s="19"/>
      <c r="K89" s="5">
        <v>1972969</v>
      </c>
      <c r="L89" s="4">
        <f t="shared" si="47"/>
        <v>1942838507</v>
      </c>
      <c r="M89" s="18"/>
    </row>
    <row r="90" spans="1:13" ht="21" customHeight="1">
      <c r="A90" s="6" t="str">
        <f t="shared" si="49"/>
        <v>C42</v>
      </c>
      <c r="B90" s="3">
        <v>42277</v>
      </c>
      <c r="C90" s="3">
        <v>42277</v>
      </c>
      <c r="D90" s="4"/>
      <c r="E90" s="20" t="s">
        <v>340</v>
      </c>
      <c r="F90" s="5" t="s">
        <v>1109</v>
      </c>
      <c r="G90" s="332" t="s">
        <v>1110</v>
      </c>
      <c r="H90" s="5" t="s">
        <v>270</v>
      </c>
      <c r="I90" s="26" t="s">
        <v>35</v>
      </c>
      <c r="J90" s="19"/>
      <c r="K90" s="5">
        <v>197297</v>
      </c>
      <c r="L90" s="4">
        <f t="shared" si="47"/>
        <v>1942641210</v>
      </c>
      <c r="M90" s="18"/>
    </row>
    <row r="91" spans="1:13" ht="21" customHeight="1">
      <c r="A91" s="6" t="str">
        <f t="shared" si="2"/>
        <v>C43</v>
      </c>
      <c r="B91" s="3">
        <v>42277</v>
      </c>
      <c r="C91" s="3">
        <v>42277</v>
      </c>
      <c r="D91" s="4"/>
      <c r="E91" s="20" t="s">
        <v>341</v>
      </c>
      <c r="F91" s="5" t="s">
        <v>1086</v>
      </c>
      <c r="G91" s="5"/>
      <c r="H91" s="5" t="s">
        <v>501</v>
      </c>
      <c r="I91" s="26" t="s">
        <v>94</v>
      </c>
      <c r="J91" s="19"/>
      <c r="K91" s="5">
        <v>1272728</v>
      </c>
      <c r="L91" s="4">
        <f t="shared" si="47"/>
        <v>1941368482</v>
      </c>
      <c r="M91" s="18"/>
    </row>
    <row r="92" spans="1:13" ht="21" customHeight="1">
      <c r="A92" s="6" t="str">
        <f t="shared" si="2"/>
        <v>C43</v>
      </c>
      <c r="B92" s="3">
        <v>42277</v>
      </c>
      <c r="C92" s="3">
        <v>42277</v>
      </c>
      <c r="D92" s="4"/>
      <c r="E92" s="20" t="s">
        <v>341</v>
      </c>
      <c r="F92" s="5" t="s">
        <v>1087</v>
      </c>
      <c r="G92" s="5"/>
      <c r="H92" s="5" t="s">
        <v>501</v>
      </c>
      <c r="I92" s="26" t="s">
        <v>35</v>
      </c>
      <c r="J92" s="19"/>
      <c r="K92" s="5">
        <v>127275</v>
      </c>
      <c r="L92" s="4">
        <f t="shared" si="47"/>
        <v>1941241207</v>
      </c>
      <c r="M92" s="18"/>
    </row>
    <row r="93" spans="1:13" ht="21" customHeight="1">
      <c r="A93" s="6" t="str">
        <f t="shared" si="2"/>
        <v>C44</v>
      </c>
      <c r="B93" s="3">
        <v>42277</v>
      </c>
      <c r="C93" s="3">
        <v>42277</v>
      </c>
      <c r="D93" s="4"/>
      <c r="E93" s="20" t="s">
        <v>342</v>
      </c>
      <c r="F93" s="28" t="s">
        <v>1130</v>
      </c>
      <c r="G93" s="28"/>
      <c r="H93" s="38" t="s">
        <v>261</v>
      </c>
      <c r="I93" s="26" t="s">
        <v>37</v>
      </c>
      <c r="J93" s="19"/>
      <c r="K93" s="5">
        <v>129112795</v>
      </c>
      <c r="L93" s="4">
        <f>IF(F93&lt;&gt;"",L92+J93-K93,0)</f>
        <v>1812128412</v>
      </c>
      <c r="M93" s="18"/>
    </row>
    <row r="94" spans="1:13" ht="21" customHeight="1">
      <c r="A94" s="6" t="str">
        <f t="shared" si="2"/>
        <v/>
      </c>
      <c r="B94" s="3"/>
      <c r="C94" s="3"/>
      <c r="D94" s="4"/>
      <c r="E94" s="20"/>
      <c r="F94" s="5"/>
      <c r="G94" s="5"/>
      <c r="H94" s="5"/>
      <c r="I94" s="26"/>
      <c r="J94" s="19"/>
      <c r="K94" s="5"/>
      <c r="L94" s="4">
        <f>IF(F94&lt;&gt;"",L93+J94-K94,0)</f>
        <v>0</v>
      </c>
      <c r="M94" s="18"/>
    </row>
    <row r="95" spans="1:13" s="34" customFormat="1" ht="21" customHeight="1">
      <c r="B95" s="32"/>
      <c r="C95" s="32"/>
      <c r="D95" s="32"/>
      <c r="E95" s="32"/>
      <c r="F95" s="32" t="s">
        <v>29</v>
      </c>
      <c r="G95" s="32"/>
      <c r="H95" s="32"/>
      <c r="I95" s="33" t="s">
        <v>30</v>
      </c>
      <c r="J95" s="32">
        <f>SUM(J13:J94)</f>
        <v>3280000000</v>
      </c>
      <c r="K95" s="32">
        <f>SUM(K13:K94)</f>
        <v>3184619924</v>
      </c>
      <c r="L95" s="33" t="s">
        <v>30</v>
      </c>
      <c r="M95" s="33" t="s">
        <v>30</v>
      </c>
    </row>
    <row r="96" spans="1:13" s="34" customFormat="1" ht="21" customHeight="1">
      <c r="B96" s="35"/>
      <c r="C96" s="35"/>
      <c r="D96" s="35"/>
      <c r="E96" s="35"/>
      <c r="F96" s="35" t="s">
        <v>31</v>
      </c>
      <c r="G96" s="35"/>
      <c r="H96" s="35"/>
      <c r="I96" s="36" t="s">
        <v>30</v>
      </c>
      <c r="J96" s="36" t="s">
        <v>30</v>
      </c>
      <c r="K96" s="36" t="s">
        <v>30</v>
      </c>
      <c r="L96" s="35">
        <f>L12+J95-K95</f>
        <v>1812128412</v>
      </c>
      <c r="M96" s="36" t="s">
        <v>30</v>
      </c>
    </row>
    <row r="98" spans="2:19">
      <c r="B98" s="25" t="s">
        <v>32</v>
      </c>
    </row>
    <row r="99" spans="2:19">
      <c r="B99" s="25" t="s">
        <v>1203</v>
      </c>
    </row>
    <row r="100" spans="2:19">
      <c r="L100" s="8" t="s">
        <v>1209</v>
      </c>
    </row>
    <row r="101" spans="2:19" s="7" customFormat="1" ht="14.25">
      <c r="C101" s="7" t="s">
        <v>33</v>
      </c>
      <c r="F101" s="7" t="s">
        <v>13</v>
      </c>
      <c r="L101" s="7" t="s">
        <v>14</v>
      </c>
    </row>
    <row r="102" spans="2:19" s="2" customFormat="1">
      <c r="C102" s="2" t="s">
        <v>15</v>
      </c>
      <c r="F102" s="2" t="s">
        <v>15</v>
      </c>
      <c r="L102" s="2" t="s">
        <v>16</v>
      </c>
    </row>
    <row r="103" spans="2:19" s="7" customFormat="1" ht="14.25"/>
    <row r="104" spans="2:19" s="7" customFormat="1" ht="14.25"/>
    <row r="105" spans="2:19" s="7" customFormat="1" ht="14.25"/>
    <row r="106" spans="2:19" s="7" customFormat="1" ht="14.25"/>
    <row r="107" spans="2:19" s="7" customFormat="1" ht="14.25"/>
    <row r="108" spans="2:19" s="419" customFormat="1">
      <c r="C108" s="420" t="s">
        <v>1388</v>
      </c>
      <c r="L108" s="420" t="s">
        <v>1389</v>
      </c>
      <c r="O108" s="6"/>
      <c r="P108" s="6"/>
      <c r="Q108" s="6"/>
      <c r="R108" s="6"/>
      <c r="S108" s="6"/>
    </row>
    <row r="109" spans="2:19" s="2" customFormat="1"/>
  </sheetData>
  <autoFilter ref="B11:M96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G28">
    <cfRule type="expression" dxfId="19" priority="6" stopIfTrue="1">
      <formula>$C28&lt;&gt;""</formula>
    </cfRule>
  </conditionalFormatting>
  <conditionalFormatting sqref="H28">
    <cfRule type="expression" dxfId="18" priority="5" stopIfTrue="1">
      <formula>$C28&lt;&gt;""</formula>
    </cfRule>
  </conditionalFormatting>
  <conditionalFormatting sqref="G50">
    <cfRule type="expression" dxfId="17" priority="4" stopIfTrue="1">
      <formula>$C50&lt;&gt;""</formula>
    </cfRule>
  </conditionalFormatting>
  <conditionalFormatting sqref="H50">
    <cfRule type="expression" dxfId="16" priority="3" stopIfTrue="1">
      <formula>$C50&lt;&gt;""</formula>
    </cfRule>
  </conditionalFormatting>
  <conditionalFormatting sqref="G62">
    <cfRule type="expression" dxfId="15" priority="2" stopIfTrue="1">
      <formula>$C62&lt;&gt;""</formula>
    </cfRule>
  </conditionalFormatting>
  <conditionalFormatting sqref="H62">
    <cfRule type="expression" dxfId="14" priority="1" stopIfTrue="1">
      <formula>$C62&lt;&gt;""</formula>
    </cfRule>
  </conditionalFormatting>
  <printOptions horizontalCentered="1"/>
  <pageMargins left="0.9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indexed="31"/>
  </sheetPr>
  <dimension ref="A1:S91"/>
  <sheetViews>
    <sheetView topLeftCell="B8" zoomScale="90" workbookViewId="0">
      <pane ySplit="5" topLeftCell="A13" activePane="bottomLeft" state="frozen"/>
      <selection activeCell="B8" sqref="B8"/>
      <selection pane="bottomLeft" activeCell="I89" sqref="I89"/>
    </sheetView>
  </sheetViews>
  <sheetFormatPr defaultRowHeight="15"/>
  <cols>
    <col min="1" max="1" width="5.140625" style="386" hidden="1" customWidth="1"/>
    <col min="2" max="3" width="9.5703125" style="386" customWidth="1"/>
    <col min="4" max="5" width="6.7109375" style="386" customWidth="1"/>
    <col min="6" max="6" width="38.7109375" style="386" customWidth="1"/>
    <col min="7" max="7" width="9.5703125" style="386" hidden="1" customWidth="1"/>
    <col min="8" max="8" width="23.140625" style="386" hidden="1" customWidth="1"/>
    <col min="9" max="9" width="8.7109375" style="386" customWidth="1"/>
    <col min="10" max="12" width="14.7109375" style="386" customWidth="1"/>
    <col min="13" max="13" width="7.7109375" style="386" customWidth="1"/>
    <col min="14" max="14" width="11.140625" style="386" customWidth="1"/>
    <col min="15" max="16384" width="9.140625" style="386"/>
  </cols>
  <sheetData>
    <row r="1" spans="1:13" s="379" customFormat="1" ht="16.5" customHeight="1">
      <c r="B1" s="380" t="s">
        <v>0</v>
      </c>
      <c r="C1" s="381"/>
      <c r="D1" s="381"/>
      <c r="E1" s="381"/>
      <c r="F1" s="381"/>
      <c r="G1" s="381"/>
      <c r="H1" s="381"/>
      <c r="J1" s="467" t="s">
        <v>132</v>
      </c>
      <c r="K1" s="467"/>
      <c r="L1" s="467"/>
      <c r="M1" s="467"/>
    </row>
    <row r="2" spans="1:13" s="379" customFormat="1" ht="16.5" customHeight="1">
      <c r="B2" s="380" t="s">
        <v>49</v>
      </c>
      <c r="C2" s="382"/>
      <c r="D2" s="382"/>
      <c r="E2" s="382"/>
      <c r="F2" s="382"/>
      <c r="G2" s="382"/>
      <c r="H2" s="382"/>
      <c r="J2" s="468" t="s">
        <v>133</v>
      </c>
      <c r="K2" s="468"/>
      <c r="L2" s="468"/>
      <c r="M2" s="468"/>
    </row>
    <row r="3" spans="1:13" s="379" customFormat="1" ht="16.5" customHeight="1">
      <c r="B3" s="383"/>
      <c r="C3" s="382"/>
      <c r="D3" s="384"/>
      <c r="E3" s="384"/>
      <c r="F3" s="382"/>
      <c r="G3" s="382"/>
      <c r="H3" s="382"/>
      <c r="J3" s="468"/>
      <c r="K3" s="468"/>
      <c r="L3" s="468"/>
      <c r="M3" s="468"/>
    </row>
    <row r="4" spans="1:13" s="379" customFormat="1" ht="6.75" customHeight="1">
      <c r="B4" s="382"/>
      <c r="C4" s="382"/>
      <c r="D4" s="382"/>
      <c r="E4" s="382"/>
      <c r="F4" s="382"/>
      <c r="G4" s="382"/>
      <c r="H4" s="382"/>
      <c r="J4" s="385"/>
      <c r="K4" s="385"/>
      <c r="L4" s="385"/>
      <c r="M4" s="385"/>
    </row>
    <row r="5" spans="1:13" ht="24.75" customHeight="1">
      <c r="B5" s="472" t="s">
        <v>17</v>
      </c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</row>
    <row r="6" spans="1:13">
      <c r="B6" s="473" t="s">
        <v>18</v>
      </c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</row>
    <row r="7" spans="1:13">
      <c r="B7" s="473" t="s">
        <v>1</v>
      </c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</row>
    <row r="8" spans="1:13">
      <c r="B8" s="387"/>
      <c r="L8" s="387" t="s">
        <v>19</v>
      </c>
    </row>
    <row r="9" spans="1:13" ht="27.75" customHeight="1">
      <c r="B9" s="470" t="s">
        <v>20</v>
      </c>
      <c r="C9" s="470" t="s">
        <v>21</v>
      </c>
      <c r="D9" s="469" t="s">
        <v>2</v>
      </c>
      <c r="E9" s="469"/>
      <c r="F9" s="469" t="s">
        <v>3</v>
      </c>
      <c r="G9" s="470" t="s">
        <v>134</v>
      </c>
      <c r="H9" s="470" t="s">
        <v>135</v>
      </c>
      <c r="I9" s="470" t="s">
        <v>22</v>
      </c>
      <c r="J9" s="469" t="s">
        <v>23</v>
      </c>
      <c r="K9" s="469"/>
      <c r="L9" s="469" t="s">
        <v>24</v>
      </c>
      <c r="M9" s="469" t="s">
        <v>4</v>
      </c>
    </row>
    <row r="10" spans="1:13" ht="18" customHeight="1">
      <c r="B10" s="471"/>
      <c r="C10" s="471"/>
      <c r="D10" s="388" t="s">
        <v>5</v>
      </c>
      <c r="E10" s="388" t="s">
        <v>6</v>
      </c>
      <c r="F10" s="469"/>
      <c r="G10" s="471"/>
      <c r="H10" s="471"/>
      <c r="I10" s="471"/>
      <c r="J10" s="388" t="s">
        <v>25</v>
      </c>
      <c r="K10" s="388" t="s">
        <v>26</v>
      </c>
      <c r="L10" s="469"/>
      <c r="M10" s="469"/>
    </row>
    <row r="11" spans="1:13" s="389" customFormat="1" ht="11.25" customHeight="1">
      <c r="B11" s="390" t="s">
        <v>7</v>
      </c>
      <c r="C11" s="390" t="s">
        <v>8</v>
      </c>
      <c r="D11" s="390" t="s">
        <v>9</v>
      </c>
      <c r="E11" s="390" t="s">
        <v>10</v>
      </c>
      <c r="F11" s="390" t="s">
        <v>11</v>
      </c>
      <c r="G11" s="390"/>
      <c r="H11" s="390"/>
      <c r="I11" s="390" t="s">
        <v>27</v>
      </c>
      <c r="J11" s="390">
        <v>1</v>
      </c>
      <c r="K11" s="390">
        <v>2</v>
      </c>
      <c r="L11" s="390">
        <v>3</v>
      </c>
      <c r="M11" s="390" t="s">
        <v>12</v>
      </c>
    </row>
    <row r="12" spans="1:13" ht="18" customHeight="1">
      <c r="B12" s="391"/>
      <c r="C12" s="391"/>
      <c r="D12" s="391"/>
      <c r="E12" s="391"/>
      <c r="F12" s="391" t="s">
        <v>28</v>
      </c>
      <c r="G12" s="391"/>
      <c r="H12" s="391"/>
      <c r="I12" s="392"/>
      <c r="J12" s="393"/>
      <c r="K12" s="391"/>
      <c r="L12" s="393">
        <f>'09'!L96</f>
        <v>1812128412</v>
      </c>
      <c r="M12" s="391"/>
    </row>
    <row r="13" spans="1:13" ht="18.75" customHeight="1">
      <c r="A13" s="386" t="str">
        <f>D13&amp;E13</f>
        <v>C01</v>
      </c>
      <c r="B13" s="394">
        <v>42278</v>
      </c>
      <c r="C13" s="394">
        <v>42247</v>
      </c>
      <c r="D13" s="395"/>
      <c r="E13" s="378" t="s">
        <v>136</v>
      </c>
      <c r="F13" s="396" t="s">
        <v>1138</v>
      </c>
      <c r="G13" s="397" t="s">
        <v>1133</v>
      </c>
      <c r="H13" s="396" t="s">
        <v>296</v>
      </c>
      <c r="I13" s="398" t="s">
        <v>94</v>
      </c>
      <c r="J13" s="399"/>
      <c r="K13" s="396">
        <v>15883500</v>
      </c>
      <c r="L13" s="395">
        <f t="shared" ref="L13:L75" si="0">IF(F13&lt;&gt;"",L12+J13-K13,0)</f>
        <v>1796244912</v>
      </c>
      <c r="M13" s="38"/>
    </row>
    <row r="14" spans="1:13" ht="18.75" customHeight="1">
      <c r="A14" s="386" t="str">
        <f>D14&amp;E14</f>
        <v>C01</v>
      </c>
      <c r="B14" s="394">
        <v>42278</v>
      </c>
      <c r="C14" s="394">
        <v>42247</v>
      </c>
      <c r="D14" s="395"/>
      <c r="E14" s="378" t="s">
        <v>136</v>
      </c>
      <c r="F14" s="396" t="s">
        <v>1139</v>
      </c>
      <c r="G14" s="397" t="s">
        <v>1133</v>
      </c>
      <c r="H14" s="396" t="s">
        <v>296</v>
      </c>
      <c r="I14" s="398" t="s">
        <v>35</v>
      </c>
      <c r="J14" s="399"/>
      <c r="K14" s="396">
        <v>923550</v>
      </c>
      <c r="L14" s="395">
        <f t="shared" si="0"/>
        <v>1795321362</v>
      </c>
      <c r="M14" s="38"/>
    </row>
    <row r="15" spans="1:13" ht="18.75" customHeight="1">
      <c r="A15" s="386" t="str">
        <f t="shared" ref="A15:A75" si="1">D15&amp;E15</f>
        <v>T01</v>
      </c>
      <c r="B15" s="394">
        <v>42278</v>
      </c>
      <c r="C15" s="394">
        <v>42278</v>
      </c>
      <c r="D15" s="395" t="s">
        <v>39</v>
      </c>
      <c r="E15" s="378"/>
      <c r="F15" s="396" t="s">
        <v>120</v>
      </c>
      <c r="G15" s="396"/>
      <c r="H15" s="396" t="s">
        <v>1134</v>
      </c>
      <c r="I15" s="398" t="s">
        <v>36</v>
      </c>
      <c r="J15" s="396">
        <v>2000000000</v>
      </c>
      <c r="K15" s="396"/>
      <c r="L15" s="395">
        <f t="shared" si="0"/>
        <v>3795321362</v>
      </c>
      <c r="M15" s="38"/>
    </row>
    <row r="16" spans="1:13" ht="18.75" customHeight="1">
      <c r="A16" s="386" t="str">
        <f t="shared" ref="A16" si="2">D16&amp;E16</f>
        <v>C02</v>
      </c>
      <c r="B16" s="394">
        <v>42278</v>
      </c>
      <c r="C16" s="394">
        <v>42278</v>
      </c>
      <c r="D16" s="395"/>
      <c r="E16" s="378" t="s">
        <v>137</v>
      </c>
      <c r="F16" s="396" t="s">
        <v>556</v>
      </c>
      <c r="G16" s="396"/>
      <c r="H16" s="396" t="s">
        <v>1134</v>
      </c>
      <c r="I16" s="398" t="s">
        <v>36</v>
      </c>
      <c r="J16" s="399"/>
      <c r="K16" s="396">
        <v>2000000000</v>
      </c>
      <c r="L16" s="395">
        <f t="shared" si="0"/>
        <v>1795321362</v>
      </c>
      <c r="M16" s="38"/>
    </row>
    <row r="17" spans="1:13" ht="18.75" customHeight="1">
      <c r="A17" s="386" t="str">
        <f t="shared" ref="A17" si="3">D17&amp;E17</f>
        <v>T02</v>
      </c>
      <c r="B17" s="394">
        <v>42279</v>
      </c>
      <c r="C17" s="394">
        <v>42279</v>
      </c>
      <c r="D17" s="395" t="s">
        <v>40</v>
      </c>
      <c r="E17" s="378"/>
      <c r="F17" s="396" t="s">
        <v>119</v>
      </c>
      <c r="G17" s="396"/>
      <c r="H17" s="396" t="s">
        <v>187</v>
      </c>
      <c r="I17" s="398" t="s">
        <v>36</v>
      </c>
      <c r="J17" s="399">
        <v>150000000</v>
      </c>
      <c r="K17" s="396"/>
      <c r="L17" s="395">
        <f t="shared" si="0"/>
        <v>1945321362</v>
      </c>
      <c r="M17" s="38"/>
    </row>
    <row r="18" spans="1:13" ht="18.75" customHeight="1">
      <c r="A18" s="386" t="str">
        <f t="shared" ref="A18" si="4">D18&amp;E18</f>
        <v>T03</v>
      </c>
      <c r="B18" s="394">
        <v>42279</v>
      </c>
      <c r="C18" s="394">
        <v>42279</v>
      </c>
      <c r="D18" s="395" t="s">
        <v>41</v>
      </c>
      <c r="E18" s="378"/>
      <c r="F18" s="396" t="s">
        <v>120</v>
      </c>
      <c r="G18" s="396"/>
      <c r="H18" s="396" t="s">
        <v>187</v>
      </c>
      <c r="I18" s="398" t="s">
        <v>36</v>
      </c>
      <c r="J18" s="396">
        <v>2000000000</v>
      </c>
      <c r="K18" s="396"/>
      <c r="L18" s="395">
        <f t="shared" si="0"/>
        <v>3945321362</v>
      </c>
      <c r="M18" s="38"/>
    </row>
    <row r="19" spans="1:13" ht="18.75" customHeight="1">
      <c r="A19" s="386" t="str">
        <f t="shared" ref="A19" si="5">D19&amp;E19</f>
        <v>C03</v>
      </c>
      <c r="B19" s="394">
        <v>42279</v>
      </c>
      <c r="C19" s="394">
        <v>42279</v>
      </c>
      <c r="D19" s="395"/>
      <c r="E19" s="378" t="s">
        <v>138</v>
      </c>
      <c r="F19" s="396" t="s">
        <v>554</v>
      </c>
      <c r="G19" s="396"/>
      <c r="H19" s="396" t="s">
        <v>187</v>
      </c>
      <c r="I19" s="398" t="s">
        <v>36</v>
      </c>
      <c r="J19" s="396"/>
      <c r="K19" s="396">
        <v>250000000</v>
      </c>
      <c r="L19" s="395">
        <f t="shared" si="0"/>
        <v>3695321362</v>
      </c>
      <c r="M19" s="38"/>
    </row>
    <row r="20" spans="1:13" ht="18.75" customHeight="1">
      <c r="A20" s="386" t="str">
        <f t="shared" si="1"/>
        <v>C04</v>
      </c>
      <c r="B20" s="394">
        <v>42279</v>
      </c>
      <c r="C20" s="394">
        <v>42277</v>
      </c>
      <c r="D20" s="395"/>
      <c r="E20" s="378" t="s">
        <v>139</v>
      </c>
      <c r="F20" s="396" t="s">
        <v>1136</v>
      </c>
      <c r="G20" s="397" t="s">
        <v>1135</v>
      </c>
      <c r="H20" s="396" t="s">
        <v>296</v>
      </c>
      <c r="I20" s="398" t="s">
        <v>94</v>
      </c>
      <c r="J20" s="399"/>
      <c r="K20" s="396">
        <v>18731500</v>
      </c>
      <c r="L20" s="395">
        <f t="shared" si="0"/>
        <v>3676589862</v>
      </c>
      <c r="M20" s="38"/>
    </row>
    <row r="21" spans="1:13" ht="18.75" customHeight="1">
      <c r="A21" s="386" t="str">
        <f t="shared" ref="A21" si="6">D21&amp;E21</f>
        <v>C04</v>
      </c>
      <c r="B21" s="394">
        <v>42279</v>
      </c>
      <c r="C21" s="394">
        <v>42277</v>
      </c>
      <c r="D21" s="395"/>
      <c r="E21" s="378" t="s">
        <v>139</v>
      </c>
      <c r="F21" s="396" t="s">
        <v>1137</v>
      </c>
      <c r="G21" s="397" t="s">
        <v>1135</v>
      </c>
      <c r="H21" s="396" t="s">
        <v>296</v>
      </c>
      <c r="I21" s="398" t="s">
        <v>35</v>
      </c>
      <c r="J21" s="399"/>
      <c r="K21" s="396">
        <v>1209950</v>
      </c>
      <c r="L21" s="395">
        <f t="shared" si="0"/>
        <v>3675379912</v>
      </c>
      <c r="M21" s="38"/>
    </row>
    <row r="22" spans="1:13" ht="18" customHeight="1">
      <c r="A22" s="386" t="str">
        <f t="shared" si="1"/>
        <v>C05</v>
      </c>
      <c r="B22" s="394">
        <v>42280</v>
      </c>
      <c r="C22" s="394">
        <v>42280</v>
      </c>
      <c r="D22" s="378"/>
      <c r="E22" s="378" t="s">
        <v>140</v>
      </c>
      <c r="F22" s="28" t="s">
        <v>50</v>
      </c>
      <c r="G22" s="106" t="s">
        <v>1140</v>
      </c>
      <c r="H22" s="38" t="s">
        <v>192</v>
      </c>
      <c r="I22" s="398" t="s">
        <v>94</v>
      </c>
      <c r="J22" s="399"/>
      <c r="K22" s="396">
        <v>310045</v>
      </c>
      <c r="L22" s="395">
        <f t="shared" si="0"/>
        <v>3675069867</v>
      </c>
      <c r="M22" s="38"/>
    </row>
    <row r="23" spans="1:13" ht="18" customHeight="1">
      <c r="A23" s="386" t="str">
        <f t="shared" ref="A23:A24" si="7">D23&amp;E23</f>
        <v>C05</v>
      </c>
      <c r="B23" s="394">
        <v>42280</v>
      </c>
      <c r="C23" s="394">
        <v>42280</v>
      </c>
      <c r="D23" s="378"/>
      <c r="E23" s="378" t="s">
        <v>140</v>
      </c>
      <c r="F23" s="28" t="s">
        <v>1141</v>
      </c>
      <c r="G23" s="106" t="s">
        <v>1140</v>
      </c>
      <c r="H23" s="38" t="s">
        <v>192</v>
      </c>
      <c r="I23" s="398" t="s">
        <v>54</v>
      </c>
      <c r="J23" s="399"/>
      <c r="K23" s="396">
        <v>504727</v>
      </c>
      <c r="L23" s="395">
        <f t="shared" si="0"/>
        <v>3674565140</v>
      </c>
      <c r="M23" s="38"/>
    </row>
    <row r="24" spans="1:13" ht="18" customHeight="1">
      <c r="A24" s="386" t="str">
        <f t="shared" si="7"/>
        <v>C05</v>
      </c>
      <c r="B24" s="394">
        <v>42280</v>
      </c>
      <c r="C24" s="394">
        <v>42280</v>
      </c>
      <c r="D24" s="378"/>
      <c r="E24" s="378" t="s">
        <v>140</v>
      </c>
      <c r="F24" s="28" t="s">
        <v>304</v>
      </c>
      <c r="G24" s="106" t="s">
        <v>1140</v>
      </c>
      <c r="H24" s="38" t="s">
        <v>192</v>
      </c>
      <c r="I24" s="398" t="s">
        <v>35</v>
      </c>
      <c r="J24" s="399"/>
      <c r="K24" s="396">
        <v>81478</v>
      </c>
      <c r="L24" s="395">
        <f t="shared" si="0"/>
        <v>3674483662</v>
      </c>
      <c r="M24" s="38"/>
    </row>
    <row r="25" spans="1:13" ht="18.75" customHeight="1">
      <c r="A25" s="386" t="str">
        <f t="shared" si="1"/>
        <v>C06</v>
      </c>
      <c r="B25" s="394">
        <v>42280</v>
      </c>
      <c r="C25" s="394">
        <v>42280</v>
      </c>
      <c r="D25" s="378"/>
      <c r="E25" s="378" t="s">
        <v>141</v>
      </c>
      <c r="F25" s="396" t="s">
        <v>1143</v>
      </c>
      <c r="G25" s="397" t="s">
        <v>1144</v>
      </c>
      <c r="H25" s="396" t="s">
        <v>1145</v>
      </c>
      <c r="I25" s="398" t="s">
        <v>94</v>
      </c>
      <c r="J25" s="399"/>
      <c r="K25" s="396">
        <v>708273</v>
      </c>
      <c r="L25" s="395">
        <f t="shared" si="0"/>
        <v>3673775389</v>
      </c>
      <c r="M25" s="38"/>
    </row>
    <row r="26" spans="1:13" ht="18.75" customHeight="1">
      <c r="A26" s="386" t="str">
        <f t="shared" ref="A26" si="8">D26&amp;E26</f>
        <v>C06</v>
      </c>
      <c r="B26" s="394">
        <v>42280</v>
      </c>
      <c r="C26" s="394">
        <v>42280</v>
      </c>
      <c r="D26" s="378"/>
      <c r="E26" s="378" t="s">
        <v>141</v>
      </c>
      <c r="F26" s="396" t="s">
        <v>1146</v>
      </c>
      <c r="G26" s="397" t="s">
        <v>1144</v>
      </c>
      <c r="H26" s="396" t="s">
        <v>1145</v>
      </c>
      <c r="I26" s="398" t="s">
        <v>35</v>
      </c>
      <c r="J26" s="399"/>
      <c r="K26" s="396">
        <v>70827</v>
      </c>
      <c r="L26" s="395">
        <f t="shared" si="0"/>
        <v>3673704562</v>
      </c>
      <c r="M26" s="38"/>
    </row>
    <row r="27" spans="1:13" ht="18.75" customHeight="1">
      <c r="A27" s="386" t="str">
        <f t="shared" ref="A27:A29" si="9">D27&amp;E27</f>
        <v>C07</v>
      </c>
      <c r="B27" s="394">
        <v>42280</v>
      </c>
      <c r="C27" s="394">
        <v>42280</v>
      </c>
      <c r="D27" s="378"/>
      <c r="E27" s="378" t="s">
        <v>142</v>
      </c>
      <c r="F27" s="396" t="s">
        <v>1275</v>
      </c>
      <c r="G27" s="397" t="s">
        <v>1277</v>
      </c>
      <c r="H27" s="396" t="s">
        <v>1278</v>
      </c>
      <c r="I27" s="398" t="s">
        <v>94</v>
      </c>
      <c r="J27" s="399"/>
      <c r="K27" s="396">
        <v>6000000</v>
      </c>
      <c r="L27" s="395">
        <f t="shared" si="0"/>
        <v>3667704562</v>
      </c>
      <c r="M27" s="38"/>
    </row>
    <row r="28" spans="1:13" ht="18.75" customHeight="1">
      <c r="A28" s="386" t="str">
        <f t="shared" si="9"/>
        <v>C07</v>
      </c>
      <c r="B28" s="394">
        <v>42280</v>
      </c>
      <c r="C28" s="394">
        <v>42280</v>
      </c>
      <c r="D28" s="378"/>
      <c r="E28" s="378" t="s">
        <v>142</v>
      </c>
      <c r="F28" s="396" t="s">
        <v>1276</v>
      </c>
      <c r="G28" s="397" t="s">
        <v>1277</v>
      </c>
      <c r="H28" s="396" t="s">
        <v>1278</v>
      </c>
      <c r="I28" s="398" t="s">
        <v>35</v>
      </c>
      <c r="J28" s="399"/>
      <c r="K28" s="396">
        <v>600000</v>
      </c>
      <c r="L28" s="395">
        <f t="shared" si="0"/>
        <v>3667104562</v>
      </c>
      <c r="M28" s="38"/>
    </row>
    <row r="29" spans="1:13" ht="18.75" customHeight="1">
      <c r="A29" s="386" t="str">
        <f t="shared" si="9"/>
        <v>C08</v>
      </c>
      <c r="B29" s="394">
        <v>42282</v>
      </c>
      <c r="C29" s="394">
        <v>42282</v>
      </c>
      <c r="D29" s="378"/>
      <c r="E29" s="378" t="s">
        <v>143</v>
      </c>
      <c r="F29" s="396" t="s">
        <v>332</v>
      </c>
      <c r="G29" s="396"/>
      <c r="H29" s="396" t="s">
        <v>335</v>
      </c>
      <c r="I29" s="398" t="s">
        <v>334</v>
      </c>
      <c r="J29" s="399"/>
      <c r="K29" s="396">
        <v>500000000</v>
      </c>
      <c r="L29" s="395">
        <f t="shared" si="0"/>
        <v>3167104562</v>
      </c>
      <c r="M29" s="38"/>
    </row>
    <row r="30" spans="1:13" ht="18.75" customHeight="1">
      <c r="A30" s="386" t="str">
        <f t="shared" ref="A30:A31" si="10">D30&amp;E30</f>
        <v>C09</v>
      </c>
      <c r="B30" s="394">
        <v>42283</v>
      </c>
      <c r="C30" s="394">
        <v>42283</v>
      </c>
      <c r="D30" s="378"/>
      <c r="E30" s="378" t="s">
        <v>144</v>
      </c>
      <c r="F30" s="396" t="s">
        <v>1143</v>
      </c>
      <c r="G30" s="397" t="s">
        <v>1147</v>
      </c>
      <c r="H30" s="396" t="s">
        <v>1145</v>
      </c>
      <c r="I30" s="398" t="s">
        <v>94</v>
      </c>
      <c r="J30" s="399"/>
      <c r="K30" s="396">
        <v>953527</v>
      </c>
      <c r="L30" s="395">
        <f t="shared" si="0"/>
        <v>3166151035</v>
      </c>
      <c r="M30" s="38"/>
    </row>
    <row r="31" spans="1:13" ht="18.75" customHeight="1">
      <c r="A31" s="386" t="str">
        <f t="shared" si="10"/>
        <v>C09</v>
      </c>
      <c r="B31" s="394">
        <v>42283</v>
      </c>
      <c r="C31" s="394">
        <v>42283</v>
      </c>
      <c r="D31" s="378"/>
      <c r="E31" s="378" t="s">
        <v>144</v>
      </c>
      <c r="F31" s="396" t="s">
        <v>1146</v>
      </c>
      <c r="G31" s="397" t="s">
        <v>1147</v>
      </c>
      <c r="H31" s="396" t="s">
        <v>1145</v>
      </c>
      <c r="I31" s="398" t="s">
        <v>35</v>
      </c>
      <c r="J31" s="399"/>
      <c r="K31" s="396">
        <v>95353</v>
      </c>
      <c r="L31" s="395">
        <f t="shared" si="0"/>
        <v>3166055682</v>
      </c>
      <c r="M31" s="38"/>
    </row>
    <row r="32" spans="1:13" ht="18.75" customHeight="1">
      <c r="A32" s="386" t="str">
        <f t="shared" si="1"/>
        <v>C10</v>
      </c>
      <c r="B32" s="394">
        <v>42283</v>
      </c>
      <c r="C32" s="394">
        <v>42283</v>
      </c>
      <c r="D32" s="378"/>
      <c r="E32" s="378" t="s">
        <v>145</v>
      </c>
      <c r="F32" s="28" t="s">
        <v>1148</v>
      </c>
      <c r="G32" s="106" t="s">
        <v>1150</v>
      </c>
      <c r="H32" s="38" t="s">
        <v>1151</v>
      </c>
      <c r="I32" s="398" t="s">
        <v>94</v>
      </c>
      <c r="J32" s="399"/>
      <c r="K32" s="396">
        <v>3345455</v>
      </c>
      <c r="L32" s="395">
        <f t="shared" si="0"/>
        <v>3162710227</v>
      </c>
      <c r="M32" s="38"/>
    </row>
    <row r="33" spans="1:13" ht="18.75" customHeight="1">
      <c r="A33" s="386" t="str">
        <f t="shared" si="1"/>
        <v>C10</v>
      </c>
      <c r="B33" s="394">
        <v>42283</v>
      </c>
      <c r="C33" s="394">
        <v>42283</v>
      </c>
      <c r="D33" s="395"/>
      <c r="E33" s="378" t="s">
        <v>145</v>
      </c>
      <c r="F33" s="28" t="s">
        <v>1149</v>
      </c>
      <c r="G33" s="106" t="s">
        <v>1150</v>
      </c>
      <c r="H33" s="38" t="s">
        <v>1151</v>
      </c>
      <c r="I33" s="398" t="s">
        <v>35</v>
      </c>
      <c r="J33" s="399"/>
      <c r="K33" s="396">
        <v>334545</v>
      </c>
      <c r="L33" s="395">
        <f t="shared" si="0"/>
        <v>3162375682</v>
      </c>
      <c r="M33" s="38"/>
    </row>
    <row r="34" spans="1:13" ht="18.75" customHeight="1">
      <c r="A34" s="386" t="str">
        <f t="shared" si="1"/>
        <v>C11</v>
      </c>
      <c r="B34" s="394">
        <v>42285</v>
      </c>
      <c r="C34" s="394">
        <v>42285</v>
      </c>
      <c r="D34" s="395"/>
      <c r="E34" s="378" t="s">
        <v>146</v>
      </c>
      <c r="F34" s="396" t="s">
        <v>1143</v>
      </c>
      <c r="G34" s="397" t="s">
        <v>1152</v>
      </c>
      <c r="H34" s="396" t="s">
        <v>1145</v>
      </c>
      <c r="I34" s="398" t="s">
        <v>94</v>
      </c>
      <c r="J34" s="399"/>
      <c r="K34" s="396">
        <v>681091</v>
      </c>
      <c r="L34" s="395">
        <f t="shared" si="0"/>
        <v>3161694591</v>
      </c>
      <c r="M34" s="38"/>
    </row>
    <row r="35" spans="1:13" ht="18.75" customHeight="1">
      <c r="A35" s="386" t="str">
        <f t="shared" si="1"/>
        <v>C11</v>
      </c>
      <c r="B35" s="394">
        <v>42285</v>
      </c>
      <c r="C35" s="394">
        <v>42285</v>
      </c>
      <c r="D35" s="395"/>
      <c r="E35" s="378" t="s">
        <v>146</v>
      </c>
      <c r="F35" s="396" t="s">
        <v>1146</v>
      </c>
      <c r="G35" s="397" t="s">
        <v>1152</v>
      </c>
      <c r="H35" s="396" t="s">
        <v>1145</v>
      </c>
      <c r="I35" s="398" t="s">
        <v>35</v>
      </c>
      <c r="J35" s="399"/>
      <c r="K35" s="396">
        <v>68109</v>
      </c>
      <c r="L35" s="395">
        <f t="shared" si="0"/>
        <v>3161626482</v>
      </c>
      <c r="M35" s="38"/>
    </row>
    <row r="36" spans="1:13" ht="18.75" customHeight="1">
      <c r="A36" s="386" t="str">
        <f t="shared" si="1"/>
        <v>C12</v>
      </c>
      <c r="B36" s="394">
        <v>42287</v>
      </c>
      <c r="C36" s="394">
        <v>42287</v>
      </c>
      <c r="D36" s="378"/>
      <c r="E36" s="378" t="s">
        <v>147</v>
      </c>
      <c r="F36" s="396" t="s">
        <v>332</v>
      </c>
      <c r="G36" s="396"/>
      <c r="H36" s="396" t="s">
        <v>335</v>
      </c>
      <c r="I36" s="398" t="s">
        <v>334</v>
      </c>
      <c r="J36" s="399"/>
      <c r="K36" s="396">
        <v>500000000</v>
      </c>
      <c r="L36" s="395">
        <f t="shared" si="0"/>
        <v>2661626482</v>
      </c>
      <c r="M36" s="38"/>
    </row>
    <row r="37" spans="1:13" ht="18.75" customHeight="1">
      <c r="A37" s="386" t="str">
        <f t="shared" si="1"/>
        <v>C12</v>
      </c>
      <c r="B37" s="394">
        <v>42288</v>
      </c>
      <c r="C37" s="394">
        <v>42288</v>
      </c>
      <c r="D37" s="378"/>
      <c r="E37" s="378" t="s">
        <v>147</v>
      </c>
      <c r="F37" s="396" t="s">
        <v>332</v>
      </c>
      <c r="G37" s="396"/>
      <c r="H37" s="396" t="s">
        <v>333</v>
      </c>
      <c r="I37" s="398" t="s">
        <v>334</v>
      </c>
      <c r="J37" s="399"/>
      <c r="K37" s="399">
        <v>380000000</v>
      </c>
      <c r="L37" s="395">
        <f t="shared" si="0"/>
        <v>2281626482</v>
      </c>
      <c r="M37" s="38"/>
    </row>
    <row r="38" spans="1:13" ht="18.75" customHeight="1">
      <c r="A38" s="386" t="str">
        <f>D38&amp;E38</f>
        <v>C13</v>
      </c>
      <c r="B38" s="394">
        <v>42290</v>
      </c>
      <c r="C38" s="394">
        <v>42290</v>
      </c>
      <c r="D38" s="378"/>
      <c r="E38" s="378" t="s">
        <v>148</v>
      </c>
      <c r="F38" s="396" t="s">
        <v>554</v>
      </c>
      <c r="G38" s="396"/>
      <c r="H38" s="396" t="s">
        <v>187</v>
      </c>
      <c r="I38" s="398" t="s">
        <v>36</v>
      </c>
      <c r="J38" s="399"/>
      <c r="K38" s="396">
        <v>16000000</v>
      </c>
      <c r="L38" s="395">
        <f t="shared" si="0"/>
        <v>2265626482</v>
      </c>
      <c r="M38" s="38"/>
    </row>
    <row r="39" spans="1:13" ht="18.75" customHeight="1">
      <c r="A39" s="386" t="str">
        <f>D39&amp;E39</f>
        <v>T04</v>
      </c>
      <c r="B39" s="394">
        <v>42291</v>
      </c>
      <c r="C39" s="394">
        <v>42291</v>
      </c>
      <c r="D39" s="378" t="s">
        <v>42</v>
      </c>
      <c r="E39" s="378"/>
      <c r="F39" s="396" t="s">
        <v>120</v>
      </c>
      <c r="G39" s="396"/>
      <c r="H39" s="396" t="s">
        <v>187</v>
      </c>
      <c r="I39" s="398" t="s">
        <v>36</v>
      </c>
      <c r="J39" s="399">
        <v>350000000</v>
      </c>
      <c r="K39" s="396"/>
      <c r="L39" s="395">
        <f t="shared" si="0"/>
        <v>2615626482</v>
      </c>
      <c r="M39" s="38"/>
    </row>
    <row r="40" spans="1:13" ht="18.75" customHeight="1">
      <c r="A40" s="386" t="str">
        <f>D40&amp;E40</f>
        <v>T05</v>
      </c>
      <c r="B40" s="394">
        <v>42293</v>
      </c>
      <c r="C40" s="394">
        <v>42293</v>
      </c>
      <c r="D40" s="378" t="s">
        <v>43</v>
      </c>
      <c r="E40" s="378"/>
      <c r="F40" s="396" t="s">
        <v>120</v>
      </c>
      <c r="G40" s="396"/>
      <c r="H40" s="396" t="s">
        <v>187</v>
      </c>
      <c r="I40" s="398" t="s">
        <v>36</v>
      </c>
      <c r="J40" s="399">
        <v>40000000</v>
      </c>
      <c r="K40" s="396"/>
      <c r="L40" s="395">
        <f t="shared" si="0"/>
        <v>2655626482</v>
      </c>
      <c r="M40" s="38"/>
    </row>
    <row r="41" spans="1:13" ht="18" customHeight="1">
      <c r="A41" s="386" t="str">
        <f t="shared" si="1"/>
        <v>C14</v>
      </c>
      <c r="B41" s="394">
        <v>42293</v>
      </c>
      <c r="C41" s="394">
        <v>42293</v>
      </c>
      <c r="D41" s="378"/>
      <c r="E41" s="378" t="s">
        <v>149</v>
      </c>
      <c r="F41" s="28" t="s">
        <v>50</v>
      </c>
      <c r="G41" s="106" t="s">
        <v>1153</v>
      </c>
      <c r="H41" s="38" t="s">
        <v>192</v>
      </c>
      <c r="I41" s="398" t="s">
        <v>94</v>
      </c>
      <c r="J41" s="399"/>
      <c r="K41" s="396">
        <v>197782</v>
      </c>
      <c r="L41" s="395">
        <f t="shared" si="0"/>
        <v>2655428700</v>
      </c>
      <c r="M41" s="38"/>
    </row>
    <row r="42" spans="1:13" ht="18" customHeight="1">
      <c r="A42" s="386" t="str">
        <f t="shared" si="1"/>
        <v>C14</v>
      </c>
      <c r="B42" s="394">
        <v>42293</v>
      </c>
      <c r="C42" s="394">
        <v>42293</v>
      </c>
      <c r="D42" s="378"/>
      <c r="E42" s="378" t="s">
        <v>149</v>
      </c>
      <c r="F42" s="28" t="s">
        <v>53</v>
      </c>
      <c r="G42" s="106" t="s">
        <v>1153</v>
      </c>
      <c r="H42" s="38" t="s">
        <v>192</v>
      </c>
      <c r="I42" s="398" t="s">
        <v>54</v>
      </c>
      <c r="J42" s="399"/>
      <c r="K42" s="396">
        <v>623636</v>
      </c>
      <c r="L42" s="395">
        <f t="shared" si="0"/>
        <v>2654805064</v>
      </c>
      <c r="M42" s="38"/>
    </row>
    <row r="43" spans="1:13" ht="18.75" customHeight="1">
      <c r="A43" s="386" t="str">
        <f t="shared" si="1"/>
        <v>C14</v>
      </c>
      <c r="B43" s="394">
        <v>42293</v>
      </c>
      <c r="C43" s="394">
        <v>42293</v>
      </c>
      <c r="D43" s="378"/>
      <c r="E43" s="378" t="s">
        <v>149</v>
      </c>
      <c r="F43" s="28" t="s">
        <v>304</v>
      </c>
      <c r="G43" s="106" t="s">
        <v>1153</v>
      </c>
      <c r="H43" s="38" t="s">
        <v>192</v>
      </c>
      <c r="I43" s="398" t="s">
        <v>35</v>
      </c>
      <c r="J43" s="399"/>
      <c r="K43" s="396">
        <v>82142</v>
      </c>
      <c r="L43" s="395">
        <f t="shared" si="0"/>
        <v>2654722922</v>
      </c>
      <c r="M43" s="38"/>
    </row>
    <row r="44" spans="1:13" ht="18.75" customHeight="1">
      <c r="A44" s="386" t="str">
        <f t="shared" si="1"/>
        <v>C15</v>
      </c>
      <c r="B44" s="394">
        <v>42294</v>
      </c>
      <c r="C44" s="394">
        <v>42294</v>
      </c>
      <c r="D44" s="378"/>
      <c r="E44" s="378" t="s">
        <v>150</v>
      </c>
      <c r="F44" s="396" t="s">
        <v>332</v>
      </c>
      <c r="G44" s="396"/>
      <c r="H44" s="396" t="s">
        <v>335</v>
      </c>
      <c r="I44" s="398" t="s">
        <v>334</v>
      </c>
      <c r="J44" s="399"/>
      <c r="K44" s="396">
        <v>350000000</v>
      </c>
      <c r="L44" s="395">
        <f t="shared" si="0"/>
        <v>2304722922</v>
      </c>
      <c r="M44" s="38"/>
    </row>
    <row r="45" spans="1:13" ht="18.75" customHeight="1">
      <c r="A45" s="386" t="str">
        <f t="shared" si="1"/>
        <v>C16</v>
      </c>
      <c r="B45" s="394">
        <v>42294</v>
      </c>
      <c r="C45" s="394">
        <v>42294</v>
      </c>
      <c r="D45" s="378"/>
      <c r="E45" s="378" t="s">
        <v>151</v>
      </c>
      <c r="F45" s="28" t="s">
        <v>53</v>
      </c>
      <c r="G45" s="397" t="s">
        <v>1202</v>
      </c>
      <c r="H45" s="396" t="s">
        <v>1145</v>
      </c>
      <c r="I45" s="398" t="s">
        <v>54</v>
      </c>
      <c r="J45" s="399"/>
      <c r="K45" s="396">
        <v>673527</v>
      </c>
      <c r="L45" s="395">
        <f t="shared" si="0"/>
        <v>2304049395</v>
      </c>
      <c r="M45" s="38"/>
    </row>
    <row r="46" spans="1:13" ht="18.75" customHeight="1">
      <c r="A46" s="386" t="str">
        <f t="shared" si="1"/>
        <v>C16</v>
      </c>
      <c r="B46" s="394">
        <v>42294</v>
      </c>
      <c r="C46" s="394">
        <v>42294</v>
      </c>
      <c r="D46" s="395"/>
      <c r="E46" s="378" t="s">
        <v>151</v>
      </c>
      <c r="F46" s="28" t="s">
        <v>50</v>
      </c>
      <c r="G46" s="397" t="s">
        <v>1202</v>
      </c>
      <c r="H46" s="396" t="s">
        <v>1145</v>
      </c>
      <c r="I46" s="398" t="s">
        <v>94</v>
      </c>
      <c r="J46" s="399"/>
      <c r="K46" s="396">
        <v>1004609</v>
      </c>
      <c r="L46" s="395">
        <f t="shared" si="0"/>
        <v>2303044786</v>
      </c>
      <c r="M46" s="38"/>
    </row>
    <row r="47" spans="1:13" ht="18.75" customHeight="1">
      <c r="A47" s="386" t="str">
        <f t="shared" si="1"/>
        <v>C16</v>
      </c>
      <c r="B47" s="394">
        <v>42294</v>
      </c>
      <c r="C47" s="394">
        <v>42294</v>
      </c>
      <c r="D47" s="395"/>
      <c r="E47" s="378" t="s">
        <v>151</v>
      </c>
      <c r="F47" s="28" t="s">
        <v>304</v>
      </c>
      <c r="G47" s="397" t="s">
        <v>1202</v>
      </c>
      <c r="H47" s="396" t="s">
        <v>1145</v>
      </c>
      <c r="I47" s="398" t="s">
        <v>35</v>
      </c>
      <c r="J47" s="399"/>
      <c r="K47" s="396">
        <v>167814</v>
      </c>
      <c r="L47" s="395">
        <f t="shared" si="0"/>
        <v>2302876972</v>
      </c>
      <c r="M47" s="38"/>
    </row>
    <row r="48" spans="1:13" ht="18.75" customHeight="1">
      <c r="A48" s="386" t="str">
        <f t="shared" si="1"/>
        <v>C17</v>
      </c>
      <c r="B48" s="394">
        <v>42296</v>
      </c>
      <c r="C48" s="394">
        <v>42296</v>
      </c>
      <c r="D48" s="378"/>
      <c r="E48" s="378" t="s">
        <v>152</v>
      </c>
      <c r="F48" s="28" t="s">
        <v>50</v>
      </c>
      <c r="G48" s="106" t="s">
        <v>1154</v>
      </c>
      <c r="H48" s="38" t="s">
        <v>192</v>
      </c>
      <c r="I48" s="398" t="s">
        <v>94</v>
      </c>
      <c r="J48" s="399"/>
      <c r="K48" s="396">
        <v>82409</v>
      </c>
      <c r="L48" s="395">
        <f t="shared" si="0"/>
        <v>2302794563</v>
      </c>
      <c r="M48" s="38"/>
    </row>
    <row r="49" spans="1:13" ht="18.75" customHeight="1">
      <c r="A49" s="386" t="str">
        <f t="shared" si="1"/>
        <v>C17</v>
      </c>
      <c r="B49" s="394">
        <v>42296</v>
      </c>
      <c r="C49" s="394">
        <v>42296</v>
      </c>
      <c r="D49" s="378"/>
      <c r="E49" s="378" t="s">
        <v>152</v>
      </c>
      <c r="F49" s="28" t="s">
        <v>56</v>
      </c>
      <c r="G49" s="106" t="s">
        <v>1154</v>
      </c>
      <c r="H49" s="38" t="s">
        <v>192</v>
      </c>
      <c r="I49" s="398" t="s">
        <v>35</v>
      </c>
      <c r="J49" s="399"/>
      <c r="K49" s="396">
        <v>8241</v>
      </c>
      <c r="L49" s="395">
        <f t="shared" si="0"/>
        <v>2302786322</v>
      </c>
      <c r="M49" s="38"/>
    </row>
    <row r="50" spans="1:13" ht="18.75" customHeight="1">
      <c r="A50" s="386" t="str">
        <f t="shared" si="1"/>
        <v>C18</v>
      </c>
      <c r="B50" s="394">
        <v>42297</v>
      </c>
      <c r="C50" s="394">
        <v>42297</v>
      </c>
      <c r="D50" s="378"/>
      <c r="E50" s="378" t="s">
        <v>153</v>
      </c>
      <c r="F50" s="396" t="s">
        <v>1155</v>
      </c>
      <c r="G50" s="397" t="s">
        <v>1156</v>
      </c>
      <c r="H50" s="396" t="s">
        <v>516</v>
      </c>
      <c r="I50" s="398" t="s">
        <v>94</v>
      </c>
      <c r="J50" s="399"/>
      <c r="K50" s="396">
        <v>2705000</v>
      </c>
      <c r="L50" s="395">
        <f t="shared" si="0"/>
        <v>2300081322</v>
      </c>
      <c r="M50" s="38"/>
    </row>
    <row r="51" spans="1:13" ht="18.75" customHeight="1">
      <c r="A51" s="386" t="str">
        <f t="shared" si="1"/>
        <v>C19</v>
      </c>
      <c r="B51" s="394">
        <v>42298</v>
      </c>
      <c r="C51" s="394">
        <v>42298</v>
      </c>
      <c r="D51" s="378"/>
      <c r="E51" s="378" t="s">
        <v>154</v>
      </c>
      <c r="F51" s="396" t="s">
        <v>556</v>
      </c>
      <c r="G51" s="396"/>
      <c r="H51" s="396" t="s">
        <v>187</v>
      </c>
      <c r="I51" s="398" t="s">
        <v>36</v>
      </c>
      <c r="J51" s="28"/>
      <c r="K51" s="396">
        <v>15000000</v>
      </c>
      <c r="L51" s="395">
        <f t="shared" si="0"/>
        <v>2285081322</v>
      </c>
      <c r="M51" s="28"/>
    </row>
    <row r="52" spans="1:13" ht="18.75" customHeight="1">
      <c r="A52" s="386" t="str">
        <f t="shared" si="1"/>
        <v>C20</v>
      </c>
      <c r="B52" s="394">
        <v>42299</v>
      </c>
      <c r="C52" s="394">
        <v>42299</v>
      </c>
      <c r="D52" s="378"/>
      <c r="E52" s="378" t="s">
        <v>155</v>
      </c>
      <c r="F52" s="396" t="s">
        <v>332</v>
      </c>
      <c r="G52" s="396"/>
      <c r="H52" s="396" t="s">
        <v>335</v>
      </c>
      <c r="I52" s="398" t="s">
        <v>334</v>
      </c>
      <c r="J52" s="399"/>
      <c r="K52" s="396">
        <v>300000000</v>
      </c>
      <c r="L52" s="395">
        <f t="shared" si="0"/>
        <v>1985081322</v>
      </c>
      <c r="M52" s="38"/>
    </row>
    <row r="53" spans="1:13" ht="18.75" customHeight="1">
      <c r="A53" s="386" t="str">
        <f t="shared" si="1"/>
        <v>C21</v>
      </c>
      <c r="B53" s="394">
        <v>42299</v>
      </c>
      <c r="C53" s="394">
        <v>42299</v>
      </c>
      <c r="D53" s="395"/>
      <c r="E53" s="378" t="s">
        <v>156</v>
      </c>
      <c r="F53" s="396" t="s">
        <v>1157</v>
      </c>
      <c r="G53" s="397" t="s">
        <v>1158</v>
      </c>
      <c r="H53" s="396" t="s">
        <v>1159</v>
      </c>
      <c r="I53" s="398" t="s">
        <v>94</v>
      </c>
      <c r="J53" s="399"/>
      <c r="K53" s="396">
        <v>756980</v>
      </c>
      <c r="L53" s="395">
        <f t="shared" si="0"/>
        <v>1984324342</v>
      </c>
      <c r="M53" s="38"/>
    </row>
    <row r="54" spans="1:13" ht="18.75" customHeight="1">
      <c r="A54" s="386" t="str">
        <f t="shared" ref="A54:A57" si="11">D54&amp;E54</f>
        <v>C21</v>
      </c>
      <c r="B54" s="394">
        <v>42299</v>
      </c>
      <c r="C54" s="394">
        <v>42299</v>
      </c>
      <c r="D54" s="395"/>
      <c r="E54" s="378" t="s">
        <v>156</v>
      </c>
      <c r="F54" s="396" t="s">
        <v>1160</v>
      </c>
      <c r="G54" s="397" t="s">
        <v>1158</v>
      </c>
      <c r="H54" s="396" t="s">
        <v>1159</v>
      </c>
      <c r="I54" s="398" t="s">
        <v>35</v>
      </c>
      <c r="J54" s="399"/>
      <c r="K54" s="396">
        <v>75698</v>
      </c>
      <c r="L54" s="395">
        <f t="shared" si="0"/>
        <v>1984248644</v>
      </c>
      <c r="M54" s="38"/>
    </row>
    <row r="55" spans="1:13" ht="18.75" customHeight="1">
      <c r="A55" s="386" t="str">
        <f t="shared" si="11"/>
        <v>C22</v>
      </c>
      <c r="B55" s="394">
        <v>42300</v>
      </c>
      <c r="C55" s="394">
        <v>42300</v>
      </c>
      <c r="D55" s="378"/>
      <c r="E55" s="378" t="s">
        <v>157</v>
      </c>
      <c r="F55" s="28" t="s">
        <v>50</v>
      </c>
      <c r="G55" s="106" t="s">
        <v>1161</v>
      </c>
      <c r="H55" s="38" t="s">
        <v>1145</v>
      </c>
      <c r="I55" s="398" t="s">
        <v>94</v>
      </c>
      <c r="J55" s="399"/>
      <c r="K55" s="396">
        <v>816000</v>
      </c>
      <c r="L55" s="395">
        <f t="shared" si="0"/>
        <v>1983432644</v>
      </c>
      <c r="M55" s="38"/>
    </row>
    <row r="56" spans="1:13" ht="18.75" customHeight="1">
      <c r="A56" s="386" t="str">
        <f t="shared" si="11"/>
        <v>C22</v>
      </c>
      <c r="B56" s="394">
        <v>42300</v>
      </c>
      <c r="C56" s="394">
        <v>42300</v>
      </c>
      <c r="D56" s="378"/>
      <c r="E56" s="378" t="s">
        <v>157</v>
      </c>
      <c r="F56" s="28" t="s">
        <v>56</v>
      </c>
      <c r="G56" s="106" t="s">
        <v>1161</v>
      </c>
      <c r="H56" s="38" t="s">
        <v>1145</v>
      </c>
      <c r="I56" s="398" t="s">
        <v>35</v>
      </c>
      <c r="J56" s="399"/>
      <c r="K56" s="396">
        <v>81600</v>
      </c>
      <c r="L56" s="395">
        <f t="shared" si="0"/>
        <v>1983351044</v>
      </c>
      <c r="M56" s="38"/>
    </row>
    <row r="57" spans="1:13" ht="18.75" customHeight="1">
      <c r="A57" s="386" t="str">
        <f t="shared" si="11"/>
        <v>C23</v>
      </c>
      <c r="B57" s="394">
        <v>42302</v>
      </c>
      <c r="C57" s="394">
        <v>42302</v>
      </c>
      <c r="D57" s="378"/>
      <c r="E57" s="378" t="s">
        <v>158</v>
      </c>
      <c r="F57" s="396" t="s">
        <v>332</v>
      </c>
      <c r="G57" s="396"/>
      <c r="H57" s="396" t="s">
        <v>333</v>
      </c>
      <c r="I57" s="398" t="s">
        <v>334</v>
      </c>
      <c r="J57" s="399"/>
      <c r="K57" s="399">
        <v>380000000</v>
      </c>
      <c r="L57" s="395">
        <f t="shared" si="0"/>
        <v>1603351044</v>
      </c>
      <c r="M57" s="38"/>
    </row>
    <row r="58" spans="1:13" ht="18.75" customHeight="1">
      <c r="A58" s="386" t="str">
        <f t="shared" si="1"/>
        <v>T06</v>
      </c>
      <c r="B58" s="394">
        <v>42303</v>
      </c>
      <c r="C58" s="394">
        <v>42303</v>
      </c>
      <c r="D58" s="378" t="s">
        <v>44</v>
      </c>
      <c r="E58" s="378"/>
      <c r="F58" s="396" t="s">
        <v>120</v>
      </c>
      <c r="G58" s="397"/>
      <c r="H58" s="38" t="s">
        <v>187</v>
      </c>
      <c r="I58" s="398" t="s">
        <v>36</v>
      </c>
      <c r="J58" s="399">
        <v>480000000</v>
      </c>
      <c r="K58" s="396"/>
      <c r="L58" s="395">
        <f t="shared" si="0"/>
        <v>2083351044</v>
      </c>
      <c r="M58" s="38"/>
    </row>
    <row r="59" spans="1:13" ht="18.75" customHeight="1">
      <c r="A59" s="386" t="str">
        <f t="shared" ref="A59" si="12">D59&amp;E59</f>
        <v>C24</v>
      </c>
      <c r="B59" s="394">
        <v>42303</v>
      </c>
      <c r="C59" s="394">
        <v>42303</v>
      </c>
      <c r="D59" s="378"/>
      <c r="E59" s="378" t="s">
        <v>159</v>
      </c>
      <c r="F59" s="396" t="s">
        <v>1162</v>
      </c>
      <c r="G59" s="397" t="s">
        <v>1164</v>
      </c>
      <c r="H59" s="38" t="s">
        <v>296</v>
      </c>
      <c r="I59" s="398" t="s">
        <v>94</v>
      </c>
      <c r="J59" s="399"/>
      <c r="K59" s="396">
        <v>4832000</v>
      </c>
      <c r="L59" s="395">
        <f t="shared" si="0"/>
        <v>2078519044</v>
      </c>
      <c r="M59" s="38"/>
    </row>
    <row r="60" spans="1:13" ht="18.75" customHeight="1">
      <c r="A60" s="386" t="str">
        <f t="shared" si="1"/>
        <v>C24</v>
      </c>
      <c r="B60" s="394">
        <v>42303</v>
      </c>
      <c r="C60" s="394">
        <v>42303</v>
      </c>
      <c r="D60" s="395"/>
      <c r="E60" s="378" t="s">
        <v>159</v>
      </c>
      <c r="F60" s="396" t="s">
        <v>1163</v>
      </c>
      <c r="G60" s="397" t="s">
        <v>1164</v>
      </c>
      <c r="H60" s="38" t="s">
        <v>296</v>
      </c>
      <c r="I60" s="398" t="s">
        <v>35</v>
      </c>
      <c r="J60" s="399"/>
      <c r="K60" s="396">
        <v>483200</v>
      </c>
      <c r="L60" s="395">
        <f t="shared" si="0"/>
        <v>2078035844</v>
      </c>
      <c r="M60" s="38"/>
    </row>
    <row r="61" spans="1:13" ht="18.75" customHeight="1">
      <c r="A61" s="386" t="str">
        <f t="shared" si="1"/>
        <v>C25</v>
      </c>
      <c r="B61" s="394">
        <v>42304</v>
      </c>
      <c r="C61" s="394">
        <v>42304</v>
      </c>
      <c r="D61" s="395"/>
      <c r="E61" s="378" t="s">
        <v>160</v>
      </c>
      <c r="F61" s="396" t="s">
        <v>1165</v>
      </c>
      <c r="G61" s="397" t="s">
        <v>1167</v>
      </c>
      <c r="H61" s="396" t="s">
        <v>1168</v>
      </c>
      <c r="I61" s="398" t="s">
        <v>94</v>
      </c>
      <c r="J61" s="399"/>
      <c r="K61" s="396">
        <v>3838000</v>
      </c>
      <c r="L61" s="395">
        <f t="shared" si="0"/>
        <v>2074197844</v>
      </c>
      <c r="M61" s="38"/>
    </row>
    <row r="62" spans="1:13" ht="18.75" customHeight="1">
      <c r="A62" s="386" t="str">
        <f t="shared" si="1"/>
        <v>C25</v>
      </c>
      <c r="B62" s="394">
        <v>42304</v>
      </c>
      <c r="C62" s="394">
        <v>42304</v>
      </c>
      <c r="D62" s="395"/>
      <c r="E62" s="378" t="s">
        <v>160</v>
      </c>
      <c r="F62" s="396" t="s">
        <v>1166</v>
      </c>
      <c r="G62" s="397" t="s">
        <v>1167</v>
      </c>
      <c r="H62" s="396" t="s">
        <v>1168</v>
      </c>
      <c r="I62" s="398" t="s">
        <v>35</v>
      </c>
      <c r="J62" s="399"/>
      <c r="K62" s="396">
        <v>383800</v>
      </c>
      <c r="L62" s="395">
        <f t="shared" si="0"/>
        <v>2073814044</v>
      </c>
      <c r="M62" s="38"/>
    </row>
    <row r="63" spans="1:13" ht="18.75" customHeight="1">
      <c r="A63" s="386" t="str">
        <f t="shared" si="1"/>
        <v>T07</v>
      </c>
      <c r="B63" s="394">
        <v>42305</v>
      </c>
      <c r="C63" s="394">
        <v>42305</v>
      </c>
      <c r="D63" s="378" t="s">
        <v>59</v>
      </c>
      <c r="E63" s="378"/>
      <c r="F63" s="396" t="s">
        <v>120</v>
      </c>
      <c r="G63" s="397"/>
      <c r="H63" s="396" t="s">
        <v>187</v>
      </c>
      <c r="I63" s="398" t="s">
        <v>36</v>
      </c>
      <c r="J63" s="399">
        <v>60000000</v>
      </c>
      <c r="K63" s="396"/>
      <c r="L63" s="395">
        <f t="shared" si="0"/>
        <v>2133814044</v>
      </c>
      <c r="M63" s="38"/>
    </row>
    <row r="64" spans="1:13" ht="18.75" customHeight="1">
      <c r="A64" s="386" t="str">
        <f t="shared" ref="A64" si="13">D64&amp;E64</f>
        <v>C26</v>
      </c>
      <c r="B64" s="394">
        <v>42305</v>
      </c>
      <c r="C64" s="394">
        <v>42305</v>
      </c>
      <c r="D64" s="378"/>
      <c r="E64" s="378" t="s">
        <v>161</v>
      </c>
      <c r="F64" s="396" t="s">
        <v>50</v>
      </c>
      <c r="G64" s="397" t="s">
        <v>1169</v>
      </c>
      <c r="H64" s="396" t="s">
        <v>1145</v>
      </c>
      <c r="I64" s="398" t="s">
        <v>94</v>
      </c>
      <c r="J64" s="399"/>
      <c r="K64" s="396">
        <v>1513000</v>
      </c>
      <c r="L64" s="395">
        <f t="shared" si="0"/>
        <v>2132301044</v>
      </c>
      <c r="M64" s="38"/>
    </row>
    <row r="65" spans="1:13" ht="18.75" customHeight="1">
      <c r="A65" s="386" t="str">
        <f t="shared" si="1"/>
        <v>C26</v>
      </c>
      <c r="B65" s="394">
        <v>42305</v>
      </c>
      <c r="C65" s="394">
        <v>42305</v>
      </c>
      <c r="D65" s="378"/>
      <c r="E65" s="378" t="s">
        <v>161</v>
      </c>
      <c r="F65" s="396" t="s">
        <v>56</v>
      </c>
      <c r="G65" s="397" t="s">
        <v>1169</v>
      </c>
      <c r="H65" s="396" t="s">
        <v>1145</v>
      </c>
      <c r="I65" s="398" t="s">
        <v>35</v>
      </c>
      <c r="J65" s="399"/>
      <c r="K65" s="396">
        <v>151300</v>
      </c>
      <c r="L65" s="395">
        <f t="shared" si="0"/>
        <v>2132149744</v>
      </c>
      <c r="M65" s="38"/>
    </row>
    <row r="66" spans="1:13" ht="18.75" customHeight="1">
      <c r="A66" s="386" t="str">
        <f t="shared" si="1"/>
        <v>C27</v>
      </c>
      <c r="B66" s="394">
        <v>42305</v>
      </c>
      <c r="C66" s="394">
        <v>42305</v>
      </c>
      <c r="D66" s="378"/>
      <c r="E66" s="378" t="s">
        <v>162</v>
      </c>
      <c r="F66" s="28" t="s">
        <v>1070</v>
      </c>
      <c r="G66" s="106" t="s">
        <v>1170</v>
      </c>
      <c r="H66" s="38" t="s">
        <v>690</v>
      </c>
      <c r="I66" s="398" t="s">
        <v>94</v>
      </c>
      <c r="J66" s="399"/>
      <c r="K66" s="396">
        <v>352721</v>
      </c>
      <c r="L66" s="395">
        <f t="shared" si="0"/>
        <v>2131797023</v>
      </c>
      <c r="M66" s="38"/>
    </row>
    <row r="67" spans="1:13" ht="18.75" customHeight="1">
      <c r="A67" s="386" t="str">
        <f t="shared" si="1"/>
        <v>C27</v>
      </c>
      <c r="B67" s="394">
        <v>42305</v>
      </c>
      <c r="C67" s="394">
        <v>42305</v>
      </c>
      <c r="D67" s="378"/>
      <c r="E67" s="378" t="s">
        <v>162</v>
      </c>
      <c r="F67" s="28" t="s">
        <v>1073</v>
      </c>
      <c r="G67" s="106" t="s">
        <v>1170</v>
      </c>
      <c r="H67" s="38" t="s">
        <v>690</v>
      </c>
      <c r="I67" s="398" t="s">
        <v>35</v>
      </c>
      <c r="J67" s="399"/>
      <c r="K67" s="396">
        <v>35272</v>
      </c>
      <c r="L67" s="395">
        <f t="shared" si="0"/>
        <v>2131761751</v>
      </c>
      <c r="M67" s="38"/>
    </row>
    <row r="68" spans="1:13" ht="18.75" customHeight="1">
      <c r="A68" s="386" t="str">
        <f t="shared" si="1"/>
        <v>C28</v>
      </c>
      <c r="B68" s="394">
        <v>42306</v>
      </c>
      <c r="C68" s="394">
        <v>42306</v>
      </c>
      <c r="D68" s="395"/>
      <c r="E68" s="378" t="s">
        <v>163</v>
      </c>
      <c r="F68" s="396" t="s">
        <v>1171</v>
      </c>
      <c r="G68" s="397" t="s">
        <v>1173</v>
      </c>
      <c r="H68" s="396" t="s">
        <v>565</v>
      </c>
      <c r="I68" s="398" t="s">
        <v>94</v>
      </c>
      <c r="J68" s="399"/>
      <c r="K68" s="396">
        <v>15000000</v>
      </c>
      <c r="L68" s="395">
        <f t="shared" si="0"/>
        <v>2116761751</v>
      </c>
      <c r="M68" s="38"/>
    </row>
    <row r="69" spans="1:13" ht="18.75" customHeight="1">
      <c r="A69" s="386" t="str">
        <f t="shared" si="1"/>
        <v>C28</v>
      </c>
      <c r="B69" s="394">
        <v>42306</v>
      </c>
      <c r="C69" s="394">
        <v>42306</v>
      </c>
      <c r="D69" s="395"/>
      <c r="E69" s="378" t="s">
        <v>163</v>
      </c>
      <c r="F69" s="396" t="s">
        <v>1172</v>
      </c>
      <c r="G69" s="397" t="s">
        <v>1173</v>
      </c>
      <c r="H69" s="396" t="s">
        <v>565</v>
      </c>
      <c r="I69" s="398" t="s">
        <v>35</v>
      </c>
      <c r="J69" s="399"/>
      <c r="K69" s="396">
        <v>1500000</v>
      </c>
      <c r="L69" s="395">
        <f t="shared" si="0"/>
        <v>2115261751</v>
      </c>
      <c r="M69" s="38"/>
    </row>
    <row r="70" spans="1:13" ht="18" customHeight="1">
      <c r="A70" s="386" t="str">
        <f t="shared" si="1"/>
        <v>C29</v>
      </c>
      <c r="B70" s="394">
        <v>42308</v>
      </c>
      <c r="C70" s="394">
        <v>42308</v>
      </c>
      <c r="D70" s="378"/>
      <c r="E70" s="378" t="s">
        <v>164</v>
      </c>
      <c r="F70" s="28" t="s">
        <v>1174</v>
      </c>
      <c r="G70" s="106" t="s">
        <v>1176</v>
      </c>
      <c r="H70" s="38" t="s">
        <v>988</v>
      </c>
      <c r="I70" s="398" t="s">
        <v>94</v>
      </c>
      <c r="J70" s="399"/>
      <c r="K70" s="396">
        <v>500000</v>
      </c>
      <c r="L70" s="395">
        <f t="shared" si="0"/>
        <v>2114761751</v>
      </c>
      <c r="M70" s="38"/>
    </row>
    <row r="71" spans="1:13" ht="18.75" customHeight="1">
      <c r="A71" s="386" t="str">
        <f t="shared" si="1"/>
        <v>C29</v>
      </c>
      <c r="B71" s="394">
        <v>42308</v>
      </c>
      <c r="C71" s="394">
        <v>42308</v>
      </c>
      <c r="D71" s="395"/>
      <c r="E71" s="378" t="s">
        <v>164</v>
      </c>
      <c r="F71" s="28" t="s">
        <v>1175</v>
      </c>
      <c r="G71" s="106" t="s">
        <v>1176</v>
      </c>
      <c r="H71" s="38" t="s">
        <v>988</v>
      </c>
      <c r="I71" s="398" t="s">
        <v>35</v>
      </c>
      <c r="J71" s="399"/>
      <c r="K71" s="396">
        <v>25000</v>
      </c>
      <c r="L71" s="395">
        <f t="shared" si="0"/>
        <v>2114736751</v>
      </c>
      <c r="M71" s="38"/>
    </row>
    <row r="72" spans="1:13" ht="18.75" customHeight="1">
      <c r="A72" s="386" t="str">
        <f t="shared" si="1"/>
        <v>C30</v>
      </c>
      <c r="B72" s="394">
        <v>42308</v>
      </c>
      <c r="C72" s="394">
        <v>42308</v>
      </c>
      <c r="D72" s="378"/>
      <c r="E72" s="378" t="s">
        <v>165</v>
      </c>
      <c r="F72" s="28" t="s">
        <v>50</v>
      </c>
      <c r="G72" s="106" t="s">
        <v>1177</v>
      </c>
      <c r="H72" s="38" t="s">
        <v>192</v>
      </c>
      <c r="I72" s="398" t="s">
        <v>94</v>
      </c>
      <c r="J72" s="399"/>
      <c r="K72" s="396">
        <v>180000</v>
      </c>
      <c r="L72" s="395">
        <f t="shared" si="0"/>
        <v>2114556751</v>
      </c>
      <c r="M72" s="38"/>
    </row>
    <row r="73" spans="1:13" ht="18.75" customHeight="1">
      <c r="A73" s="386" t="str">
        <f t="shared" si="1"/>
        <v>C30</v>
      </c>
      <c r="B73" s="394">
        <v>42308</v>
      </c>
      <c r="C73" s="394">
        <v>42308</v>
      </c>
      <c r="D73" s="378"/>
      <c r="E73" s="378" t="s">
        <v>165</v>
      </c>
      <c r="F73" s="28" t="s">
        <v>53</v>
      </c>
      <c r="G73" s="106" t="s">
        <v>1177</v>
      </c>
      <c r="H73" s="38" t="s">
        <v>192</v>
      </c>
      <c r="I73" s="398" t="s">
        <v>54</v>
      </c>
      <c r="J73" s="399"/>
      <c r="K73" s="396">
        <v>1267273</v>
      </c>
      <c r="L73" s="395">
        <f t="shared" si="0"/>
        <v>2113289478</v>
      </c>
      <c r="M73" s="38"/>
    </row>
    <row r="74" spans="1:13" ht="18.75" customHeight="1">
      <c r="A74" s="386" t="str">
        <f t="shared" si="1"/>
        <v>C30</v>
      </c>
      <c r="B74" s="394">
        <v>42308</v>
      </c>
      <c r="C74" s="394">
        <v>42308</v>
      </c>
      <c r="D74" s="395"/>
      <c r="E74" s="378" t="s">
        <v>165</v>
      </c>
      <c r="F74" s="396" t="s">
        <v>304</v>
      </c>
      <c r="G74" s="106" t="s">
        <v>1177</v>
      </c>
      <c r="H74" s="38" t="s">
        <v>192</v>
      </c>
      <c r="I74" s="398" t="s">
        <v>35</v>
      </c>
      <c r="J74" s="399"/>
      <c r="K74" s="396">
        <v>144727</v>
      </c>
      <c r="L74" s="395">
        <f t="shared" si="0"/>
        <v>2113144751</v>
      </c>
      <c r="M74" s="38"/>
    </row>
    <row r="75" spans="1:13" ht="18" customHeight="1">
      <c r="A75" s="386" t="str">
        <f t="shared" si="1"/>
        <v>C31</v>
      </c>
      <c r="B75" s="394">
        <v>42308</v>
      </c>
      <c r="C75" s="394">
        <v>42308</v>
      </c>
      <c r="D75" s="378"/>
      <c r="E75" s="378" t="s">
        <v>166</v>
      </c>
      <c r="F75" s="28" t="s">
        <v>1178</v>
      </c>
      <c r="G75" s="28"/>
      <c r="H75" s="38" t="s">
        <v>261</v>
      </c>
      <c r="I75" s="398" t="s">
        <v>37</v>
      </c>
      <c r="J75" s="399"/>
      <c r="K75" s="396">
        <v>127835137</v>
      </c>
      <c r="L75" s="395">
        <f t="shared" si="0"/>
        <v>1985309614</v>
      </c>
      <c r="M75" s="38"/>
    </row>
    <row r="76" spans="1:13" ht="18" customHeight="1">
      <c r="A76" s="386" t="str">
        <f t="shared" ref="A76" si="14">D76&amp;E76</f>
        <v>C32</v>
      </c>
      <c r="B76" s="394">
        <v>42308</v>
      </c>
      <c r="C76" s="394">
        <v>42308</v>
      </c>
      <c r="D76" s="378"/>
      <c r="E76" s="378" t="s">
        <v>167</v>
      </c>
      <c r="F76" s="28" t="s">
        <v>1418</v>
      </c>
      <c r="G76" s="28"/>
      <c r="H76" s="38" t="s">
        <v>261</v>
      </c>
      <c r="I76" s="398" t="s">
        <v>38</v>
      </c>
      <c r="J76" s="399"/>
      <c r="K76" s="396">
        <v>55795692</v>
      </c>
      <c r="L76" s="395">
        <f t="shared" ref="L76" si="15">IF(F76&lt;&gt;"",L75+J76-K76,0)</f>
        <v>1929513922</v>
      </c>
      <c r="M76" s="38"/>
    </row>
    <row r="77" spans="1:13" ht="18" customHeight="1">
      <c r="B77" s="394"/>
      <c r="C77" s="394"/>
      <c r="D77" s="378"/>
      <c r="E77" s="378"/>
      <c r="F77" s="28"/>
      <c r="G77" s="28"/>
      <c r="H77" s="396"/>
      <c r="I77" s="398"/>
      <c r="J77" s="399"/>
      <c r="K77" s="396"/>
      <c r="L77" s="395"/>
      <c r="M77" s="38"/>
    </row>
    <row r="78" spans="1:13" s="400" customFormat="1" ht="18" customHeight="1">
      <c r="B78" s="401"/>
      <c r="C78" s="401"/>
      <c r="D78" s="401"/>
      <c r="E78" s="401"/>
      <c r="F78" s="401" t="s">
        <v>29</v>
      </c>
      <c r="G78" s="401"/>
      <c r="H78" s="401"/>
      <c r="I78" s="402" t="s">
        <v>30</v>
      </c>
      <c r="J78" s="401">
        <f>SUM(J13:J77)</f>
        <v>5080000000</v>
      </c>
      <c r="K78" s="401">
        <f>SUM(K13:K77)</f>
        <v>4962614490</v>
      </c>
      <c r="L78" s="402" t="s">
        <v>30</v>
      </c>
      <c r="M78" s="402" t="s">
        <v>30</v>
      </c>
    </row>
    <row r="79" spans="1:13" s="400" customFormat="1" ht="18" customHeight="1">
      <c r="B79" s="403"/>
      <c r="C79" s="403"/>
      <c r="D79" s="403"/>
      <c r="E79" s="403"/>
      <c r="F79" s="403" t="s">
        <v>31</v>
      </c>
      <c r="G79" s="403"/>
      <c r="H79" s="403"/>
      <c r="I79" s="404" t="s">
        <v>30</v>
      </c>
      <c r="J79" s="404" t="s">
        <v>30</v>
      </c>
      <c r="K79" s="404" t="s">
        <v>30</v>
      </c>
      <c r="L79" s="403">
        <f>L12+J78-K78</f>
        <v>1929513922</v>
      </c>
      <c r="M79" s="404" t="s">
        <v>30</v>
      </c>
    </row>
    <row r="81" spans="2:19">
      <c r="B81" s="405" t="s">
        <v>47</v>
      </c>
    </row>
    <row r="82" spans="2:19">
      <c r="B82" s="405" t="s">
        <v>1204</v>
      </c>
    </row>
    <row r="83" spans="2:19">
      <c r="L83" s="406" t="s">
        <v>1208</v>
      </c>
    </row>
    <row r="84" spans="2:19" s="407" customFormat="1" ht="14.25">
      <c r="C84" s="407" t="s">
        <v>33</v>
      </c>
      <c r="F84" s="407" t="s">
        <v>13</v>
      </c>
      <c r="L84" s="407" t="s">
        <v>14</v>
      </c>
    </row>
    <row r="85" spans="2:19" s="408" customFormat="1">
      <c r="C85" s="408" t="s">
        <v>15</v>
      </c>
      <c r="F85" s="408" t="s">
        <v>15</v>
      </c>
      <c r="L85" s="408" t="s">
        <v>16</v>
      </c>
    </row>
    <row r="86" spans="2:19" s="408" customFormat="1"/>
    <row r="87" spans="2:19" s="408" customFormat="1"/>
    <row r="88" spans="2:19" s="408" customFormat="1"/>
    <row r="89" spans="2:19" s="408" customFormat="1"/>
    <row r="90" spans="2:19" s="408" customFormat="1"/>
    <row r="91" spans="2:19" s="419" customFormat="1">
      <c r="C91" s="420" t="s">
        <v>1388</v>
      </c>
      <c r="L91" s="420" t="s">
        <v>1389</v>
      </c>
      <c r="O91" s="6"/>
      <c r="P91" s="6"/>
      <c r="Q91" s="6"/>
      <c r="R91" s="6"/>
      <c r="S91" s="6"/>
    </row>
  </sheetData>
  <autoFilter ref="A11:M76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G29">
    <cfRule type="expression" dxfId="13" priority="12" stopIfTrue="1">
      <formula>$C29&lt;&gt;""</formula>
    </cfRule>
  </conditionalFormatting>
  <conditionalFormatting sqref="H29">
    <cfRule type="expression" dxfId="12" priority="11" stopIfTrue="1">
      <formula>$C29&lt;&gt;""</formula>
    </cfRule>
  </conditionalFormatting>
  <conditionalFormatting sqref="G36">
    <cfRule type="expression" dxfId="11" priority="10" stopIfTrue="1">
      <formula>$C36&lt;&gt;""</formula>
    </cfRule>
  </conditionalFormatting>
  <conditionalFormatting sqref="H36">
    <cfRule type="expression" dxfId="10" priority="9" stopIfTrue="1">
      <formula>$C36&lt;&gt;""</formula>
    </cfRule>
  </conditionalFormatting>
  <conditionalFormatting sqref="G44">
    <cfRule type="expression" dxfId="9" priority="8" stopIfTrue="1">
      <formula>$C44&lt;&gt;""</formula>
    </cfRule>
  </conditionalFormatting>
  <conditionalFormatting sqref="H44">
    <cfRule type="expression" dxfId="8" priority="7" stopIfTrue="1">
      <formula>$C44&lt;&gt;""</formula>
    </cfRule>
  </conditionalFormatting>
  <conditionalFormatting sqref="G52">
    <cfRule type="expression" dxfId="7" priority="6" stopIfTrue="1">
      <formula>$C52&lt;&gt;""</formula>
    </cfRule>
  </conditionalFormatting>
  <conditionalFormatting sqref="H52">
    <cfRule type="expression" dxfId="6" priority="5" stopIfTrue="1">
      <formula>$C52&lt;&gt;""</formula>
    </cfRule>
  </conditionalFormatting>
  <conditionalFormatting sqref="G57">
    <cfRule type="expression" dxfId="5" priority="4" stopIfTrue="1">
      <formula>$C57&lt;&gt;""</formula>
    </cfRule>
  </conditionalFormatting>
  <conditionalFormatting sqref="H57">
    <cfRule type="expression" dxfId="4" priority="3" stopIfTrue="1">
      <formula>$C57&lt;&gt;""</formula>
    </cfRule>
  </conditionalFormatting>
  <conditionalFormatting sqref="G37">
    <cfRule type="expression" dxfId="3" priority="2" stopIfTrue="1">
      <formula>$C37&lt;&gt;""</formula>
    </cfRule>
  </conditionalFormatting>
  <conditionalFormatting sqref="H37">
    <cfRule type="expression" dxfId="2" priority="1" stopIfTrue="1">
      <formula>$C37&lt;&gt;""</formula>
    </cfRule>
  </conditionalFormatting>
  <printOptions horizontalCentered="1"/>
  <pageMargins left="0.8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indexed="31"/>
  </sheetPr>
  <dimension ref="A1:S89"/>
  <sheetViews>
    <sheetView topLeftCell="B8" zoomScale="90" workbookViewId="0">
      <pane ySplit="5" topLeftCell="A70" activePane="bottomLeft" state="frozen"/>
      <selection activeCell="B8" sqref="B8"/>
      <selection pane="bottomLeft" activeCell="B13" sqref="A13:XFD13"/>
    </sheetView>
  </sheetViews>
  <sheetFormatPr defaultRowHeight="15"/>
  <cols>
    <col min="1" max="1" width="5.140625" style="6" hidden="1" customWidth="1"/>
    <col min="2" max="3" width="8.85546875" style="6" customWidth="1"/>
    <col min="4" max="5" width="6.85546875" style="6" customWidth="1"/>
    <col min="6" max="6" width="39.7109375" style="6" customWidth="1"/>
    <col min="7" max="7" width="13.85546875" style="6" hidden="1" customWidth="1"/>
    <col min="8" max="8" width="26.140625" style="6" hidden="1" customWidth="1"/>
    <col min="9" max="9" width="7.140625" style="6" customWidth="1"/>
    <col min="10" max="11" width="14.7109375" style="6" customWidth="1"/>
    <col min="12" max="12" width="15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60" t="s">
        <v>132</v>
      </c>
      <c r="K1" s="460"/>
      <c r="L1" s="460"/>
      <c r="M1" s="460"/>
    </row>
    <row r="2" spans="1:13" s="11" customFormat="1" ht="16.5" customHeight="1">
      <c r="B2" s="1" t="s">
        <v>49</v>
      </c>
      <c r="C2" s="375"/>
      <c r="D2" s="375"/>
      <c r="E2" s="375"/>
      <c r="F2" s="375"/>
      <c r="G2" s="375"/>
      <c r="H2" s="375"/>
      <c r="J2" s="461" t="s">
        <v>133</v>
      </c>
      <c r="K2" s="461"/>
      <c r="L2" s="461"/>
      <c r="M2" s="461"/>
    </row>
    <row r="3" spans="1:13" s="11" customFormat="1" ht="16.5" customHeight="1">
      <c r="B3" s="9"/>
      <c r="C3" s="375"/>
      <c r="D3" s="14"/>
      <c r="E3" s="14"/>
      <c r="F3" s="375"/>
      <c r="G3" s="375"/>
      <c r="H3" s="375"/>
      <c r="J3" s="461"/>
      <c r="K3" s="461"/>
      <c r="L3" s="461"/>
      <c r="M3" s="461"/>
    </row>
    <row r="4" spans="1:13" s="11" customFormat="1" ht="6.75" customHeight="1">
      <c r="B4" s="375"/>
      <c r="C4" s="375"/>
      <c r="D4" s="375"/>
      <c r="E4" s="375"/>
      <c r="F4" s="375"/>
      <c r="G4" s="375"/>
      <c r="H4" s="375"/>
      <c r="J4" s="376"/>
      <c r="K4" s="376"/>
      <c r="L4" s="376"/>
      <c r="M4" s="376"/>
    </row>
    <row r="5" spans="1:13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</row>
    <row r="6" spans="1:13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</row>
    <row r="7" spans="1:13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</row>
    <row r="8" spans="1:13">
      <c r="B8" s="15"/>
      <c r="L8" s="15" t="s">
        <v>19</v>
      </c>
    </row>
    <row r="9" spans="1:13" ht="27" customHeight="1">
      <c r="B9" s="464" t="s">
        <v>20</v>
      </c>
      <c r="C9" s="464" t="s">
        <v>21</v>
      </c>
      <c r="D9" s="463" t="s">
        <v>2</v>
      </c>
      <c r="E9" s="463"/>
      <c r="F9" s="463" t="s">
        <v>3</v>
      </c>
      <c r="G9" s="464" t="s">
        <v>134</v>
      </c>
      <c r="H9" s="464" t="s">
        <v>135</v>
      </c>
      <c r="I9" s="464" t="s">
        <v>22</v>
      </c>
      <c r="J9" s="463" t="s">
        <v>23</v>
      </c>
      <c r="K9" s="463"/>
      <c r="L9" s="463" t="s">
        <v>24</v>
      </c>
      <c r="M9" s="463" t="s">
        <v>4</v>
      </c>
    </row>
    <row r="10" spans="1:13" ht="16.5" customHeight="1">
      <c r="B10" s="465"/>
      <c r="C10" s="465"/>
      <c r="D10" s="377" t="s">
        <v>5</v>
      </c>
      <c r="E10" s="377" t="s">
        <v>6</v>
      </c>
      <c r="F10" s="463"/>
      <c r="G10" s="465"/>
      <c r="H10" s="465"/>
      <c r="I10" s="465"/>
      <c r="J10" s="377" t="s">
        <v>25</v>
      </c>
      <c r="K10" s="377" t="s">
        <v>26</v>
      </c>
      <c r="L10" s="463"/>
      <c r="M10" s="46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26"/>
      <c r="C12" s="326"/>
      <c r="D12" s="326"/>
      <c r="E12" s="326"/>
      <c r="F12" s="326" t="s">
        <v>28</v>
      </c>
      <c r="G12" s="326"/>
      <c r="H12" s="326"/>
      <c r="I12" s="327"/>
      <c r="J12" s="37"/>
      <c r="K12" s="326"/>
      <c r="L12" s="37">
        <f>'10'!L79</f>
        <v>1929513922</v>
      </c>
      <c r="M12" s="326"/>
    </row>
    <row r="13" spans="1:13" ht="17.25" customHeight="1">
      <c r="A13" s="6" t="str">
        <f>D13&amp;E13</f>
        <v>C01</v>
      </c>
      <c r="B13" s="3">
        <v>42310</v>
      </c>
      <c r="C13" s="3">
        <v>42308</v>
      </c>
      <c r="D13" s="20"/>
      <c r="E13" s="20" t="s">
        <v>136</v>
      </c>
      <c r="F13" s="5" t="s">
        <v>1231</v>
      </c>
      <c r="G13" s="105" t="s">
        <v>1232</v>
      </c>
      <c r="H13" s="5" t="s">
        <v>1233</v>
      </c>
      <c r="I13" s="26" t="s">
        <v>94</v>
      </c>
      <c r="J13" s="19"/>
      <c r="K13" s="5">
        <v>1974524</v>
      </c>
      <c r="L13" s="4">
        <f t="shared" ref="L13:L74" si="0">IF(F13&lt;&gt;"",L12+J13-K13,0)</f>
        <v>1927539398</v>
      </c>
      <c r="M13" s="18"/>
    </row>
    <row r="14" spans="1:13" ht="17.25" customHeight="1">
      <c r="A14" s="6" t="str">
        <f>D14&amp;E14</f>
        <v>C01</v>
      </c>
      <c r="B14" s="3">
        <v>42310</v>
      </c>
      <c r="C14" s="3">
        <v>42308</v>
      </c>
      <c r="D14" s="20"/>
      <c r="E14" s="20" t="s">
        <v>136</v>
      </c>
      <c r="F14" s="5" t="s">
        <v>1234</v>
      </c>
      <c r="G14" s="105" t="s">
        <v>1232</v>
      </c>
      <c r="H14" s="5" t="s">
        <v>1233</v>
      </c>
      <c r="I14" s="26" t="s">
        <v>35</v>
      </c>
      <c r="J14" s="19"/>
      <c r="K14" s="5">
        <v>197452</v>
      </c>
      <c r="L14" s="4">
        <f t="shared" si="0"/>
        <v>1927341946</v>
      </c>
      <c r="M14" s="18"/>
    </row>
    <row r="15" spans="1:13" ht="17.25" customHeight="1">
      <c r="A15" s="6" t="str">
        <f t="shared" ref="A15:A74" si="1">D15&amp;E15</f>
        <v>C02</v>
      </c>
      <c r="B15" s="3">
        <v>42310</v>
      </c>
      <c r="C15" s="3">
        <v>42310</v>
      </c>
      <c r="D15" s="4"/>
      <c r="E15" s="20" t="s">
        <v>137</v>
      </c>
      <c r="F15" s="5" t="s">
        <v>72</v>
      </c>
      <c r="G15" s="105" t="s">
        <v>1235</v>
      </c>
      <c r="H15" s="5" t="s">
        <v>888</v>
      </c>
      <c r="I15" s="26" t="s">
        <v>94</v>
      </c>
      <c r="J15" s="19"/>
      <c r="K15" s="5">
        <v>833000</v>
      </c>
      <c r="L15" s="4">
        <f t="shared" si="0"/>
        <v>1926508946</v>
      </c>
      <c r="M15" s="18"/>
    </row>
    <row r="16" spans="1:13" ht="17.25" customHeight="1">
      <c r="A16" s="6" t="str">
        <f t="shared" si="1"/>
        <v>C02</v>
      </c>
      <c r="B16" s="3">
        <v>42310</v>
      </c>
      <c r="C16" s="3">
        <v>42310</v>
      </c>
      <c r="D16" s="20"/>
      <c r="E16" s="20" t="s">
        <v>137</v>
      </c>
      <c r="F16" s="5" t="s">
        <v>73</v>
      </c>
      <c r="G16" s="105" t="s">
        <v>1235</v>
      </c>
      <c r="H16" s="5" t="s">
        <v>888</v>
      </c>
      <c r="I16" s="26" t="s">
        <v>35</v>
      </c>
      <c r="J16" s="19"/>
      <c r="K16" s="5">
        <v>83300</v>
      </c>
      <c r="L16" s="4">
        <f t="shared" si="0"/>
        <v>1926425646</v>
      </c>
      <c r="M16" s="18"/>
    </row>
    <row r="17" spans="1:13" ht="17.25" customHeight="1">
      <c r="A17" s="6" t="str">
        <f t="shared" ref="A17" si="2">D17&amp;E17</f>
        <v>C03</v>
      </c>
      <c r="B17" s="3">
        <v>42311</v>
      </c>
      <c r="C17" s="3">
        <v>42311</v>
      </c>
      <c r="D17" s="20"/>
      <c r="E17" s="20" t="s">
        <v>138</v>
      </c>
      <c r="F17" s="5" t="s">
        <v>756</v>
      </c>
      <c r="G17" s="105" t="s">
        <v>1236</v>
      </c>
      <c r="H17" s="5" t="s">
        <v>192</v>
      </c>
      <c r="I17" s="26" t="s">
        <v>94</v>
      </c>
      <c r="J17" s="19"/>
      <c r="K17" s="5">
        <v>114545</v>
      </c>
      <c r="L17" s="4">
        <f t="shared" si="0"/>
        <v>1926311101</v>
      </c>
      <c r="M17" s="18"/>
    </row>
    <row r="18" spans="1:13" ht="17.25" customHeight="1">
      <c r="A18" s="6" t="str">
        <f t="shared" si="1"/>
        <v>C03</v>
      </c>
      <c r="B18" s="3">
        <v>42311</v>
      </c>
      <c r="C18" s="3">
        <v>42311</v>
      </c>
      <c r="D18" s="4"/>
      <c r="E18" s="20" t="s">
        <v>138</v>
      </c>
      <c r="F18" s="5" t="s">
        <v>53</v>
      </c>
      <c r="G18" s="105" t="s">
        <v>1236</v>
      </c>
      <c r="H18" s="5" t="s">
        <v>192</v>
      </c>
      <c r="I18" s="26" t="s">
        <v>54</v>
      </c>
      <c r="J18" s="19"/>
      <c r="K18" s="5">
        <v>633636</v>
      </c>
      <c r="L18" s="4">
        <f t="shared" si="0"/>
        <v>1925677465</v>
      </c>
      <c r="M18" s="18"/>
    </row>
    <row r="19" spans="1:13" ht="17.25" customHeight="1">
      <c r="A19" s="6" t="str">
        <f t="shared" si="1"/>
        <v>C03</v>
      </c>
      <c r="B19" s="3">
        <v>42311</v>
      </c>
      <c r="C19" s="3">
        <v>42311</v>
      </c>
      <c r="D19" s="4"/>
      <c r="E19" s="20" t="s">
        <v>138</v>
      </c>
      <c r="F19" s="5" t="s">
        <v>304</v>
      </c>
      <c r="G19" s="105" t="s">
        <v>1236</v>
      </c>
      <c r="H19" s="5" t="s">
        <v>192</v>
      </c>
      <c r="I19" s="26" t="s">
        <v>35</v>
      </c>
      <c r="J19" s="19"/>
      <c r="K19" s="5">
        <v>74819</v>
      </c>
      <c r="L19" s="4">
        <f t="shared" si="0"/>
        <v>1925602646</v>
      </c>
      <c r="M19" s="18"/>
    </row>
    <row r="20" spans="1:13" ht="17.25" customHeight="1">
      <c r="A20" s="6" t="str">
        <f t="shared" si="1"/>
        <v>C04</v>
      </c>
      <c r="B20" s="3">
        <v>42314</v>
      </c>
      <c r="C20" s="3">
        <v>42314</v>
      </c>
      <c r="D20" s="4"/>
      <c r="E20" s="20" t="s">
        <v>139</v>
      </c>
      <c r="F20" s="43" t="s">
        <v>1237</v>
      </c>
      <c r="G20" s="339" t="s">
        <v>1239</v>
      </c>
      <c r="H20" s="5" t="s">
        <v>1240</v>
      </c>
      <c r="I20" s="26" t="s">
        <v>94</v>
      </c>
      <c r="J20" s="19"/>
      <c r="K20" s="5">
        <v>1000000</v>
      </c>
      <c r="L20" s="4">
        <f t="shared" si="0"/>
        <v>1924602646</v>
      </c>
      <c r="M20" s="18"/>
    </row>
    <row r="21" spans="1:13" ht="17.25" customHeight="1">
      <c r="A21" s="6" t="str">
        <f t="shared" si="1"/>
        <v>C04</v>
      </c>
      <c r="B21" s="3">
        <v>42314</v>
      </c>
      <c r="C21" s="3">
        <v>42314</v>
      </c>
      <c r="D21" s="20"/>
      <c r="E21" s="20" t="s">
        <v>139</v>
      </c>
      <c r="F21" s="43" t="s">
        <v>1238</v>
      </c>
      <c r="G21" s="339" t="s">
        <v>1239</v>
      </c>
      <c r="H21" s="5" t="s">
        <v>1240</v>
      </c>
      <c r="I21" s="26" t="s">
        <v>35</v>
      </c>
      <c r="J21" s="19"/>
      <c r="K21" s="5">
        <v>50000</v>
      </c>
      <c r="L21" s="4">
        <f t="shared" si="0"/>
        <v>1924552646</v>
      </c>
      <c r="M21" s="18"/>
    </row>
    <row r="22" spans="1:13" ht="17.25" customHeight="1">
      <c r="A22" s="6" t="str">
        <f t="shared" si="1"/>
        <v>C05</v>
      </c>
      <c r="B22" s="3">
        <v>42317</v>
      </c>
      <c r="C22" s="3">
        <v>42317</v>
      </c>
      <c r="D22" s="4"/>
      <c r="E22" s="20" t="s">
        <v>140</v>
      </c>
      <c r="F22" s="396" t="s">
        <v>332</v>
      </c>
      <c r="G22" s="396"/>
      <c r="H22" s="396" t="s">
        <v>335</v>
      </c>
      <c r="I22" s="398" t="s">
        <v>334</v>
      </c>
      <c r="J22" s="19"/>
      <c r="K22" s="5">
        <v>550000000</v>
      </c>
      <c r="L22" s="4">
        <f t="shared" si="0"/>
        <v>1374552646</v>
      </c>
      <c r="M22" s="18"/>
    </row>
    <row r="23" spans="1:13" ht="17.25" customHeight="1">
      <c r="A23" s="6" t="str">
        <f t="shared" si="1"/>
        <v>C06</v>
      </c>
      <c r="B23" s="3">
        <v>42318</v>
      </c>
      <c r="C23" s="3">
        <v>42314</v>
      </c>
      <c r="D23" s="20"/>
      <c r="E23" s="20" t="s">
        <v>141</v>
      </c>
      <c r="F23" s="28" t="s">
        <v>1241</v>
      </c>
      <c r="G23" s="28"/>
      <c r="H23" s="38" t="s">
        <v>1242</v>
      </c>
      <c r="I23" s="26" t="s">
        <v>34</v>
      </c>
      <c r="J23" s="19"/>
      <c r="K23" s="5">
        <v>19963570</v>
      </c>
      <c r="L23" s="4">
        <f t="shared" si="0"/>
        <v>1354589076</v>
      </c>
      <c r="M23" s="18"/>
    </row>
    <row r="24" spans="1:13" ht="17.25" customHeight="1">
      <c r="A24" s="6" t="str">
        <f t="shared" ref="A24:A25" si="3">D24&amp;E24</f>
        <v>C07</v>
      </c>
      <c r="B24" s="3">
        <v>42318</v>
      </c>
      <c r="C24" s="3">
        <v>42318</v>
      </c>
      <c r="D24" s="4"/>
      <c r="E24" s="20" t="s">
        <v>142</v>
      </c>
      <c r="F24" s="5" t="s">
        <v>53</v>
      </c>
      <c r="G24" s="105" t="s">
        <v>1243</v>
      </c>
      <c r="H24" s="5" t="s">
        <v>888</v>
      </c>
      <c r="I24" s="26" t="s">
        <v>54</v>
      </c>
      <c r="J24" s="19"/>
      <c r="K24" s="5">
        <v>736909</v>
      </c>
      <c r="L24" s="4">
        <f t="shared" si="0"/>
        <v>1353852167</v>
      </c>
      <c r="M24" s="18"/>
    </row>
    <row r="25" spans="1:13" ht="17.25" customHeight="1">
      <c r="A25" s="6" t="str">
        <f t="shared" si="3"/>
        <v>C07</v>
      </c>
      <c r="B25" s="3">
        <v>42318</v>
      </c>
      <c r="C25" s="3">
        <v>42318</v>
      </c>
      <c r="D25" s="20"/>
      <c r="E25" s="20" t="s">
        <v>142</v>
      </c>
      <c r="F25" s="5" t="s">
        <v>72</v>
      </c>
      <c r="G25" s="105" t="s">
        <v>1243</v>
      </c>
      <c r="H25" s="5" t="s">
        <v>888</v>
      </c>
      <c r="I25" s="26" t="s">
        <v>94</v>
      </c>
      <c r="J25" s="19"/>
      <c r="K25" s="5">
        <v>912800</v>
      </c>
      <c r="L25" s="4">
        <f t="shared" si="0"/>
        <v>1352939367</v>
      </c>
      <c r="M25" s="18"/>
    </row>
    <row r="26" spans="1:13" ht="17.25" customHeight="1">
      <c r="A26" s="6" t="str">
        <f t="shared" si="1"/>
        <v>C07</v>
      </c>
      <c r="B26" s="3">
        <v>42318</v>
      </c>
      <c r="C26" s="3">
        <v>42318</v>
      </c>
      <c r="D26" s="20"/>
      <c r="E26" s="20" t="s">
        <v>142</v>
      </c>
      <c r="F26" s="5" t="s">
        <v>304</v>
      </c>
      <c r="G26" s="105" t="s">
        <v>1243</v>
      </c>
      <c r="H26" s="5" t="s">
        <v>888</v>
      </c>
      <c r="I26" s="26" t="s">
        <v>35</v>
      </c>
      <c r="J26" s="19"/>
      <c r="K26" s="5">
        <v>164971</v>
      </c>
      <c r="L26" s="4">
        <f t="shared" si="0"/>
        <v>1352774396</v>
      </c>
      <c r="M26" s="18"/>
    </row>
    <row r="27" spans="1:13" ht="17.25" customHeight="1">
      <c r="A27" s="6" t="str">
        <f t="shared" si="1"/>
        <v>C08</v>
      </c>
      <c r="B27" s="3">
        <v>42318</v>
      </c>
      <c r="C27" s="3">
        <v>42318</v>
      </c>
      <c r="D27" s="4"/>
      <c r="E27" s="20" t="s">
        <v>143</v>
      </c>
      <c r="F27" s="5" t="s">
        <v>1244</v>
      </c>
      <c r="G27" s="105" t="s">
        <v>1246</v>
      </c>
      <c r="H27" s="5" t="s">
        <v>280</v>
      </c>
      <c r="I27" s="26" t="s">
        <v>94</v>
      </c>
      <c r="J27" s="19"/>
      <c r="K27" s="5">
        <v>2550000</v>
      </c>
      <c r="L27" s="4">
        <f t="shared" si="0"/>
        <v>1350224396</v>
      </c>
      <c r="M27" s="18"/>
    </row>
    <row r="28" spans="1:13" ht="17.25" customHeight="1">
      <c r="A28" s="6" t="str">
        <f t="shared" si="1"/>
        <v>C08</v>
      </c>
      <c r="B28" s="3">
        <v>42318</v>
      </c>
      <c r="C28" s="3">
        <v>42318</v>
      </c>
      <c r="D28" s="4"/>
      <c r="E28" s="20" t="s">
        <v>143</v>
      </c>
      <c r="F28" s="5" t="s">
        <v>1245</v>
      </c>
      <c r="G28" s="105" t="s">
        <v>1246</v>
      </c>
      <c r="H28" s="5" t="s">
        <v>280</v>
      </c>
      <c r="I28" s="26" t="s">
        <v>35</v>
      </c>
      <c r="J28" s="19"/>
      <c r="K28" s="5">
        <v>255000</v>
      </c>
      <c r="L28" s="4">
        <f t="shared" si="0"/>
        <v>1349969396</v>
      </c>
      <c r="M28" s="18"/>
    </row>
    <row r="29" spans="1:13" ht="17.25" customHeight="1">
      <c r="A29" s="6" t="str">
        <f t="shared" si="1"/>
        <v>C09</v>
      </c>
      <c r="B29" s="3">
        <v>42319</v>
      </c>
      <c r="C29" s="3">
        <v>42319</v>
      </c>
      <c r="D29" s="4"/>
      <c r="E29" s="20" t="s">
        <v>144</v>
      </c>
      <c r="F29" s="5" t="s">
        <v>1247</v>
      </c>
      <c r="G29" s="5"/>
      <c r="H29" s="5" t="s">
        <v>187</v>
      </c>
      <c r="I29" s="26" t="s">
        <v>36</v>
      </c>
      <c r="J29" s="19"/>
      <c r="K29" s="5">
        <v>60000000</v>
      </c>
      <c r="L29" s="4">
        <f t="shared" si="0"/>
        <v>1289969396</v>
      </c>
      <c r="M29" s="18"/>
    </row>
    <row r="30" spans="1:13" ht="17.25" customHeight="1">
      <c r="A30" s="6" t="str">
        <f t="shared" si="1"/>
        <v>C10</v>
      </c>
      <c r="B30" s="3">
        <v>42320</v>
      </c>
      <c r="C30" s="3">
        <v>42320</v>
      </c>
      <c r="D30" s="20"/>
      <c r="E30" s="20" t="s">
        <v>145</v>
      </c>
      <c r="F30" s="5" t="s">
        <v>1248</v>
      </c>
      <c r="G30" s="105" t="s">
        <v>1249</v>
      </c>
      <c r="H30" s="5" t="s">
        <v>721</v>
      </c>
      <c r="I30" s="26" t="s">
        <v>94</v>
      </c>
      <c r="J30" s="19"/>
      <c r="K30" s="5">
        <v>1000000</v>
      </c>
      <c r="L30" s="4">
        <f t="shared" si="0"/>
        <v>1288969396</v>
      </c>
      <c r="M30" s="18"/>
    </row>
    <row r="31" spans="1:13" ht="17.25" customHeight="1">
      <c r="A31" s="6" t="str">
        <f t="shared" si="1"/>
        <v>C11</v>
      </c>
      <c r="B31" s="3">
        <v>42320</v>
      </c>
      <c r="C31" s="3">
        <v>42320</v>
      </c>
      <c r="D31" s="4"/>
      <c r="E31" s="20" t="s">
        <v>146</v>
      </c>
      <c r="F31" s="396" t="s">
        <v>332</v>
      </c>
      <c r="G31" s="396"/>
      <c r="H31" s="396" t="s">
        <v>333</v>
      </c>
      <c r="I31" s="398" t="s">
        <v>334</v>
      </c>
      <c r="J31" s="19"/>
      <c r="K31" s="5">
        <v>180000000</v>
      </c>
      <c r="L31" s="4">
        <f t="shared" si="0"/>
        <v>1108969396</v>
      </c>
      <c r="M31" s="18"/>
    </row>
    <row r="32" spans="1:13" ht="17.25" customHeight="1">
      <c r="A32" s="6" t="str">
        <f t="shared" ref="A32" si="4">D32&amp;E32</f>
        <v>T01</v>
      </c>
      <c r="B32" s="3">
        <v>42321</v>
      </c>
      <c r="C32" s="3">
        <v>42321</v>
      </c>
      <c r="D32" s="20" t="s">
        <v>39</v>
      </c>
      <c r="E32" s="20"/>
      <c r="F32" s="5" t="s">
        <v>120</v>
      </c>
      <c r="G32" s="105"/>
      <c r="H32" s="5" t="s">
        <v>187</v>
      </c>
      <c r="I32" s="26" t="s">
        <v>36</v>
      </c>
      <c r="J32" s="19">
        <v>1850000000</v>
      </c>
      <c r="K32" s="5"/>
      <c r="L32" s="4">
        <f t="shared" si="0"/>
        <v>2958969396</v>
      </c>
      <c r="M32" s="18"/>
    </row>
    <row r="33" spans="1:13" ht="17.25" customHeight="1">
      <c r="A33" s="6" t="str">
        <f t="shared" si="1"/>
        <v>C12</v>
      </c>
      <c r="B33" s="3">
        <v>42323</v>
      </c>
      <c r="C33" s="3">
        <v>42323</v>
      </c>
      <c r="D33" s="20"/>
      <c r="E33" s="20" t="s">
        <v>147</v>
      </c>
      <c r="F33" s="5" t="s">
        <v>50</v>
      </c>
      <c r="G33" s="105" t="s">
        <v>1250</v>
      </c>
      <c r="H33" s="5" t="s">
        <v>192</v>
      </c>
      <c r="I33" s="26" t="s">
        <v>94</v>
      </c>
      <c r="J33" s="19"/>
      <c r="K33" s="5">
        <v>187964</v>
      </c>
      <c r="L33" s="4">
        <f t="shared" si="0"/>
        <v>2958781432</v>
      </c>
      <c r="M33" s="18"/>
    </row>
    <row r="34" spans="1:13" ht="17.25" customHeight="1">
      <c r="A34" s="6" t="str">
        <f t="shared" si="1"/>
        <v>C12</v>
      </c>
      <c r="B34" s="3">
        <v>42323</v>
      </c>
      <c r="C34" s="3">
        <v>42323</v>
      </c>
      <c r="D34" s="4"/>
      <c r="E34" s="20" t="s">
        <v>147</v>
      </c>
      <c r="F34" s="5" t="s">
        <v>53</v>
      </c>
      <c r="G34" s="105" t="s">
        <v>1250</v>
      </c>
      <c r="H34" s="5" t="s">
        <v>192</v>
      </c>
      <c r="I34" s="26" t="s">
        <v>54</v>
      </c>
      <c r="J34" s="19"/>
      <c r="K34" s="5">
        <v>1228182</v>
      </c>
      <c r="L34" s="4">
        <f t="shared" si="0"/>
        <v>2957553250</v>
      </c>
      <c r="M34" s="18"/>
    </row>
    <row r="35" spans="1:13" ht="17.25" customHeight="1">
      <c r="A35" s="6" t="str">
        <f t="shared" si="1"/>
        <v>C12</v>
      </c>
      <c r="B35" s="3">
        <v>42323</v>
      </c>
      <c r="C35" s="3">
        <v>42323</v>
      </c>
      <c r="D35" s="4"/>
      <c r="E35" s="20" t="s">
        <v>147</v>
      </c>
      <c r="F35" s="5" t="s">
        <v>572</v>
      </c>
      <c r="G35" s="105" t="s">
        <v>1250</v>
      </c>
      <c r="H35" s="5" t="s">
        <v>192</v>
      </c>
      <c r="I35" s="26" t="s">
        <v>35</v>
      </c>
      <c r="J35" s="19"/>
      <c r="K35" s="5">
        <v>141614</v>
      </c>
      <c r="L35" s="4">
        <f t="shared" si="0"/>
        <v>2957411636</v>
      </c>
      <c r="M35" s="18"/>
    </row>
    <row r="36" spans="1:13" ht="17.25" customHeight="1">
      <c r="A36" s="6" t="str">
        <f t="shared" ref="A36:A41" si="5">D36&amp;E36</f>
        <v>C13</v>
      </c>
      <c r="B36" s="3">
        <v>42323</v>
      </c>
      <c r="C36" s="3">
        <v>42323</v>
      </c>
      <c r="D36" s="4"/>
      <c r="E36" s="20" t="s">
        <v>148</v>
      </c>
      <c r="F36" s="5" t="s">
        <v>72</v>
      </c>
      <c r="G36" s="105" t="s">
        <v>1251</v>
      </c>
      <c r="H36" s="5" t="s">
        <v>888</v>
      </c>
      <c r="I36" s="26" t="s">
        <v>94</v>
      </c>
      <c r="J36" s="19"/>
      <c r="K36" s="5">
        <v>896500</v>
      </c>
      <c r="L36" s="4">
        <f t="shared" si="0"/>
        <v>2956515136</v>
      </c>
      <c r="M36" s="18"/>
    </row>
    <row r="37" spans="1:13" ht="17.25" customHeight="1">
      <c r="A37" s="6" t="str">
        <f t="shared" si="5"/>
        <v>C13</v>
      </c>
      <c r="B37" s="3">
        <v>42323</v>
      </c>
      <c r="C37" s="3">
        <v>42323</v>
      </c>
      <c r="D37" s="20"/>
      <c r="E37" s="20" t="s">
        <v>148</v>
      </c>
      <c r="F37" s="5" t="s">
        <v>73</v>
      </c>
      <c r="G37" s="105" t="s">
        <v>1251</v>
      </c>
      <c r="H37" s="5" t="s">
        <v>888</v>
      </c>
      <c r="I37" s="26" t="s">
        <v>35</v>
      </c>
      <c r="J37" s="19"/>
      <c r="K37" s="5">
        <v>89650</v>
      </c>
      <c r="L37" s="4">
        <f t="shared" si="0"/>
        <v>2956425486</v>
      </c>
      <c r="M37" s="18"/>
    </row>
    <row r="38" spans="1:13" ht="17.25" customHeight="1">
      <c r="A38" s="6" t="str">
        <f t="shared" si="5"/>
        <v>C14</v>
      </c>
      <c r="B38" s="3">
        <v>42323</v>
      </c>
      <c r="C38" s="3">
        <v>42323</v>
      </c>
      <c r="D38" s="4"/>
      <c r="E38" s="20" t="s">
        <v>149</v>
      </c>
      <c r="F38" s="396" t="s">
        <v>332</v>
      </c>
      <c r="G38" s="396"/>
      <c r="H38" s="396" t="s">
        <v>335</v>
      </c>
      <c r="I38" s="398" t="s">
        <v>334</v>
      </c>
      <c r="J38" s="19"/>
      <c r="K38" s="5">
        <v>450000000</v>
      </c>
      <c r="L38" s="4">
        <f t="shared" si="0"/>
        <v>2506425486</v>
      </c>
      <c r="M38" s="18"/>
    </row>
    <row r="39" spans="1:13" ht="17.25" customHeight="1">
      <c r="A39" s="6" t="str">
        <f t="shared" si="5"/>
        <v>C15</v>
      </c>
      <c r="B39" s="3">
        <v>42324</v>
      </c>
      <c r="C39" s="3">
        <v>42324</v>
      </c>
      <c r="D39" s="4"/>
      <c r="E39" s="20" t="s">
        <v>150</v>
      </c>
      <c r="F39" s="5" t="s">
        <v>1252</v>
      </c>
      <c r="G39" s="105" t="s">
        <v>1254</v>
      </c>
      <c r="H39" s="5" t="s">
        <v>280</v>
      </c>
      <c r="I39" s="26" t="s">
        <v>94</v>
      </c>
      <c r="J39" s="19"/>
      <c r="K39" s="5">
        <v>60000</v>
      </c>
      <c r="L39" s="4">
        <f t="shared" si="0"/>
        <v>2506365486</v>
      </c>
      <c r="M39" s="18"/>
    </row>
    <row r="40" spans="1:13" ht="17.25" customHeight="1">
      <c r="A40" s="6" t="str">
        <f t="shared" si="5"/>
        <v>C15</v>
      </c>
      <c r="B40" s="3">
        <v>42324</v>
      </c>
      <c r="C40" s="3">
        <v>42324</v>
      </c>
      <c r="D40" s="4"/>
      <c r="E40" s="20" t="s">
        <v>150</v>
      </c>
      <c r="F40" s="5" t="s">
        <v>1253</v>
      </c>
      <c r="G40" s="105" t="s">
        <v>1254</v>
      </c>
      <c r="H40" s="5" t="s">
        <v>280</v>
      </c>
      <c r="I40" s="26" t="s">
        <v>35</v>
      </c>
      <c r="J40" s="19"/>
      <c r="K40" s="5">
        <v>6000</v>
      </c>
      <c r="L40" s="4">
        <f t="shared" si="0"/>
        <v>2506359486</v>
      </c>
      <c r="M40" s="18"/>
    </row>
    <row r="41" spans="1:13" ht="17.25" customHeight="1">
      <c r="A41" s="6" t="str">
        <f t="shared" si="5"/>
        <v>C16</v>
      </c>
      <c r="B41" s="3">
        <v>42325</v>
      </c>
      <c r="C41" s="3">
        <v>42325</v>
      </c>
      <c r="D41" s="4"/>
      <c r="E41" s="20" t="s">
        <v>151</v>
      </c>
      <c r="F41" s="396" t="s">
        <v>332</v>
      </c>
      <c r="G41" s="396"/>
      <c r="H41" s="396" t="s">
        <v>333</v>
      </c>
      <c r="I41" s="398" t="s">
        <v>334</v>
      </c>
      <c r="J41" s="19"/>
      <c r="K41" s="5">
        <v>360000000</v>
      </c>
      <c r="L41" s="4">
        <f t="shared" si="0"/>
        <v>2146359486</v>
      </c>
      <c r="M41" s="18"/>
    </row>
    <row r="42" spans="1:13" ht="17.25" customHeight="1">
      <c r="A42" s="6" t="str">
        <f t="shared" si="1"/>
        <v>C17</v>
      </c>
      <c r="B42" s="3">
        <v>42326</v>
      </c>
      <c r="C42" s="3">
        <v>42326</v>
      </c>
      <c r="D42" s="20"/>
      <c r="E42" s="20" t="s">
        <v>152</v>
      </c>
      <c r="F42" s="5" t="s">
        <v>72</v>
      </c>
      <c r="G42" s="106" t="s">
        <v>1255</v>
      </c>
      <c r="H42" s="5" t="s">
        <v>888</v>
      </c>
      <c r="I42" s="26" t="s">
        <v>94</v>
      </c>
      <c r="J42" s="19"/>
      <c r="K42" s="5">
        <v>749800</v>
      </c>
      <c r="L42" s="4">
        <f t="shared" si="0"/>
        <v>2145609686</v>
      </c>
      <c r="M42" s="18"/>
    </row>
    <row r="43" spans="1:13" ht="17.25" customHeight="1">
      <c r="A43" s="6" t="str">
        <f t="shared" si="1"/>
        <v>C17</v>
      </c>
      <c r="B43" s="3">
        <v>42326</v>
      </c>
      <c r="C43" s="3">
        <v>42326</v>
      </c>
      <c r="D43" s="4"/>
      <c r="E43" s="20" t="s">
        <v>152</v>
      </c>
      <c r="F43" s="5" t="s">
        <v>73</v>
      </c>
      <c r="G43" s="106" t="s">
        <v>1255</v>
      </c>
      <c r="H43" s="5" t="s">
        <v>888</v>
      </c>
      <c r="I43" s="26" t="s">
        <v>35</v>
      </c>
      <c r="J43" s="19"/>
      <c r="K43" s="5">
        <v>74980</v>
      </c>
      <c r="L43" s="4">
        <f t="shared" si="0"/>
        <v>2145534706</v>
      </c>
      <c r="M43" s="18"/>
    </row>
    <row r="44" spans="1:13" ht="17.25" customHeight="1">
      <c r="A44" s="6" t="str">
        <f t="shared" si="1"/>
        <v>C18</v>
      </c>
      <c r="B44" s="3">
        <v>42327</v>
      </c>
      <c r="C44" s="3">
        <v>42327</v>
      </c>
      <c r="D44" s="4"/>
      <c r="E44" s="20" t="s">
        <v>153</v>
      </c>
      <c r="F44" s="396" t="s">
        <v>332</v>
      </c>
      <c r="G44" s="396"/>
      <c r="H44" s="396" t="s">
        <v>333</v>
      </c>
      <c r="I44" s="398" t="s">
        <v>334</v>
      </c>
      <c r="J44" s="19"/>
      <c r="K44" s="5">
        <v>150000000</v>
      </c>
      <c r="L44" s="4">
        <f t="shared" si="0"/>
        <v>1995534706</v>
      </c>
      <c r="M44" s="18"/>
    </row>
    <row r="45" spans="1:13" ht="17.25" customHeight="1">
      <c r="A45" s="6" t="str">
        <f t="shared" si="1"/>
        <v>C19</v>
      </c>
      <c r="B45" s="3">
        <v>42327</v>
      </c>
      <c r="C45" s="3">
        <v>42327</v>
      </c>
      <c r="D45" s="4"/>
      <c r="E45" s="20" t="s">
        <v>154</v>
      </c>
      <c r="F45" s="396" t="s">
        <v>332</v>
      </c>
      <c r="G45" s="396"/>
      <c r="H45" s="396" t="s">
        <v>335</v>
      </c>
      <c r="I45" s="398" t="s">
        <v>334</v>
      </c>
      <c r="J45" s="19"/>
      <c r="K45" s="5">
        <v>370000000</v>
      </c>
      <c r="L45" s="4">
        <f t="shared" si="0"/>
        <v>1625534706</v>
      </c>
      <c r="M45" s="18"/>
    </row>
    <row r="46" spans="1:13" ht="17.25" customHeight="1">
      <c r="A46" s="6" t="str">
        <f t="shared" ref="A46" si="6">D46&amp;E46</f>
        <v>C20</v>
      </c>
      <c r="B46" s="3">
        <v>42327</v>
      </c>
      <c r="C46" s="3">
        <v>42327</v>
      </c>
      <c r="D46" s="20"/>
      <c r="E46" s="20" t="s">
        <v>155</v>
      </c>
      <c r="F46" s="5" t="s">
        <v>1256</v>
      </c>
      <c r="G46" s="5"/>
      <c r="H46" s="5" t="s">
        <v>187</v>
      </c>
      <c r="I46" s="26" t="s">
        <v>36</v>
      </c>
      <c r="J46" s="19"/>
      <c r="K46" s="5">
        <v>25000000</v>
      </c>
      <c r="L46" s="4">
        <f t="shared" si="0"/>
        <v>1600534706</v>
      </c>
      <c r="M46" s="18"/>
    </row>
    <row r="47" spans="1:13" ht="17.25" customHeight="1">
      <c r="A47" s="6" t="str">
        <f t="shared" ref="A47" si="7">D47&amp;E47</f>
        <v>C21</v>
      </c>
      <c r="B47" s="3">
        <v>42328</v>
      </c>
      <c r="C47" s="3">
        <v>42328</v>
      </c>
      <c r="D47" s="20"/>
      <c r="E47" s="20" t="s">
        <v>156</v>
      </c>
      <c r="F47" s="5" t="s">
        <v>1257</v>
      </c>
      <c r="G47" s="105" t="s">
        <v>1269</v>
      </c>
      <c r="H47" s="5" t="s">
        <v>725</v>
      </c>
      <c r="I47" s="26" t="s">
        <v>94</v>
      </c>
      <c r="J47" s="19"/>
      <c r="K47" s="5">
        <v>103845</v>
      </c>
      <c r="L47" s="4">
        <f t="shared" si="0"/>
        <v>1600430861</v>
      </c>
      <c r="M47" s="18"/>
    </row>
    <row r="48" spans="1:13" ht="17.25" customHeight="1">
      <c r="A48" s="6" t="str">
        <f t="shared" si="1"/>
        <v>C21</v>
      </c>
      <c r="B48" s="3">
        <v>42328</v>
      </c>
      <c r="C48" s="3">
        <v>42328</v>
      </c>
      <c r="D48" s="20"/>
      <c r="E48" s="20" t="s">
        <v>156</v>
      </c>
      <c r="F48" s="5" t="s">
        <v>1258</v>
      </c>
      <c r="G48" s="105" t="s">
        <v>1269</v>
      </c>
      <c r="H48" s="5" t="s">
        <v>725</v>
      </c>
      <c r="I48" s="26" t="s">
        <v>35</v>
      </c>
      <c r="J48" s="19"/>
      <c r="K48" s="5">
        <v>10385</v>
      </c>
      <c r="L48" s="4">
        <f t="shared" si="0"/>
        <v>1600420476</v>
      </c>
      <c r="M48" s="18"/>
    </row>
    <row r="49" spans="1:13" ht="17.25" customHeight="1">
      <c r="A49" s="6" t="str">
        <f t="shared" si="1"/>
        <v>C22</v>
      </c>
      <c r="B49" s="3">
        <v>42328</v>
      </c>
      <c r="C49" s="3">
        <v>42328</v>
      </c>
      <c r="D49" s="20"/>
      <c r="E49" s="20" t="s">
        <v>157</v>
      </c>
      <c r="F49" s="5" t="s">
        <v>1247</v>
      </c>
      <c r="G49" s="5"/>
      <c r="H49" s="5" t="s">
        <v>186</v>
      </c>
      <c r="I49" s="26" t="s">
        <v>36</v>
      </c>
      <c r="J49" s="19"/>
      <c r="K49" s="5">
        <v>45000000</v>
      </c>
      <c r="L49" s="4">
        <f t="shared" si="0"/>
        <v>1555420476</v>
      </c>
      <c r="M49" s="18"/>
    </row>
    <row r="50" spans="1:13" ht="17.25" customHeight="1">
      <c r="A50" s="6" t="str">
        <f t="shared" ref="A50:A52" si="8">D50&amp;E50</f>
        <v>C23</v>
      </c>
      <c r="B50" s="3">
        <v>42328</v>
      </c>
      <c r="C50" s="3">
        <v>42328</v>
      </c>
      <c r="D50" s="20"/>
      <c r="E50" s="20" t="s">
        <v>158</v>
      </c>
      <c r="F50" s="5" t="s">
        <v>72</v>
      </c>
      <c r="G50" s="106" t="s">
        <v>1259</v>
      </c>
      <c r="H50" s="5" t="s">
        <v>888</v>
      </c>
      <c r="I50" s="26" t="s">
        <v>94</v>
      </c>
      <c r="J50" s="19"/>
      <c r="K50" s="5">
        <v>968182</v>
      </c>
      <c r="L50" s="4">
        <f t="shared" si="0"/>
        <v>1554452294</v>
      </c>
      <c r="M50" s="18"/>
    </row>
    <row r="51" spans="1:13" ht="17.25" customHeight="1">
      <c r="A51" s="6" t="str">
        <f t="shared" si="8"/>
        <v>C23</v>
      </c>
      <c r="B51" s="3">
        <v>42328</v>
      </c>
      <c r="C51" s="3">
        <v>42328</v>
      </c>
      <c r="D51" s="20"/>
      <c r="E51" s="20" t="s">
        <v>158</v>
      </c>
      <c r="F51" s="5" t="s">
        <v>73</v>
      </c>
      <c r="G51" s="106" t="s">
        <v>1259</v>
      </c>
      <c r="H51" s="5" t="s">
        <v>888</v>
      </c>
      <c r="I51" s="26" t="s">
        <v>35</v>
      </c>
      <c r="J51" s="19"/>
      <c r="K51" s="5">
        <v>96818</v>
      </c>
      <c r="L51" s="4">
        <f t="shared" si="0"/>
        <v>1554355476</v>
      </c>
      <c r="M51" s="18"/>
    </row>
    <row r="52" spans="1:13" ht="17.25" customHeight="1">
      <c r="A52" s="6" t="str">
        <f t="shared" si="8"/>
        <v>C24</v>
      </c>
      <c r="B52" s="3">
        <v>42328</v>
      </c>
      <c r="C52" s="3">
        <v>42328</v>
      </c>
      <c r="D52" s="4"/>
      <c r="E52" s="20" t="s">
        <v>159</v>
      </c>
      <c r="F52" s="396" t="s">
        <v>332</v>
      </c>
      <c r="G52" s="396"/>
      <c r="H52" s="396" t="s">
        <v>333</v>
      </c>
      <c r="I52" s="398" t="s">
        <v>334</v>
      </c>
      <c r="J52" s="19"/>
      <c r="K52" s="5">
        <v>380000000</v>
      </c>
      <c r="L52" s="4">
        <f t="shared" si="0"/>
        <v>1174355476</v>
      </c>
      <c r="M52" s="18"/>
    </row>
    <row r="53" spans="1:13" ht="17.25" customHeight="1">
      <c r="A53" s="6" t="str">
        <f t="shared" ref="A53" si="9">D53&amp;E53</f>
        <v>T02</v>
      </c>
      <c r="B53" s="3">
        <v>42329</v>
      </c>
      <c r="C53" s="3">
        <v>42329</v>
      </c>
      <c r="D53" s="20" t="s">
        <v>40</v>
      </c>
      <c r="E53" s="20"/>
      <c r="F53" s="5" t="s">
        <v>120</v>
      </c>
      <c r="G53" s="106"/>
      <c r="H53" s="5" t="s">
        <v>187</v>
      </c>
      <c r="I53" s="26" t="s">
        <v>36</v>
      </c>
      <c r="J53" s="19">
        <v>1370000000</v>
      </c>
      <c r="K53" s="5"/>
      <c r="L53" s="4">
        <f t="shared" si="0"/>
        <v>2544355476</v>
      </c>
      <c r="M53" s="18"/>
    </row>
    <row r="54" spans="1:13" ht="17.25" customHeight="1">
      <c r="A54" s="6" t="str">
        <f t="shared" ref="A54:A55" si="10">D54&amp;E54</f>
        <v>C25</v>
      </c>
      <c r="B54" s="3">
        <v>42330</v>
      </c>
      <c r="C54" s="3">
        <v>42330</v>
      </c>
      <c r="D54" s="20"/>
      <c r="E54" s="20" t="s">
        <v>160</v>
      </c>
      <c r="F54" s="5" t="s">
        <v>72</v>
      </c>
      <c r="G54" s="106" t="s">
        <v>1260</v>
      </c>
      <c r="H54" s="5" t="s">
        <v>888</v>
      </c>
      <c r="I54" s="26" t="s">
        <v>94</v>
      </c>
      <c r="J54" s="19"/>
      <c r="K54" s="5">
        <v>806818</v>
      </c>
      <c r="L54" s="4">
        <f t="shared" si="0"/>
        <v>2543548658</v>
      </c>
      <c r="M54" s="18"/>
    </row>
    <row r="55" spans="1:13" ht="17.25" customHeight="1">
      <c r="A55" s="6" t="str">
        <f t="shared" si="10"/>
        <v>C25</v>
      </c>
      <c r="B55" s="3">
        <v>42330</v>
      </c>
      <c r="C55" s="3">
        <v>42330</v>
      </c>
      <c r="D55" s="20"/>
      <c r="E55" s="20" t="s">
        <v>160</v>
      </c>
      <c r="F55" s="5" t="s">
        <v>73</v>
      </c>
      <c r="G55" s="106" t="s">
        <v>1260</v>
      </c>
      <c r="H55" s="5" t="s">
        <v>888</v>
      </c>
      <c r="I55" s="26" t="s">
        <v>35</v>
      </c>
      <c r="J55" s="19"/>
      <c r="K55" s="5">
        <v>80682</v>
      </c>
      <c r="L55" s="4">
        <f t="shared" si="0"/>
        <v>2543467976</v>
      </c>
      <c r="M55" s="18"/>
    </row>
    <row r="56" spans="1:13" ht="17.25" customHeight="1">
      <c r="A56" s="6" t="str">
        <f t="shared" si="1"/>
        <v>C26</v>
      </c>
      <c r="B56" s="3">
        <v>42332</v>
      </c>
      <c r="C56" s="3">
        <v>42332</v>
      </c>
      <c r="D56" s="4"/>
      <c r="E56" s="20" t="s">
        <v>161</v>
      </c>
      <c r="F56" s="5" t="s">
        <v>535</v>
      </c>
      <c r="G56" s="105" t="s">
        <v>1261</v>
      </c>
      <c r="H56" s="5" t="s">
        <v>1262</v>
      </c>
      <c r="I56" s="26" t="s">
        <v>94</v>
      </c>
      <c r="J56" s="19"/>
      <c r="K56" s="5">
        <v>925455</v>
      </c>
      <c r="L56" s="4">
        <f t="shared" si="0"/>
        <v>2542542521</v>
      </c>
      <c r="M56" s="18"/>
    </row>
    <row r="57" spans="1:13" ht="17.25" customHeight="1">
      <c r="A57" s="6" t="str">
        <f t="shared" si="1"/>
        <v>C26</v>
      </c>
      <c r="B57" s="3">
        <v>42332</v>
      </c>
      <c r="C57" s="3">
        <v>42332</v>
      </c>
      <c r="D57" s="4"/>
      <c r="E57" s="20" t="s">
        <v>161</v>
      </c>
      <c r="F57" s="5" t="s">
        <v>536</v>
      </c>
      <c r="G57" s="105" t="s">
        <v>1261</v>
      </c>
      <c r="H57" s="5" t="s">
        <v>1262</v>
      </c>
      <c r="I57" s="26" t="s">
        <v>35</v>
      </c>
      <c r="J57" s="19"/>
      <c r="K57" s="5">
        <v>92545</v>
      </c>
      <c r="L57" s="4">
        <f t="shared" si="0"/>
        <v>2542449976</v>
      </c>
      <c r="M57" s="18"/>
    </row>
    <row r="58" spans="1:13" ht="17.25" customHeight="1">
      <c r="A58" s="6" t="str">
        <f t="shared" si="1"/>
        <v>C27</v>
      </c>
      <c r="B58" s="3">
        <v>42333</v>
      </c>
      <c r="C58" s="3">
        <v>42333</v>
      </c>
      <c r="D58" s="4"/>
      <c r="E58" s="20" t="s">
        <v>162</v>
      </c>
      <c r="F58" s="396" t="s">
        <v>332</v>
      </c>
      <c r="G58" s="396"/>
      <c r="H58" s="396" t="s">
        <v>333</v>
      </c>
      <c r="I58" s="398" t="s">
        <v>334</v>
      </c>
      <c r="J58" s="19"/>
      <c r="K58" s="5">
        <v>380000000</v>
      </c>
      <c r="L58" s="4">
        <f t="shared" si="0"/>
        <v>2162449976</v>
      </c>
      <c r="M58" s="18"/>
    </row>
    <row r="59" spans="1:13" ht="17.25" customHeight="1">
      <c r="A59" s="6" t="str">
        <f t="shared" si="1"/>
        <v>C28</v>
      </c>
      <c r="B59" s="3">
        <v>42334</v>
      </c>
      <c r="C59" s="3">
        <v>42334</v>
      </c>
      <c r="D59" s="4"/>
      <c r="E59" s="20" t="s">
        <v>163</v>
      </c>
      <c r="F59" s="396" t="s">
        <v>332</v>
      </c>
      <c r="G59" s="396"/>
      <c r="H59" s="396" t="s">
        <v>335</v>
      </c>
      <c r="I59" s="398" t="s">
        <v>334</v>
      </c>
      <c r="J59" s="19"/>
      <c r="K59" s="5">
        <v>500000000</v>
      </c>
      <c r="L59" s="4">
        <f t="shared" si="0"/>
        <v>1662449976</v>
      </c>
      <c r="M59" s="18"/>
    </row>
    <row r="60" spans="1:13" ht="17.25" customHeight="1">
      <c r="A60" s="6" t="str">
        <f t="shared" si="1"/>
        <v>C29</v>
      </c>
      <c r="B60" s="3">
        <v>42335</v>
      </c>
      <c r="C60" s="3">
        <v>42335</v>
      </c>
      <c r="D60" s="20"/>
      <c r="E60" s="20" t="s">
        <v>164</v>
      </c>
      <c r="F60" s="5" t="s">
        <v>72</v>
      </c>
      <c r="G60" s="106" t="s">
        <v>1263</v>
      </c>
      <c r="H60" s="5" t="s">
        <v>888</v>
      </c>
      <c r="I60" s="26" t="s">
        <v>94</v>
      </c>
      <c r="J60" s="19"/>
      <c r="K60" s="5">
        <v>435682</v>
      </c>
      <c r="L60" s="4">
        <f t="shared" si="0"/>
        <v>1662014294</v>
      </c>
      <c r="M60" s="18"/>
    </row>
    <row r="61" spans="1:13" ht="17.25" customHeight="1">
      <c r="A61" s="6" t="str">
        <f t="shared" si="1"/>
        <v>C29</v>
      </c>
      <c r="B61" s="3">
        <v>42335</v>
      </c>
      <c r="C61" s="3">
        <v>42335</v>
      </c>
      <c r="D61" s="20"/>
      <c r="E61" s="20" t="s">
        <v>164</v>
      </c>
      <c r="F61" s="5" t="s">
        <v>73</v>
      </c>
      <c r="G61" s="106" t="s">
        <v>1263</v>
      </c>
      <c r="H61" s="5" t="s">
        <v>888</v>
      </c>
      <c r="I61" s="26" t="s">
        <v>35</v>
      </c>
      <c r="J61" s="19"/>
      <c r="K61" s="5">
        <v>43568</v>
      </c>
      <c r="L61" s="4">
        <f t="shared" si="0"/>
        <v>1661970726</v>
      </c>
      <c r="M61" s="18"/>
    </row>
    <row r="62" spans="1:13" ht="17.25" customHeight="1">
      <c r="A62" s="6" t="str">
        <f t="shared" ref="A62" si="11">D62&amp;E62</f>
        <v>T03</v>
      </c>
      <c r="B62" s="3">
        <v>42336</v>
      </c>
      <c r="C62" s="3">
        <v>42336</v>
      </c>
      <c r="D62" s="20" t="s">
        <v>41</v>
      </c>
      <c r="E62" s="20"/>
      <c r="F62" s="5" t="s">
        <v>120</v>
      </c>
      <c r="G62" s="106"/>
      <c r="H62" s="5" t="s">
        <v>187</v>
      </c>
      <c r="I62" s="26" t="s">
        <v>36</v>
      </c>
      <c r="J62" s="19">
        <v>420000000</v>
      </c>
      <c r="K62" s="5"/>
      <c r="L62" s="4">
        <f t="shared" si="0"/>
        <v>2081970726</v>
      </c>
      <c r="M62" s="18"/>
    </row>
    <row r="63" spans="1:13" ht="17.25" customHeight="1">
      <c r="A63" s="6" t="str">
        <f t="shared" si="1"/>
        <v>C30</v>
      </c>
      <c r="B63" s="3">
        <v>42336</v>
      </c>
      <c r="C63" s="3">
        <v>42336</v>
      </c>
      <c r="D63" s="4"/>
      <c r="E63" s="20" t="s">
        <v>165</v>
      </c>
      <c r="F63" s="5" t="s">
        <v>1264</v>
      </c>
      <c r="G63" s="105" t="s">
        <v>963</v>
      </c>
      <c r="H63" s="5" t="s">
        <v>565</v>
      </c>
      <c r="I63" s="26" t="s">
        <v>94</v>
      </c>
      <c r="J63" s="19"/>
      <c r="K63" s="5">
        <v>15000000</v>
      </c>
      <c r="L63" s="4">
        <f t="shared" si="0"/>
        <v>2066970726</v>
      </c>
      <c r="M63" s="18"/>
    </row>
    <row r="64" spans="1:13" ht="17.25" customHeight="1">
      <c r="A64" s="6" t="str">
        <f t="shared" si="1"/>
        <v>C30</v>
      </c>
      <c r="B64" s="3">
        <v>42336</v>
      </c>
      <c r="C64" s="3">
        <v>42336</v>
      </c>
      <c r="D64" s="4"/>
      <c r="E64" s="20" t="s">
        <v>165</v>
      </c>
      <c r="F64" s="5" t="s">
        <v>1265</v>
      </c>
      <c r="G64" s="105" t="s">
        <v>963</v>
      </c>
      <c r="H64" s="5" t="s">
        <v>565</v>
      </c>
      <c r="I64" s="26" t="s">
        <v>35</v>
      </c>
      <c r="J64" s="19"/>
      <c r="K64" s="5">
        <v>1500000</v>
      </c>
      <c r="L64" s="4">
        <f t="shared" si="0"/>
        <v>2065470726</v>
      </c>
      <c r="M64" s="18"/>
    </row>
    <row r="65" spans="1:13" ht="17.25" customHeight="1">
      <c r="A65" s="6" t="str">
        <f t="shared" ref="A65:A66" si="12">D65&amp;E65</f>
        <v>C31</v>
      </c>
      <c r="B65" s="3">
        <v>42336</v>
      </c>
      <c r="C65" s="3">
        <v>42336</v>
      </c>
      <c r="D65" s="20"/>
      <c r="E65" s="20" t="s">
        <v>166</v>
      </c>
      <c r="F65" s="5" t="s">
        <v>72</v>
      </c>
      <c r="G65" s="106" t="s">
        <v>1266</v>
      </c>
      <c r="H65" s="5" t="s">
        <v>888</v>
      </c>
      <c r="I65" s="26" t="s">
        <v>94</v>
      </c>
      <c r="J65" s="19"/>
      <c r="K65" s="5">
        <v>597045</v>
      </c>
      <c r="L65" s="4">
        <f t="shared" si="0"/>
        <v>2064873681</v>
      </c>
      <c r="M65" s="18"/>
    </row>
    <row r="66" spans="1:13" ht="17.25" customHeight="1">
      <c r="A66" s="6" t="str">
        <f t="shared" si="12"/>
        <v>C31</v>
      </c>
      <c r="B66" s="3">
        <v>42336</v>
      </c>
      <c r="C66" s="3">
        <v>42336</v>
      </c>
      <c r="D66" s="20"/>
      <c r="E66" s="20" t="s">
        <v>166</v>
      </c>
      <c r="F66" s="5" t="s">
        <v>73</v>
      </c>
      <c r="G66" s="106" t="s">
        <v>1266</v>
      </c>
      <c r="H66" s="5" t="s">
        <v>888</v>
      </c>
      <c r="I66" s="26" t="s">
        <v>35</v>
      </c>
      <c r="J66" s="19"/>
      <c r="K66" s="5">
        <v>59705</v>
      </c>
      <c r="L66" s="4">
        <f t="shared" si="0"/>
        <v>2064813976</v>
      </c>
      <c r="M66" s="18"/>
    </row>
    <row r="67" spans="1:13" ht="17.25" customHeight="1">
      <c r="A67" s="6" t="str">
        <f t="shared" ref="A67:A68" si="13">D67&amp;E67</f>
        <v>C32</v>
      </c>
      <c r="B67" s="3">
        <v>42338</v>
      </c>
      <c r="C67" s="3">
        <v>42338</v>
      </c>
      <c r="D67" s="20"/>
      <c r="E67" s="20" t="s">
        <v>167</v>
      </c>
      <c r="F67" s="5" t="s">
        <v>72</v>
      </c>
      <c r="G67" s="106" t="s">
        <v>1267</v>
      </c>
      <c r="H67" s="5" t="s">
        <v>888</v>
      </c>
      <c r="I67" s="26" t="s">
        <v>94</v>
      </c>
      <c r="J67" s="19"/>
      <c r="K67" s="5">
        <v>903636</v>
      </c>
      <c r="L67" s="4">
        <f t="shared" si="0"/>
        <v>2063910340</v>
      </c>
      <c r="M67" s="18"/>
    </row>
    <row r="68" spans="1:13" ht="17.25" customHeight="1">
      <c r="A68" s="6" t="str">
        <f t="shared" si="13"/>
        <v>C32</v>
      </c>
      <c r="B68" s="3">
        <v>42338</v>
      </c>
      <c r="C68" s="3">
        <v>42338</v>
      </c>
      <c r="D68" s="20"/>
      <c r="E68" s="20" t="s">
        <v>167</v>
      </c>
      <c r="F68" s="5" t="s">
        <v>73</v>
      </c>
      <c r="G68" s="106" t="s">
        <v>1267</v>
      </c>
      <c r="H68" s="5" t="s">
        <v>888</v>
      </c>
      <c r="I68" s="26" t="s">
        <v>35</v>
      </c>
      <c r="J68" s="19"/>
      <c r="K68" s="5">
        <v>90364</v>
      </c>
      <c r="L68" s="4">
        <f t="shared" si="0"/>
        <v>2063819976</v>
      </c>
      <c r="M68" s="18"/>
    </row>
    <row r="69" spans="1:13" ht="17.25" customHeight="1">
      <c r="A69" s="6" t="str">
        <f t="shared" ref="A69" si="14">D69&amp;E69</f>
        <v>C33</v>
      </c>
      <c r="B69" s="3">
        <v>42338</v>
      </c>
      <c r="C69" s="3">
        <v>42338</v>
      </c>
      <c r="D69" s="20"/>
      <c r="E69" s="20" t="s">
        <v>168</v>
      </c>
      <c r="F69" s="5" t="s">
        <v>1272</v>
      </c>
      <c r="G69" s="106"/>
      <c r="H69" s="5" t="s">
        <v>260</v>
      </c>
      <c r="I69" s="26" t="s">
        <v>604</v>
      </c>
      <c r="J69" s="19"/>
      <c r="K69" s="5">
        <v>10000000</v>
      </c>
      <c r="L69" s="4">
        <f t="shared" si="0"/>
        <v>2053819976</v>
      </c>
      <c r="M69" s="18"/>
    </row>
    <row r="70" spans="1:13" ht="17.25" customHeight="1">
      <c r="A70" s="6" t="str">
        <f t="shared" ref="A70:A71" si="15">D70&amp;E70</f>
        <v>C34</v>
      </c>
      <c r="B70" s="3">
        <v>42338</v>
      </c>
      <c r="C70" s="3">
        <v>42338</v>
      </c>
      <c r="D70" s="20"/>
      <c r="E70" s="20" t="s">
        <v>169</v>
      </c>
      <c r="F70" s="5" t="s">
        <v>1002</v>
      </c>
      <c r="G70" s="106" t="s">
        <v>1281</v>
      </c>
      <c r="H70" s="5" t="s">
        <v>318</v>
      </c>
      <c r="I70" s="26" t="s">
        <v>94</v>
      </c>
      <c r="J70" s="19"/>
      <c r="K70" s="5">
        <v>287728</v>
      </c>
      <c r="L70" s="4">
        <f t="shared" si="0"/>
        <v>2053532248</v>
      </c>
      <c r="M70" s="18"/>
    </row>
    <row r="71" spans="1:13" ht="17.25" customHeight="1">
      <c r="A71" s="6" t="str">
        <f t="shared" si="15"/>
        <v>C34</v>
      </c>
      <c r="B71" s="3">
        <v>42338</v>
      </c>
      <c r="C71" s="3">
        <v>42338</v>
      </c>
      <c r="D71" s="20"/>
      <c r="E71" s="20" t="s">
        <v>169</v>
      </c>
      <c r="F71" s="5" t="s">
        <v>1003</v>
      </c>
      <c r="G71" s="106" t="s">
        <v>1281</v>
      </c>
      <c r="H71" s="5" t="s">
        <v>318</v>
      </c>
      <c r="I71" s="26" t="s">
        <v>35</v>
      </c>
      <c r="J71" s="19"/>
      <c r="K71" s="5">
        <v>28773</v>
      </c>
      <c r="L71" s="4">
        <f t="shared" si="0"/>
        <v>2053503475</v>
      </c>
      <c r="M71" s="18"/>
    </row>
    <row r="72" spans="1:13" ht="17.25" customHeight="1">
      <c r="A72" s="6" t="str">
        <f t="shared" ref="A72:A73" si="16">D72&amp;E72</f>
        <v>C35</v>
      </c>
      <c r="B72" s="3">
        <v>42338</v>
      </c>
      <c r="C72" s="3">
        <v>42338</v>
      </c>
      <c r="D72" s="20"/>
      <c r="E72" s="20" t="s">
        <v>170</v>
      </c>
      <c r="F72" s="5" t="s">
        <v>1279</v>
      </c>
      <c r="G72" s="106"/>
      <c r="H72" s="5" t="s">
        <v>501</v>
      </c>
      <c r="I72" s="26" t="s">
        <v>94</v>
      </c>
      <c r="J72" s="19"/>
      <c r="K72" s="5">
        <v>1945455</v>
      </c>
      <c r="L72" s="4">
        <f t="shared" si="0"/>
        <v>2051558020</v>
      </c>
      <c r="M72" s="18"/>
    </row>
    <row r="73" spans="1:13" ht="17.25" customHeight="1">
      <c r="A73" s="6" t="str">
        <f t="shared" si="16"/>
        <v>C35</v>
      </c>
      <c r="B73" s="3">
        <v>42338</v>
      </c>
      <c r="C73" s="3">
        <v>42338</v>
      </c>
      <c r="D73" s="20"/>
      <c r="E73" s="20" t="s">
        <v>170</v>
      </c>
      <c r="F73" s="5" t="s">
        <v>1280</v>
      </c>
      <c r="G73" s="106"/>
      <c r="H73" s="5" t="s">
        <v>501</v>
      </c>
      <c r="I73" s="26" t="s">
        <v>35</v>
      </c>
      <c r="J73" s="19"/>
      <c r="K73" s="5">
        <v>194545</v>
      </c>
      <c r="L73" s="4">
        <f t="shared" si="0"/>
        <v>2051363475</v>
      </c>
      <c r="M73" s="18"/>
    </row>
    <row r="74" spans="1:13" ht="17.25" customHeight="1">
      <c r="A74" s="6" t="str">
        <f t="shared" si="1"/>
        <v>C36</v>
      </c>
      <c r="B74" s="3">
        <v>42338</v>
      </c>
      <c r="C74" s="3">
        <v>42338</v>
      </c>
      <c r="D74" s="4"/>
      <c r="E74" s="20" t="s">
        <v>171</v>
      </c>
      <c r="F74" s="374" t="s">
        <v>1268</v>
      </c>
      <c r="G74" s="43"/>
      <c r="H74" s="5" t="s">
        <v>261</v>
      </c>
      <c r="I74" s="26" t="s">
        <v>37</v>
      </c>
      <c r="J74" s="19"/>
      <c r="K74" s="5">
        <v>131074330</v>
      </c>
      <c r="L74" s="4">
        <f t="shared" si="0"/>
        <v>1920289145</v>
      </c>
      <c r="M74" s="18"/>
    </row>
    <row r="75" spans="1:13" ht="17.25" customHeight="1">
      <c r="A75" s="6" t="str">
        <f t="shared" ref="A75" si="17">D75&amp;E75</f>
        <v/>
      </c>
      <c r="B75" s="3"/>
      <c r="C75" s="3"/>
      <c r="D75" s="20"/>
      <c r="E75" s="20"/>
      <c r="F75" s="5"/>
      <c r="G75" s="5"/>
      <c r="H75" s="5"/>
      <c r="I75" s="26"/>
      <c r="J75" s="19"/>
      <c r="K75" s="5"/>
      <c r="L75" s="4"/>
      <c r="M75" s="18"/>
    </row>
    <row r="76" spans="1:13" s="34" customFormat="1" ht="17.25" customHeight="1">
      <c r="B76" s="32"/>
      <c r="C76" s="32"/>
      <c r="D76" s="32"/>
      <c r="E76" s="32"/>
      <c r="F76" s="32" t="s">
        <v>29</v>
      </c>
      <c r="G76" s="32"/>
      <c r="H76" s="32"/>
      <c r="I76" s="33" t="s">
        <v>30</v>
      </c>
      <c r="J76" s="32">
        <f>SUM(J13:J74)</f>
        <v>3640000000</v>
      </c>
      <c r="K76" s="32">
        <f>SUM(K13:K74)</f>
        <v>3649224777</v>
      </c>
      <c r="L76" s="33" t="s">
        <v>30</v>
      </c>
      <c r="M76" s="33" t="s">
        <v>30</v>
      </c>
    </row>
    <row r="77" spans="1:13" s="34" customFormat="1" ht="17.25" customHeight="1">
      <c r="B77" s="35"/>
      <c r="C77" s="35"/>
      <c r="D77" s="35"/>
      <c r="E77" s="35"/>
      <c r="F77" s="35" t="s">
        <v>31</v>
      </c>
      <c r="G77" s="35"/>
      <c r="H77" s="35"/>
      <c r="I77" s="36" t="s">
        <v>30</v>
      </c>
      <c r="J77" s="36" t="s">
        <v>30</v>
      </c>
      <c r="K77" s="36" t="s">
        <v>30</v>
      </c>
      <c r="L77" s="35">
        <f>L12+J76-K76</f>
        <v>1920289145</v>
      </c>
      <c r="M77" s="36" t="s">
        <v>30</v>
      </c>
    </row>
    <row r="79" spans="1:13">
      <c r="B79" s="25" t="s">
        <v>47</v>
      </c>
    </row>
    <row r="80" spans="1:13">
      <c r="B80" s="25" t="s">
        <v>1210</v>
      </c>
    </row>
    <row r="81" spans="3:19">
      <c r="L81" s="8" t="s">
        <v>1207</v>
      </c>
    </row>
    <row r="82" spans="3:19" s="7" customFormat="1" ht="14.25">
      <c r="C82" s="7" t="s">
        <v>33</v>
      </c>
      <c r="F82" s="7" t="s">
        <v>13</v>
      </c>
      <c r="L82" s="7" t="s">
        <v>14</v>
      </c>
    </row>
    <row r="83" spans="3:19" s="2" customFormat="1">
      <c r="C83" s="2" t="s">
        <v>15</v>
      </c>
      <c r="F83" s="2" t="s">
        <v>15</v>
      </c>
      <c r="L83" s="2" t="s">
        <v>16</v>
      </c>
    </row>
    <row r="89" spans="3:19" s="419" customFormat="1">
      <c r="C89" s="420" t="s">
        <v>1388</v>
      </c>
      <c r="L89" s="420" t="s">
        <v>1389</v>
      </c>
      <c r="O89" s="6"/>
      <c r="P89" s="6"/>
      <c r="Q89" s="6"/>
      <c r="R89" s="6"/>
      <c r="S89" s="6"/>
    </row>
  </sheetData>
  <autoFilter ref="A11:M77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G22:H22 G31:H31 G38:H38 G41:H41 G44:H45 G52:H52 G58:H59">
    <cfRule type="expression" dxfId="1" priority="4" stopIfTrue="1">
      <formula>$C22&lt;&gt;""</formula>
    </cfRule>
  </conditionalFormatting>
  <printOptions horizontalCentered="1"/>
  <pageMargins left="0.9" right="0.2" top="0.3" bottom="0.3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indexed="31"/>
  </sheetPr>
  <dimension ref="A1:S135"/>
  <sheetViews>
    <sheetView topLeftCell="B8" zoomScale="90" workbookViewId="0">
      <pane ySplit="5" topLeftCell="A121" activePane="bottomLeft" state="frozen"/>
      <selection activeCell="B8" sqref="B8"/>
      <selection pane="bottomLeft" activeCell="F140" sqref="F140"/>
    </sheetView>
  </sheetViews>
  <sheetFormatPr defaultRowHeight="15"/>
  <cols>
    <col min="1" max="1" width="4.7109375" style="6" hidden="1" customWidth="1"/>
    <col min="2" max="3" width="9" style="6" customWidth="1"/>
    <col min="4" max="5" width="6.5703125" style="6" customWidth="1"/>
    <col min="6" max="6" width="37" style="6" customWidth="1"/>
    <col min="7" max="7" width="10.140625" style="6" hidden="1" customWidth="1"/>
    <col min="8" max="8" width="23.42578125" style="6" hidden="1" customWidth="1"/>
    <col min="9" max="9" width="7.140625" style="6" customWidth="1"/>
    <col min="10" max="11" width="16.28515625" style="6" customWidth="1"/>
    <col min="12" max="12" width="15.28515625" style="6" customWidth="1"/>
    <col min="13" max="13" width="6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60" t="s">
        <v>132</v>
      </c>
      <c r="K1" s="460"/>
      <c r="L1" s="460"/>
      <c r="M1" s="460"/>
    </row>
    <row r="2" spans="1:13" s="11" customFormat="1" ht="16.5" customHeight="1">
      <c r="B2" s="1" t="s">
        <v>49</v>
      </c>
      <c r="C2" s="340"/>
      <c r="D2" s="340"/>
      <c r="E2" s="340"/>
      <c r="F2" s="340"/>
      <c r="G2" s="340"/>
      <c r="H2" s="340"/>
      <c r="J2" s="461" t="s">
        <v>133</v>
      </c>
      <c r="K2" s="461"/>
      <c r="L2" s="461"/>
      <c r="M2" s="461"/>
    </row>
    <row r="3" spans="1:13" s="11" customFormat="1" ht="16.5" customHeight="1">
      <c r="B3" s="9"/>
      <c r="C3" s="340"/>
      <c r="D3" s="14"/>
      <c r="E3" s="14"/>
      <c r="F3" s="340"/>
      <c r="G3" s="340"/>
      <c r="H3" s="340"/>
      <c r="J3" s="461"/>
      <c r="K3" s="461"/>
      <c r="L3" s="461"/>
      <c r="M3" s="461"/>
    </row>
    <row r="4" spans="1:13" s="11" customFormat="1" ht="6.75" customHeight="1">
      <c r="B4" s="340"/>
      <c r="C4" s="340"/>
      <c r="D4" s="340"/>
      <c r="E4" s="340"/>
      <c r="F4" s="340"/>
      <c r="G4" s="340"/>
      <c r="H4" s="340"/>
      <c r="J4" s="341"/>
      <c r="K4" s="341"/>
      <c r="L4" s="341"/>
      <c r="M4" s="341"/>
    </row>
    <row r="5" spans="1:13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</row>
    <row r="6" spans="1:13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</row>
    <row r="7" spans="1:13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</row>
    <row r="8" spans="1:13">
      <c r="B8" s="15"/>
      <c r="L8" s="15" t="s">
        <v>19</v>
      </c>
    </row>
    <row r="9" spans="1:13" ht="34.5" customHeight="1">
      <c r="B9" s="464" t="s">
        <v>20</v>
      </c>
      <c r="C9" s="464" t="s">
        <v>21</v>
      </c>
      <c r="D9" s="463" t="s">
        <v>2</v>
      </c>
      <c r="E9" s="463"/>
      <c r="F9" s="463" t="s">
        <v>3</v>
      </c>
      <c r="G9" s="464" t="s">
        <v>134</v>
      </c>
      <c r="H9" s="464" t="s">
        <v>135</v>
      </c>
      <c r="I9" s="464" t="s">
        <v>22</v>
      </c>
      <c r="J9" s="463" t="s">
        <v>23</v>
      </c>
      <c r="K9" s="463"/>
      <c r="L9" s="463" t="s">
        <v>24</v>
      </c>
      <c r="M9" s="463" t="s">
        <v>4</v>
      </c>
    </row>
    <row r="10" spans="1:13" ht="20.25" customHeight="1">
      <c r="B10" s="465"/>
      <c r="C10" s="465"/>
      <c r="D10" s="342" t="s">
        <v>5</v>
      </c>
      <c r="E10" s="342" t="s">
        <v>6</v>
      </c>
      <c r="F10" s="463"/>
      <c r="G10" s="465"/>
      <c r="H10" s="465"/>
      <c r="I10" s="465"/>
      <c r="J10" s="342" t="s">
        <v>25</v>
      </c>
      <c r="K10" s="342" t="s">
        <v>26</v>
      </c>
      <c r="L10" s="463"/>
      <c r="M10" s="46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9.5" customHeight="1">
      <c r="B12" s="326"/>
      <c r="C12" s="326"/>
      <c r="D12" s="326"/>
      <c r="E12" s="326"/>
      <c r="F12" s="326" t="s">
        <v>28</v>
      </c>
      <c r="G12" s="326"/>
      <c r="H12" s="326"/>
      <c r="I12" s="327"/>
      <c r="J12" s="37"/>
      <c r="K12" s="326"/>
      <c r="L12" s="37">
        <f>'11'!L77</f>
        <v>1920289145</v>
      </c>
      <c r="M12" s="326"/>
    </row>
    <row r="13" spans="1:13" ht="19.5" customHeight="1">
      <c r="A13" s="6" t="str">
        <f t="shared" ref="A13:A76" si="0">D13&amp;E13</f>
        <v>T01</v>
      </c>
      <c r="B13" s="3">
        <v>42339</v>
      </c>
      <c r="C13" s="3">
        <v>42339</v>
      </c>
      <c r="D13" s="4" t="s">
        <v>39</v>
      </c>
      <c r="E13" s="20"/>
      <c r="F13" s="5" t="s">
        <v>120</v>
      </c>
      <c r="G13" s="105"/>
      <c r="H13" s="5" t="s">
        <v>187</v>
      </c>
      <c r="I13" s="26" t="s">
        <v>36</v>
      </c>
      <c r="J13" s="19">
        <v>2000000000</v>
      </c>
      <c r="K13" s="19"/>
      <c r="L13" s="4">
        <f t="shared" ref="L13:L76" si="1">IF(F13&lt;&gt;"",L12+J13-K13,0)</f>
        <v>3920289145</v>
      </c>
      <c r="M13" s="18"/>
    </row>
    <row r="14" spans="1:13" ht="19.5" customHeight="1">
      <c r="A14" s="6" t="str">
        <f t="shared" si="0"/>
        <v>C01</v>
      </c>
      <c r="B14" s="3">
        <v>42339</v>
      </c>
      <c r="C14" s="3">
        <v>42339</v>
      </c>
      <c r="D14" s="4"/>
      <c r="E14" s="20" t="s">
        <v>136</v>
      </c>
      <c r="F14" s="5" t="s">
        <v>1325</v>
      </c>
      <c r="G14" s="105"/>
      <c r="H14" s="5" t="s">
        <v>187</v>
      </c>
      <c r="I14" s="26" t="s">
        <v>36</v>
      </c>
      <c r="J14" s="19"/>
      <c r="K14" s="19">
        <v>50000000</v>
      </c>
      <c r="L14" s="4">
        <f t="shared" si="1"/>
        <v>3870289145</v>
      </c>
      <c r="M14" s="18"/>
    </row>
    <row r="15" spans="1:13" ht="19.5" customHeight="1">
      <c r="A15" s="6" t="str">
        <f t="shared" si="0"/>
        <v>C02</v>
      </c>
      <c r="B15" s="3">
        <v>42339</v>
      </c>
      <c r="C15" s="3">
        <v>42339</v>
      </c>
      <c r="D15" s="4"/>
      <c r="E15" s="20" t="s">
        <v>137</v>
      </c>
      <c r="F15" s="5" t="s">
        <v>1325</v>
      </c>
      <c r="G15" s="105"/>
      <c r="H15" s="5" t="s">
        <v>187</v>
      </c>
      <c r="I15" s="26" t="s">
        <v>36</v>
      </c>
      <c r="J15" s="19"/>
      <c r="K15" s="19">
        <v>1725000000</v>
      </c>
      <c r="L15" s="4">
        <f t="shared" si="1"/>
        <v>2145289145</v>
      </c>
      <c r="M15" s="18"/>
    </row>
    <row r="16" spans="1:13" ht="19.5" customHeight="1">
      <c r="A16" s="6" t="str">
        <f t="shared" si="0"/>
        <v>C03</v>
      </c>
      <c r="B16" s="3">
        <v>42339</v>
      </c>
      <c r="C16" s="3">
        <v>42339</v>
      </c>
      <c r="D16" s="4"/>
      <c r="E16" s="20" t="s">
        <v>138</v>
      </c>
      <c r="F16" s="5" t="s">
        <v>1326</v>
      </c>
      <c r="G16" s="105"/>
      <c r="H16" s="5" t="s">
        <v>187</v>
      </c>
      <c r="I16" s="26" t="s">
        <v>36</v>
      </c>
      <c r="J16" s="19"/>
      <c r="K16" s="19">
        <v>400000000</v>
      </c>
      <c r="L16" s="4">
        <f t="shared" si="1"/>
        <v>1745289145</v>
      </c>
      <c r="M16" s="18"/>
    </row>
    <row r="17" spans="1:13" ht="19.5" customHeight="1">
      <c r="A17" s="6" t="str">
        <f t="shared" si="0"/>
        <v>C04</v>
      </c>
      <c r="B17" s="3">
        <v>42339</v>
      </c>
      <c r="C17" s="3">
        <v>42305</v>
      </c>
      <c r="D17" s="4"/>
      <c r="E17" s="20" t="s">
        <v>139</v>
      </c>
      <c r="F17" s="5" t="s">
        <v>1283</v>
      </c>
      <c r="G17" s="105" t="s">
        <v>1284</v>
      </c>
      <c r="H17" s="5" t="s">
        <v>1285</v>
      </c>
      <c r="I17" s="26" t="s">
        <v>94</v>
      </c>
      <c r="J17" s="19"/>
      <c r="K17" s="19">
        <v>17389450</v>
      </c>
      <c r="L17" s="4">
        <f t="shared" si="1"/>
        <v>1727899695</v>
      </c>
      <c r="M17" s="18"/>
    </row>
    <row r="18" spans="1:13" ht="19.5" customHeight="1">
      <c r="A18" s="6" t="str">
        <f t="shared" si="0"/>
        <v>C04</v>
      </c>
      <c r="B18" s="3">
        <v>42339</v>
      </c>
      <c r="C18" s="3">
        <v>42305</v>
      </c>
      <c r="D18" s="4"/>
      <c r="E18" s="20" t="s">
        <v>139</v>
      </c>
      <c r="F18" s="5" t="s">
        <v>1286</v>
      </c>
      <c r="G18" s="105" t="s">
        <v>1284</v>
      </c>
      <c r="H18" s="5" t="s">
        <v>1285</v>
      </c>
      <c r="I18" s="26" t="s">
        <v>35</v>
      </c>
      <c r="J18" s="19"/>
      <c r="K18" s="19">
        <v>1070945</v>
      </c>
      <c r="L18" s="4">
        <f t="shared" si="1"/>
        <v>1726828750</v>
      </c>
      <c r="M18" s="18"/>
    </row>
    <row r="19" spans="1:13" ht="19.5" customHeight="1">
      <c r="A19" s="6" t="str">
        <f t="shared" si="0"/>
        <v>C05</v>
      </c>
      <c r="B19" s="3">
        <v>42339</v>
      </c>
      <c r="C19" s="3">
        <v>42336</v>
      </c>
      <c r="D19" s="4"/>
      <c r="E19" s="20" t="s">
        <v>140</v>
      </c>
      <c r="F19" s="5" t="s">
        <v>45</v>
      </c>
      <c r="G19" s="105" t="s">
        <v>1287</v>
      </c>
      <c r="H19" s="5" t="s">
        <v>349</v>
      </c>
      <c r="I19" s="26" t="s">
        <v>94</v>
      </c>
      <c r="J19" s="19"/>
      <c r="K19" s="19">
        <v>11100000</v>
      </c>
      <c r="L19" s="4">
        <f t="shared" si="1"/>
        <v>1715728750</v>
      </c>
      <c r="M19" s="18"/>
    </row>
    <row r="20" spans="1:13" ht="19.5" customHeight="1">
      <c r="A20" s="6" t="str">
        <f t="shared" si="0"/>
        <v>C05</v>
      </c>
      <c r="B20" s="3">
        <v>42339</v>
      </c>
      <c r="C20" s="3">
        <v>42336</v>
      </c>
      <c r="D20" s="4"/>
      <c r="E20" s="20" t="s">
        <v>140</v>
      </c>
      <c r="F20" s="5" t="s">
        <v>46</v>
      </c>
      <c r="G20" s="105" t="s">
        <v>1287</v>
      </c>
      <c r="H20" s="5" t="s">
        <v>349</v>
      </c>
      <c r="I20" s="26" t="s">
        <v>35</v>
      </c>
      <c r="J20" s="19"/>
      <c r="K20" s="19">
        <v>1110000</v>
      </c>
      <c r="L20" s="4">
        <f t="shared" si="1"/>
        <v>1714618750</v>
      </c>
      <c r="M20" s="18"/>
    </row>
    <row r="21" spans="1:13" ht="19.5" customHeight="1">
      <c r="A21" s="6" t="str">
        <f t="shared" si="0"/>
        <v>C06</v>
      </c>
      <c r="B21" s="3">
        <v>42339</v>
      </c>
      <c r="C21" s="3">
        <v>42338</v>
      </c>
      <c r="D21" s="4"/>
      <c r="E21" s="20" t="s">
        <v>141</v>
      </c>
      <c r="F21" s="5" t="s">
        <v>1288</v>
      </c>
      <c r="G21" s="105" t="s">
        <v>1289</v>
      </c>
      <c r="H21" s="5" t="s">
        <v>1290</v>
      </c>
      <c r="I21" s="26" t="s">
        <v>94</v>
      </c>
      <c r="J21" s="19"/>
      <c r="K21" s="19">
        <v>10845900</v>
      </c>
      <c r="L21" s="4">
        <f t="shared" si="1"/>
        <v>1703772850</v>
      </c>
      <c r="M21" s="18"/>
    </row>
    <row r="22" spans="1:13" ht="19.5" customHeight="1">
      <c r="A22" s="6" t="str">
        <f t="shared" si="0"/>
        <v>C06</v>
      </c>
      <c r="B22" s="3">
        <v>42339</v>
      </c>
      <c r="C22" s="3">
        <v>42338</v>
      </c>
      <c r="D22" s="4"/>
      <c r="E22" s="20" t="s">
        <v>141</v>
      </c>
      <c r="F22" s="5" t="s">
        <v>1420</v>
      </c>
      <c r="G22" s="105" t="s">
        <v>1289</v>
      </c>
      <c r="H22" s="5" t="s">
        <v>1290</v>
      </c>
      <c r="I22" s="26" t="s">
        <v>35</v>
      </c>
      <c r="J22" s="19"/>
      <c r="K22" s="19">
        <v>1017000</v>
      </c>
      <c r="L22" s="4">
        <f t="shared" si="1"/>
        <v>1702755850</v>
      </c>
      <c r="M22" s="18"/>
    </row>
    <row r="23" spans="1:13" ht="19.5" customHeight="1">
      <c r="A23" s="6" t="str">
        <f t="shared" si="0"/>
        <v>C07</v>
      </c>
      <c r="B23" s="3">
        <v>42339</v>
      </c>
      <c r="C23" s="3">
        <v>42338</v>
      </c>
      <c r="D23" s="4"/>
      <c r="E23" s="20" t="s">
        <v>142</v>
      </c>
      <c r="F23" s="5" t="s">
        <v>1292</v>
      </c>
      <c r="G23" s="105" t="s">
        <v>1293</v>
      </c>
      <c r="H23" s="5" t="s">
        <v>192</v>
      </c>
      <c r="I23" s="26" t="s">
        <v>94</v>
      </c>
      <c r="J23" s="19"/>
      <c r="K23" s="19">
        <v>2904682</v>
      </c>
      <c r="L23" s="4">
        <f t="shared" si="1"/>
        <v>1699851168</v>
      </c>
      <c r="M23" s="18"/>
    </row>
    <row r="24" spans="1:13" ht="19.5" customHeight="1">
      <c r="A24" s="6" t="str">
        <f t="shared" si="0"/>
        <v>C07</v>
      </c>
      <c r="B24" s="3">
        <v>42339</v>
      </c>
      <c r="C24" s="3">
        <v>42338</v>
      </c>
      <c r="D24" s="4"/>
      <c r="E24" s="20" t="s">
        <v>142</v>
      </c>
      <c r="F24" s="5" t="s">
        <v>693</v>
      </c>
      <c r="G24" s="105" t="s">
        <v>1293</v>
      </c>
      <c r="H24" s="5" t="s">
        <v>192</v>
      </c>
      <c r="I24" s="26" t="s">
        <v>35</v>
      </c>
      <c r="J24" s="19"/>
      <c r="K24" s="19">
        <v>290468</v>
      </c>
      <c r="L24" s="4">
        <f t="shared" si="1"/>
        <v>1699560700</v>
      </c>
      <c r="M24" s="18"/>
    </row>
    <row r="25" spans="1:13" ht="19.5" customHeight="1">
      <c r="A25" s="6" t="str">
        <f t="shared" si="0"/>
        <v>C08</v>
      </c>
      <c r="B25" s="3">
        <v>42339</v>
      </c>
      <c r="C25" s="3">
        <v>42338</v>
      </c>
      <c r="D25" s="4"/>
      <c r="E25" s="20" t="s">
        <v>143</v>
      </c>
      <c r="F25" s="5" t="s">
        <v>1294</v>
      </c>
      <c r="G25" s="105" t="s">
        <v>1296</v>
      </c>
      <c r="H25" s="5" t="s">
        <v>1297</v>
      </c>
      <c r="I25" s="26" t="s">
        <v>94</v>
      </c>
      <c r="J25" s="19"/>
      <c r="K25" s="19">
        <v>2149306</v>
      </c>
      <c r="L25" s="4">
        <f t="shared" si="1"/>
        <v>1697411394</v>
      </c>
      <c r="M25" s="18"/>
    </row>
    <row r="26" spans="1:13" ht="19.5" customHeight="1">
      <c r="A26" s="6" t="str">
        <f t="shared" si="0"/>
        <v>C08</v>
      </c>
      <c r="B26" s="3">
        <v>42339</v>
      </c>
      <c r="C26" s="3">
        <v>42338</v>
      </c>
      <c r="D26" s="4"/>
      <c r="E26" s="20" t="s">
        <v>143</v>
      </c>
      <c r="F26" s="5" t="s">
        <v>1295</v>
      </c>
      <c r="G26" s="105" t="s">
        <v>1296</v>
      </c>
      <c r="H26" s="5" t="s">
        <v>1297</v>
      </c>
      <c r="I26" s="26" t="s">
        <v>35</v>
      </c>
      <c r="J26" s="19"/>
      <c r="K26" s="19">
        <v>214931</v>
      </c>
      <c r="L26" s="4">
        <f t="shared" si="1"/>
        <v>1697196463</v>
      </c>
      <c r="M26" s="18"/>
    </row>
    <row r="27" spans="1:13" ht="19.5" customHeight="1">
      <c r="A27" s="6" t="str">
        <f t="shared" si="0"/>
        <v>C09</v>
      </c>
      <c r="B27" s="3">
        <v>42339</v>
      </c>
      <c r="C27" s="3">
        <v>42339</v>
      </c>
      <c r="D27" s="4"/>
      <c r="E27" s="20" t="s">
        <v>144</v>
      </c>
      <c r="F27" s="396" t="s">
        <v>332</v>
      </c>
      <c r="G27" s="396"/>
      <c r="H27" s="396" t="s">
        <v>335</v>
      </c>
      <c r="I27" s="26" t="s">
        <v>334</v>
      </c>
      <c r="J27" s="19"/>
      <c r="K27" s="19">
        <v>370000000</v>
      </c>
      <c r="L27" s="4">
        <f t="shared" si="1"/>
        <v>1327196463</v>
      </c>
      <c r="M27" s="18"/>
    </row>
    <row r="28" spans="1:13" ht="19.5" customHeight="1">
      <c r="A28" s="6" t="str">
        <f t="shared" si="0"/>
        <v>C10</v>
      </c>
      <c r="B28" s="3">
        <v>42339</v>
      </c>
      <c r="C28" s="3">
        <v>42339</v>
      </c>
      <c r="D28" s="4"/>
      <c r="E28" s="20" t="s">
        <v>145</v>
      </c>
      <c r="F28" s="396" t="s">
        <v>332</v>
      </c>
      <c r="G28" s="396"/>
      <c r="H28" s="396" t="s">
        <v>333</v>
      </c>
      <c r="I28" s="26" t="s">
        <v>334</v>
      </c>
      <c r="J28" s="19"/>
      <c r="K28" s="19">
        <v>350000000</v>
      </c>
      <c r="L28" s="4">
        <f t="shared" si="1"/>
        <v>977196463</v>
      </c>
      <c r="M28" s="18"/>
    </row>
    <row r="29" spans="1:13" ht="19.5" customHeight="1">
      <c r="A29" s="6" t="str">
        <f t="shared" si="0"/>
        <v>T02</v>
      </c>
      <c r="B29" s="3">
        <v>42340</v>
      </c>
      <c r="C29" s="3">
        <v>42340</v>
      </c>
      <c r="D29" s="4" t="s">
        <v>40</v>
      </c>
      <c r="E29" s="20"/>
      <c r="F29" s="5" t="s">
        <v>119</v>
      </c>
      <c r="G29" s="105"/>
      <c r="H29" s="5" t="s">
        <v>187</v>
      </c>
      <c r="I29" s="26" t="s">
        <v>36</v>
      </c>
      <c r="J29" s="19">
        <v>1600000000</v>
      </c>
      <c r="K29" s="19"/>
      <c r="L29" s="4">
        <f t="shared" si="1"/>
        <v>2577196463</v>
      </c>
      <c r="M29" s="18"/>
    </row>
    <row r="30" spans="1:13" ht="19.5" customHeight="1">
      <c r="A30" s="6" t="str">
        <f t="shared" si="0"/>
        <v>C11</v>
      </c>
      <c r="B30" s="3">
        <v>42340</v>
      </c>
      <c r="C30" s="3">
        <v>42340</v>
      </c>
      <c r="D30" s="4"/>
      <c r="E30" s="20" t="s">
        <v>146</v>
      </c>
      <c r="F30" s="5" t="s">
        <v>1326</v>
      </c>
      <c r="G30" s="105"/>
      <c r="H30" s="5" t="s">
        <v>187</v>
      </c>
      <c r="I30" s="26" t="s">
        <v>36</v>
      </c>
      <c r="J30" s="19"/>
      <c r="K30" s="19">
        <v>930000000</v>
      </c>
      <c r="L30" s="4">
        <f t="shared" si="1"/>
        <v>1647196463</v>
      </c>
      <c r="M30" s="18"/>
    </row>
    <row r="31" spans="1:13" ht="19.5" customHeight="1">
      <c r="A31" s="6" t="str">
        <f t="shared" si="0"/>
        <v>C12</v>
      </c>
      <c r="B31" s="3">
        <v>42340</v>
      </c>
      <c r="C31" s="3">
        <v>42338</v>
      </c>
      <c r="D31" s="4"/>
      <c r="E31" s="20" t="s">
        <v>147</v>
      </c>
      <c r="F31" s="5" t="s">
        <v>1283</v>
      </c>
      <c r="G31" s="105" t="s">
        <v>1291</v>
      </c>
      <c r="H31" s="5" t="s">
        <v>1285</v>
      </c>
      <c r="I31" s="26" t="s">
        <v>94</v>
      </c>
      <c r="J31" s="19"/>
      <c r="K31" s="19">
        <v>16262050</v>
      </c>
      <c r="L31" s="4">
        <f t="shared" si="1"/>
        <v>1630934413</v>
      </c>
      <c r="M31" s="18"/>
    </row>
    <row r="32" spans="1:13" ht="19.5" customHeight="1">
      <c r="A32" s="6" t="str">
        <f t="shared" si="0"/>
        <v>C12</v>
      </c>
      <c r="B32" s="3">
        <v>42340</v>
      </c>
      <c r="C32" s="3">
        <v>42338</v>
      </c>
      <c r="D32" s="4"/>
      <c r="E32" s="20" t="s">
        <v>147</v>
      </c>
      <c r="F32" s="5" t="s">
        <v>1286</v>
      </c>
      <c r="G32" s="105" t="s">
        <v>1291</v>
      </c>
      <c r="H32" s="5" t="s">
        <v>1285</v>
      </c>
      <c r="I32" s="26" t="s">
        <v>35</v>
      </c>
      <c r="J32" s="19"/>
      <c r="K32" s="19">
        <v>988205</v>
      </c>
      <c r="L32" s="4">
        <f t="shared" si="1"/>
        <v>1629946208</v>
      </c>
      <c r="M32" s="18"/>
    </row>
    <row r="33" spans="1:13" ht="19.5" customHeight="1">
      <c r="A33" s="6" t="str">
        <f t="shared" si="0"/>
        <v>C13</v>
      </c>
      <c r="B33" s="3">
        <v>42340</v>
      </c>
      <c r="C33" s="3">
        <v>42340</v>
      </c>
      <c r="D33" s="4"/>
      <c r="E33" s="20" t="s">
        <v>148</v>
      </c>
      <c r="F33" s="5" t="s">
        <v>1143</v>
      </c>
      <c r="G33" s="105" t="s">
        <v>1298</v>
      </c>
      <c r="H33" s="5" t="s">
        <v>1299</v>
      </c>
      <c r="I33" s="26" t="s">
        <v>94</v>
      </c>
      <c r="J33" s="19"/>
      <c r="K33" s="19">
        <v>806818</v>
      </c>
      <c r="L33" s="4">
        <f t="shared" si="1"/>
        <v>1629139390</v>
      </c>
      <c r="M33" s="18"/>
    </row>
    <row r="34" spans="1:13" ht="19.5" customHeight="1">
      <c r="A34" s="6" t="str">
        <f t="shared" si="0"/>
        <v>C13</v>
      </c>
      <c r="B34" s="3">
        <v>42340</v>
      </c>
      <c r="C34" s="3">
        <v>42340</v>
      </c>
      <c r="D34" s="4"/>
      <c r="E34" s="20" t="s">
        <v>148</v>
      </c>
      <c r="F34" s="5" t="s">
        <v>1146</v>
      </c>
      <c r="G34" s="105" t="s">
        <v>1298</v>
      </c>
      <c r="H34" s="5" t="s">
        <v>1299</v>
      </c>
      <c r="I34" s="26" t="s">
        <v>35</v>
      </c>
      <c r="J34" s="19"/>
      <c r="K34" s="19">
        <v>80682</v>
      </c>
      <c r="L34" s="4">
        <f t="shared" si="1"/>
        <v>1629058708</v>
      </c>
      <c r="M34" s="18"/>
    </row>
    <row r="35" spans="1:13" ht="19.5" customHeight="1">
      <c r="A35" s="6" t="str">
        <f t="shared" si="0"/>
        <v>C14</v>
      </c>
      <c r="B35" s="3">
        <v>42340</v>
      </c>
      <c r="C35" s="3">
        <v>42340</v>
      </c>
      <c r="D35" s="4"/>
      <c r="E35" s="20" t="s">
        <v>149</v>
      </c>
      <c r="F35" s="5" t="s">
        <v>1070</v>
      </c>
      <c r="G35" s="105" t="s">
        <v>1300</v>
      </c>
      <c r="H35" s="5" t="s">
        <v>1301</v>
      </c>
      <c r="I35" s="26" t="s">
        <v>94</v>
      </c>
      <c r="J35" s="19"/>
      <c r="K35" s="19">
        <v>354533</v>
      </c>
      <c r="L35" s="4">
        <f t="shared" si="1"/>
        <v>1628704175</v>
      </c>
      <c r="M35" s="18"/>
    </row>
    <row r="36" spans="1:13" ht="19.5" customHeight="1">
      <c r="A36" s="6" t="str">
        <f t="shared" si="0"/>
        <v>C14</v>
      </c>
      <c r="B36" s="3">
        <v>42340</v>
      </c>
      <c r="C36" s="3">
        <v>42340</v>
      </c>
      <c r="D36" s="4"/>
      <c r="E36" s="20" t="s">
        <v>149</v>
      </c>
      <c r="F36" s="5" t="s">
        <v>1073</v>
      </c>
      <c r="G36" s="105" t="s">
        <v>1300</v>
      </c>
      <c r="H36" s="5" t="s">
        <v>1301</v>
      </c>
      <c r="I36" s="26" t="s">
        <v>35</v>
      </c>
      <c r="J36" s="19"/>
      <c r="K36" s="19">
        <v>35453</v>
      </c>
      <c r="L36" s="4">
        <f t="shared" si="1"/>
        <v>1628668722</v>
      </c>
      <c r="M36" s="18"/>
    </row>
    <row r="37" spans="1:13" ht="19.5" customHeight="1">
      <c r="A37" s="6" t="str">
        <f t="shared" si="0"/>
        <v>C15</v>
      </c>
      <c r="B37" s="3">
        <v>42341</v>
      </c>
      <c r="C37" s="3">
        <v>42341</v>
      </c>
      <c r="D37" s="4"/>
      <c r="E37" s="20" t="s">
        <v>150</v>
      </c>
      <c r="F37" s="5" t="s">
        <v>1347</v>
      </c>
      <c r="G37" s="105" t="s">
        <v>1324</v>
      </c>
      <c r="H37" s="5" t="s">
        <v>1018</v>
      </c>
      <c r="I37" s="26" t="s">
        <v>34</v>
      </c>
      <c r="J37" s="19"/>
      <c r="K37" s="19">
        <v>10987996</v>
      </c>
      <c r="L37" s="4">
        <f t="shared" si="1"/>
        <v>1617680726</v>
      </c>
      <c r="M37" s="18"/>
    </row>
    <row r="38" spans="1:13" ht="19.5" customHeight="1">
      <c r="A38" s="6" t="str">
        <f t="shared" si="0"/>
        <v>T03</v>
      </c>
      <c r="B38" s="3">
        <v>42341</v>
      </c>
      <c r="C38" s="3">
        <v>42341</v>
      </c>
      <c r="D38" s="4" t="s">
        <v>41</v>
      </c>
      <c r="E38" s="20"/>
      <c r="F38" s="5" t="s">
        <v>120</v>
      </c>
      <c r="G38" s="105"/>
      <c r="H38" s="5" t="s">
        <v>187</v>
      </c>
      <c r="I38" s="26" t="s">
        <v>36</v>
      </c>
      <c r="J38" s="19">
        <v>300000000</v>
      </c>
      <c r="K38" s="19"/>
      <c r="L38" s="4">
        <f t="shared" si="1"/>
        <v>1917680726</v>
      </c>
      <c r="M38" s="18"/>
    </row>
    <row r="39" spans="1:13" ht="19.5" customHeight="1">
      <c r="A39" s="6" t="str">
        <f t="shared" si="0"/>
        <v>C16</v>
      </c>
      <c r="B39" s="3">
        <v>42341</v>
      </c>
      <c r="C39" s="3">
        <v>42341</v>
      </c>
      <c r="D39" s="4"/>
      <c r="E39" s="20" t="s">
        <v>151</v>
      </c>
      <c r="F39" s="5" t="s">
        <v>756</v>
      </c>
      <c r="G39" s="105" t="s">
        <v>1327</v>
      </c>
      <c r="H39" s="5" t="s">
        <v>192</v>
      </c>
      <c r="I39" s="26" t="s">
        <v>94</v>
      </c>
      <c r="J39" s="19"/>
      <c r="K39" s="19">
        <v>201500</v>
      </c>
      <c r="L39" s="4">
        <f t="shared" si="1"/>
        <v>1917479226</v>
      </c>
      <c r="M39" s="18"/>
    </row>
    <row r="40" spans="1:13" ht="19.5" customHeight="1">
      <c r="A40" s="6" t="str">
        <f t="shared" si="0"/>
        <v>C16</v>
      </c>
      <c r="B40" s="3">
        <v>42341</v>
      </c>
      <c r="C40" s="3">
        <v>42341</v>
      </c>
      <c r="D40" s="4"/>
      <c r="E40" s="20" t="s">
        <v>151</v>
      </c>
      <c r="F40" s="5" t="s">
        <v>1067</v>
      </c>
      <c r="G40" s="105" t="s">
        <v>1327</v>
      </c>
      <c r="H40" s="5" t="s">
        <v>192</v>
      </c>
      <c r="I40" s="26" t="s">
        <v>35</v>
      </c>
      <c r="J40" s="19"/>
      <c r="K40" s="19">
        <v>20150</v>
      </c>
      <c r="L40" s="4">
        <f t="shared" si="1"/>
        <v>1917459076</v>
      </c>
      <c r="M40" s="18"/>
    </row>
    <row r="41" spans="1:13" ht="19.5" customHeight="1">
      <c r="A41" s="6" t="str">
        <f t="shared" si="0"/>
        <v>C17</v>
      </c>
      <c r="B41" s="3">
        <v>42342</v>
      </c>
      <c r="C41" s="3">
        <v>42342</v>
      </c>
      <c r="D41" s="4"/>
      <c r="E41" s="20" t="s">
        <v>152</v>
      </c>
      <c r="F41" s="5" t="s">
        <v>288</v>
      </c>
      <c r="G41" s="105" t="s">
        <v>1302</v>
      </c>
      <c r="H41" s="5" t="s">
        <v>290</v>
      </c>
      <c r="I41" s="26" t="s">
        <v>34</v>
      </c>
      <c r="J41" s="19"/>
      <c r="K41" s="19">
        <v>5610000</v>
      </c>
      <c r="L41" s="4">
        <f t="shared" si="1"/>
        <v>1911849076</v>
      </c>
      <c r="M41" s="18"/>
    </row>
    <row r="42" spans="1:13" ht="19.5" customHeight="1">
      <c r="A42" s="6" t="str">
        <f t="shared" si="0"/>
        <v>C18</v>
      </c>
      <c r="B42" s="3">
        <v>42343</v>
      </c>
      <c r="C42" s="3">
        <v>42343</v>
      </c>
      <c r="D42" s="4"/>
      <c r="E42" s="20" t="s">
        <v>153</v>
      </c>
      <c r="F42" s="5" t="s">
        <v>1143</v>
      </c>
      <c r="G42" s="105" t="s">
        <v>1303</v>
      </c>
      <c r="H42" s="5" t="s">
        <v>1299</v>
      </c>
      <c r="I42" s="26" t="s">
        <v>94</v>
      </c>
      <c r="J42" s="19"/>
      <c r="K42" s="19">
        <v>906300</v>
      </c>
      <c r="L42" s="4">
        <f t="shared" si="1"/>
        <v>1910942776</v>
      </c>
      <c r="M42" s="18"/>
    </row>
    <row r="43" spans="1:13" ht="19.5" customHeight="1">
      <c r="A43" s="6" t="str">
        <f t="shared" si="0"/>
        <v>C18</v>
      </c>
      <c r="B43" s="3">
        <v>42343</v>
      </c>
      <c r="C43" s="3">
        <v>42343</v>
      </c>
      <c r="D43" s="4"/>
      <c r="E43" s="20" t="s">
        <v>153</v>
      </c>
      <c r="F43" s="5" t="s">
        <v>1146</v>
      </c>
      <c r="G43" s="105" t="s">
        <v>1303</v>
      </c>
      <c r="H43" s="5" t="s">
        <v>1299</v>
      </c>
      <c r="I43" s="26" t="s">
        <v>35</v>
      </c>
      <c r="J43" s="19"/>
      <c r="K43" s="19">
        <v>90630</v>
      </c>
      <c r="L43" s="4">
        <f t="shared" si="1"/>
        <v>1910852146</v>
      </c>
      <c r="M43" s="18"/>
    </row>
    <row r="44" spans="1:13" ht="19.5" customHeight="1">
      <c r="A44" s="6" t="str">
        <f t="shared" si="0"/>
        <v>C19</v>
      </c>
      <c r="B44" s="3">
        <v>42343</v>
      </c>
      <c r="C44" s="3">
        <v>42343</v>
      </c>
      <c r="D44" s="4"/>
      <c r="E44" s="20" t="s">
        <v>154</v>
      </c>
      <c r="F44" s="396" t="s">
        <v>332</v>
      </c>
      <c r="G44" s="396"/>
      <c r="H44" s="396" t="s">
        <v>335</v>
      </c>
      <c r="I44" s="26" t="s">
        <v>334</v>
      </c>
      <c r="J44" s="19"/>
      <c r="K44" s="19">
        <v>570000000</v>
      </c>
      <c r="L44" s="4">
        <f t="shared" si="1"/>
        <v>1340852146</v>
      </c>
      <c r="M44" s="18"/>
    </row>
    <row r="45" spans="1:13" ht="19.5" customHeight="1">
      <c r="A45" s="6" t="str">
        <f t="shared" si="0"/>
        <v>C20</v>
      </c>
      <c r="B45" s="3">
        <v>42344</v>
      </c>
      <c r="C45" s="3">
        <v>42344</v>
      </c>
      <c r="D45" s="4"/>
      <c r="E45" s="20" t="s">
        <v>155</v>
      </c>
      <c r="F45" s="396" t="s">
        <v>332</v>
      </c>
      <c r="G45" s="396"/>
      <c r="H45" s="396" t="s">
        <v>333</v>
      </c>
      <c r="I45" s="26" t="s">
        <v>334</v>
      </c>
      <c r="J45" s="19"/>
      <c r="K45" s="19">
        <v>180000000</v>
      </c>
      <c r="L45" s="4">
        <f t="shared" si="1"/>
        <v>1160852146</v>
      </c>
      <c r="M45" s="18"/>
    </row>
    <row r="46" spans="1:13" ht="19.5" customHeight="1">
      <c r="A46" s="6" t="str">
        <f t="shared" si="0"/>
        <v>T04</v>
      </c>
      <c r="B46" s="3">
        <v>42345</v>
      </c>
      <c r="C46" s="3">
        <v>42345</v>
      </c>
      <c r="D46" s="4" t="s">
        <v>42</v>
      </c>
      <c r="E46" s="20"/>
      <c r="F46" s="5" t="s">
        <v>120</v>
      </c>
      <c r="G46" s="105"/>
      <c r="H46" s="5" t="s">
        <v>187</v>
      </c>
      <c r="I46" s="26" t="s">
        <v>36</v>
      </c>
      <c r="J46" s="19">
        <v>160000000</v>
      </c>
      <c r="K46" s="19"/>
      <c r="L46" s="4">
        <f t="shared" si="1"/>
        <v>1320852146</v>
      </c>
      <c r="M46" s="18"/>
    </row>
    <row r="47" spans="1:13" ht="19.5" customHeight="1">
      <c r="A47" s="6" t="str">
        <f t="shared" si="0"/>
        <v>C21</v>
      </c>
      <c r="B47" s="3">
        <v>42345</v>
      </c>
      <c r="C47" s="3">
        <v>42345</v>
      </c>
      <c r="D47" s="4"/>
      <c r="E47" s="20" t="s">
        <v>156</v>
      </c>
      <c r="F47" s="5" t="s">
        <v>1304</v>
      </c>
      <c r="G47" s="105" t="s">
        <v>1305</v>
      </c>
      <c r="H47" s="5" t="s">
        <v>1306</v>
      </c>
      <c r="I47" s="26" t="s">
        <v>94</v>
      </c>
      <c r="J47" s="19"/>
      <c r="K47" s="19">
        <v>1000000</v>
      </c>
      <c r="L47" s="4">
        <f t="shared" si="1"/>
        <v>1319852146</v>
      </c>
      <c r="M47" s="18"/>
    </row>
    <row r="48" spans="1:13" ht="19.5" customHeight="1">
      <c r="A48" s="6" t="str">
        <f t="shared" si="0"/>
        <v>C21</v>
      </c>
      <c r="B48" s="3">
        <v>42345</v>
      </c>
      <c r="C48" s="3">
        <v>42345</v>
      </c>
      <c r="D48" s="4"/>
      <c r="E48" s="20" t="s">
        <v>156</v>
      </c>
      <c r="F48" s="5" t="s">
        <v>1307</v>
      </c>
      <c r="G48" s="105" t="s">
        <v>1305</v>
      </c>
      <c r="H48" s="5" t="s">
        <v>1306</v>
      </c>
      <c r="I48" s="26" t="s">
        <v>35</v>
      </c>
      <c r="J48" s="19"/>
      <c r="K48" s="19">
        <v>100000</v>
      </c>
      <c r="L48" s="4">
        <f t="shared" si="1"/>
        <v>1319752146</v>
      </c>
      <c r="M48" s="18"/>
    </row>
    <row r="49" spans="1:13" ht="19.5" customHeight="1">
      <c r="A49" s="6" t="str">
        <f t="shared" si="0"/>
        <v>C22</v>
      </c>
      <c r="B49" s="3">
        <v>42345</v>
      </c>
      <c r="C49" s="3">
        <v>42345</v>
      </c>
      <c r="D49" s="4"/>
      <c r="E49" s="20" t="s">
        <v>157</v>
      </c>
      <c r="F49" s="5" t="s">
        <v>1308</v>
      </c>
      <c r="G49" s="105" t="s">
        <v>1310</v>
      </c>
      <c r="H49" s="5" t="s">
        <v>1311</v>
      </c>
      <c r="I49" s="26" t="s">
        <v>94</v>
      </c>
      <c r="J49" s="19"/>
      <c r="K49" s="19">
        <v>600000</v>
      </c>
      <c r="L49" s="4">
        <f t="shared" si="1"/>
        <v>1319152146</v>
      </c>
      <c r="M49" s="18"/>
    </row>
    <row r="50" spans="1:13" ht="19.5" customHeight="1">
      <c r="A50" s="6" t="str">
        <f t="shared" si="0"/>
        <v>C22</v>
      </c>
      <c r="B50" s="3">
        <v>42345</v>
      </c>
      <c r="C50" s="3">
        <v>42345</v>
      </c>
      <c r="D50" s="4"/>
      <c r="E50" s="20" t="s">
        <v>157</v>
      </c>
      <c r="F50" s="5" t="s">
        <v>1309</v>
      </c>
      <c r="G50" s="105" t="s">
        <v>1310</v>
      </c>
      <c r="H50" s="5" t="s">
        <v>1311</v>
      </c>
      <c r="I50" s="26" t="s">
        <v>35</v>
      </c>
      <c r="J50" s="19"/>
      <c r="K50" s="19">
        <v>60000</v>
      </c>
      <c r="L50" s="4">
        <f t="shared" si="1"/>
        <v>1319092146</v>
      </c>
      <c r="M50" s="18"/>
    </row>
    <row r="51" spans="1:13" ht="19.5" customHeight="1">
      <c r="A51" s="6" t="str">
        <f t="shared" si="0"/>
        <v>C23</v>
      </c>
      <c r="B51" s="3">
        <v>42345</v>
      </c>
      <c r="C51" s="3">
        <v>42345</v>
      </c>
      <c r="D51" s="4"/>
      <c r="E51" s="20" t="s">
        <v>158</v>
      </c>
      <c r="F51" s="5" t="s">
        <v>1312</v>
      </c>
      <c r="G51" s="105" t="s">
        <v>1314</v>
      </c>
      <c r="H51" s="5" t="s">
        <v>1311</v>
      </c>
      <c r="I51" s="26" t="s">
        <v>94</v>
      </c>
      <c r="J51" s="19"/>
      <c r="K51" s="19">
        <v>1375000</v>
      </c>
      <c r="L51" s="4">
        <f t="shared" si="1"/>
        <v>1317717146</v>
      </c>
      <c r="M51" s="18"/>
    </row>
    <row r="52" spans="1:13" ht="19.5" customHeight="1">
      <c r="A52" s="6" t="str">
        <f t="shared" si="0"/>
        <v>C23</v>
      </c>
      <c r="B52" s="3">
        <v>42345</v>
      </c>
      <c r="C52" s="3">
        <v>42345</v>
      </c>
      <c r="D52" s="4"/>
      <c r="E52" s="20" t="s">
        <v>158</v>
      </c>
      <c r="F52" s="5" t="s">
        <v>1313</v>
      </c>
      <c r="G52" s="105" t="s">
        <v>1314</v>
      </c>
      <c r="H52" s="5" t="s">
        <v>1311</v>
      </c>
      <c r="I52" s="26" t="s">
        <v>35</v>
      </c>
      <c r="J52" s="19"/>
      <c r="K52" s="19">
        <v>137500</v>
      </c>
      <c r="L52" s="4">
        <f t="shared" si="1"/>
        <v>1317579646</v>
      </c>
      <c r="M52" s="18"/>
    </row>
    <row r="53" spans="1:13" ht="19.5" customHeight="1">
      <c r="A53" s="6" t="str">
        <f t="shared" si="0"/>
        <v>T05</v>
      </c>
      <c r="B53" s="3">
        <v>42347</v>
      </c>
      <c r="C53" s="3">
        <v>42347</v>
      </c>
      <c r="D53" s="4" t="s">
        <v>43</v>
      </c>
      <c r="E53" s="20"/>
      <c r="F53" s="5" t="s">
        <v>119</v>
      </c>
      <c r="G53" s="105"/>
      <c r="H53" s="5" t="s">
        <v>187</v>
      </c>
      <c r="I53" s="26" t="s">
        <v>36</v>
      </c>
      <c r="J53" s="19">
        <v>1390000000</v>
      </c>
      <c r="K53" s="19"/>
      <c r="L53" s="4">
        <f t="shared" si="1"/>
        <v>2707579646</v>
      </c>
      <c r="M53" s="18"/>
    </row>
    <row r="54" spans="1:13" ht="19.5" customHeight="1">
      <c r="A54" s="6" t="str">
        <f t="shared" si="0"/>
        <v>C24</v>
      </c>
      <c r="B54" s="3">
        <v>42347</v>
      </c>
      <c r="C54" s="3">
        <v>42347</v>
      </c>
      <c r="D54" s="4"/>
      <c r="E54" s="20" t="s">
        <v>159</v>
      </c>
      <c r="F54" s="5" t="s">
        <v>1325</v>
      </c>
      <c r="G54" s="105"/>
      <c r="H54" s="5" t="s">
        <v>187</v>
      </c>
      <c r="I54" s="26" t="s">
        <v>36</v>
      </c>
      <c r="J54" s="19"/>
      <c r="K54" s="19">
        <v>480000000</v>
      </c>
      <c r="L54" s="4">
        <f t="shared" si="1"/>
        <v>2227579646</v>
      </c>
      <c r="M54" s="18"/>
    </row>
    <row r="55" spans="1:13" ht="19.5" customHeight="1">
      <c r="A55" s="6" t="str">
        <f t="shared" si="0"/>
        <v>C25</v>
      </c>
      <c r="B55" s="3">
        <v>42347</v>
      </c>
      <c r="C55" s="3">
        <v>42347</v>
      </c>
      <c r="D55" s="4"/>
      <c r="E55" s="20" t="s">
        <v>160</v>
      </c>
      <c r="F55" s="5" t="s">
        <v>1143</v>
      </c>
      <c r="G55" s="105" t="s">
        <v>1315</v>
      </c>
      <c r="H55" s="5" t="s">
        <v>1299</v>
      </c>
      <c r="I55" s="26" t="s">
        <v>94</v>
      </c>
      <c r="J55" s="19"/>
      <c r="K55" s="19">
        <v>747300</v>
      </c>
      <c r="L55" s="4">
        <f t="shared" si="1"/>
        <v>2226832346</v>
      </c>
      <c r="M55" s="18"/>
    </row>
    <row r="56" spans="1:13" ht="19.5" customHeight="1">
      <c r="A56" s="6" t="str">
        <f t="shared" si="0"/>
        <v>C25</v>
      </c>
      <c r="B56" s="3">
        <v>42347</v>
      </c>
      <c r="C56" s="3">
        <v>42347</v>
      </c>
      <c r="D56" s="4"/>
      <c r="E56" s="20" t="s">
        <v>160</v>
      </c>
      <c r="F56" s="5" t="s">
        <v>1146</v>
      </c>
      <c r="G56" s="105" t="s">
        <v>1315</v>
      </c>
      <c r="H56" s="5" t="s">
        <v>1299</v>
      </c>
      <c r="I56" s="26" t="s">
        <v>35</v>
      </c>
      <c r="J56" s="19"/>
      <c r="K56" s="19">
        <v>74730</v>
      </c>
      <c r="L56" s="4">
        <f t="shared" si="1"/>
        <v>2226757616</v>
      </c>
      <c r="M56" s="18"/>
    </row>
    <row r="57" spans="1:13" ht="19.5" customHeight="1">
      <c r="A57" s="6" t="str">
        <f t="shared" si="0"/>
        <v>C26</v>
      </c>
      <c r="B57" s="3">
        <v>42348</v>
      </c>
      <c r="C57" s="3">
        <v>42348</v>
      </c>
      <c r="D57" s="4"/>
      <c r="E57" s="20" t="s">
        <v>161</v>
      </c>
      <c r="F57" s="5" t="s">
        <v>1328</v>
      </c>
      <c r="G57" s="105" t="s">
        <v>1329</v>
      </c>
      <c r="H57" s="5" t="s">
        <v>1330</v>
      </c>
      <c r="I57" s="26" t="s">
        <v>94</v>
      </c>
      <c r="J57" s="19"/>
      <c r="K57" s="19">
        <v>9740250</v>
      </c>
      <c r="L57" s="4">
        <f t="shared" si="1"/>
        <v>2217017366</v>
      </c>
      <c r="M57" s="18"/>
    </row>
    <row r="58" spans="1:13" ht="19.5" customHeight="1">
      <c r="A58" s="6" t="str">
        <f t="shared" si="0"/>
        <v>C26</v>
      </c>
      <c r="B58" s="3">
        <v>42348</v>
      </c>
      <c r="C58" s="3">
        <v>42348</v>
      </c>
      <c r="D58" s="4"/>
      <c r="E58" s="20" t="s">
        <v>161</v>
      </c>
      <c r="F58" s="5" t="s">
        <v>1401</v>
      </c>
      <c r="G58" s="105" t="s">
        <v>1329</v>
      </c>
      <c r="H58" s="5" t="s">
        <v>1330</v>
      </c>
      <c r="I58" s="26" t="s">
        <v>35</v>
      </c>
      <c r="J58" s="19"/>
      <c r="K58" s="19">
        <v>974025</v>
      </c>
      <c r="L58" s="4">
        <f t="shared" si="1"/>
        <v>2216043341</v>
      </c>
      <c r="M58" s="18"/>
    </row>
    <row r="59" spans="1:13" ht="19.5" customHeight="1">
      <c r="A59" s="6" t="str">
        <f t="shared" si="0"/>
        <v>T06</v>
      </c>
      <c r="B59" s="3">
        <v>42349</v>
      </c>
      <c r="C59" s="3">
        <v>42349</v>
      </c>
      <c r="D59" s="4" t="s">
        <v>44</v>
      </c>
      <c r="E59" s="20"/>
      <c r="F59" s="5" t="s">
        <v>119</v>
      </c>
      <c r="G59" s="105"/>
      <c r="H59" s="5" t="s">
        <v>187</v>
      </c>
      <c r="I59" s="26" t="s">
        <v>36</v>
      </c>
      <c r="J59" s="19">
        <v>745000000</v>
      </c>
      <c r="K59" s="19"/>
      <c r="L59" s="4">
        <f t="shared" si="1"/>
        <v>2961043341</v>
      </c>
      <c r="M59" s="18"/>
    </row>
    <row r="60" spans="1:13" ht="19.5" customHeight="1">
      <c r="A60" s="6" t="str">
        <f t="shared" si="0"/>
        <v>C27</v>
      </c>
      <c r="B60" s="3">
        <v>42349</v>
      </c>
      <c r="C60" s="3">
        <v>42349</v>
      </c>
      <c r="D60" s="4"/>
      <c r="E60" s="20" t="s">
        <v>162</v>
      </c>
      <c r="F60" s="5" t="s">
        <v>1326</v>
      </c>
      <c r="G60" s="105"/>
      <c r="H60" s="5" t="s">
        <v>187</v>
      </c>
      <c r="I60" s="26" t="s">
        <v>36</v>
      </c>
      <c r="J60" s="19"/>
      <c r="K60" s="19">
        <v>150000000</v>
      </c>
      <c r="L60" s="4">
        <f t="shared" si="1"/>
        <v>2811043341</v>
      </c>
      <c r="M60" s="18"/>
    </row>
    <row r="61" spans="1:13" ht="19.5" customHeight="1">
      <c r="A61" s="6" t="str">
        <f t="shared" si="0"/>
        <v>C28</v>
      </c>
      <c r="B61" s="3">
        <v>42349</v>
      </c>
      <c r="C61" s="3">
        <v>42349</v>
      </c>
      <c r="D61" s="4"/>
      <c r="E61" s="20" t="s">
        <v>163</v>
      </c>
      <c r="F61" s="5" t="s">
        <v>1070</v>
      </c>
      <c r="G61" s="105" t="s">
        <v>1316</v>
      </c>
      <c r="H61" s="5" t="s">
        <v>1301</v>
      </c>
      <c r="I61" s="26" t="s">
        <v>94</v>
      </c>
      <c r="J61" s="19"/>
      <c r="K61" s="19">
        <v>709065</v>
      </c>
      <c r="L61" s="4">
        <f t="shared" si="1"/>
        <v>2810334276</v>
      </c>
      <c r="M61" s="18"/>
    </row>
    <row r="62" spans="1:13" ht="19.5" customHeight="1">
      <c r="A62" s="6" t="str">
        <f t="shared" si="0"/>
        <v>C28</v>
      </c>
      <c r="B62" s="3">
        <v>42349</v>
      </c>
      <c r="C62" s="3">
        <v>42349</v>
      </c>
      <c r="D62" s="4"/>
      <c r="E62" s="20" t="s">
        <v>163</v>
      </c>
      <c r="F62" s="5" t="s">
        <v>1073</v>
      </c>
      <c r="G62" s="105" t="s">
        <v>1316</v>
      </c>
      <c r="H62" s="5" t="s">
        <v>1301</v>
      </c>
      <c r="I62" s="26" t="s">
        <v>35</v>
      </c>
      <c r="J62" s="19"/>
      <c r="K62" s="19">
        <v>70907</v>
      </c>
      <c r="L62" s="4">
        <f t="shared" si="1"/>
        <v>2810263369</v>
      </c>
      <c r="M62" s="18"/>
    </row>
    <row r="63" spans="1:13" ht="19.5" customHeight="1">
      <c r="A63" s="6" t="str">
        <f t="shared" si="0"/>
        <v>C29</v>
      </c>
      <c r="B63" s="3">
        <v>42349</v>
      </c>
      <c r="C63" s="3">
        <v>42349</v>
      </c>
      <c r="D63" s="4"/>
      <c r="E63" s="20" t="s">
        <v>164</v>
      </c>
      <c r="F63" s="5" t="s">
        <v>783</v>
      </c>
      <c r="G63" s="105" t="s">
        <v>1317</v>
      </c>
      <c r="H63" s="5" t="s">
        <v>769</v>
      </c>
      <c r="I63" s="26" t="s">
        <v>94</v>
      </c>
      <c r="J63" s="19"/>
      <c r="K63" s="19">
        <v>1545455</v>
      </c>
      <c r="L63" s="4">
        <f t="shared" si="1"/>
        <v>2808717914</v>
      </c>
      <c r="M63" s="18"/>
    </row>
    <row r="64" spans="1:13" ht="19.5" customHeight="1">
      <c r="A64" s="6" t="str">
        <f t="shared" si="0"/>
        <v>C29</v>
      </c>
      <c r="B64" s="3">
        <v>42349</v>
      </c>
      <c r="C64" s="3">
        <v>42349</v>
      </c>
      <c r="D64" s="4"/>
      <c r="E64" s="20" t="s">
        <v>164</v>
      </c>
      <c r="F64" s="5" t="s">
        <v>784</v>
      </c>
      <c r="G64" s="105" t="s">
        <v>1317</v>
      </c>
      <c r="H64" s="5" t="s">
        <v>769</v>
      </c>
      <c r="I64" s="26" t="s">
        <v>35</v>
      </c>
      <c r="J64" s="19"/>
      <c r="K64" s="19">
        <v>154545</v>
      </c>
      <c r="L64" s="4">
        <f t="shared" si="1"/>
        <v>2808563369</v>
      </c>
      <c r="M64" s="18"/>
    </row>
    <row r="65" spans="1:13" ht="19.5" customHeight="1">
      <c r="A65" s="6" t="str">
        <f t="shared" si="0"/>
        <v>C30</v>
      </c>
      <c r="B65" s="3">
        <v>42350</v>
      </c>
      <c r="C65" s="3">
        <v>42350</v>
      </c>
      <c r="D65" s="4"/>
      <c r="E65" s="20" t="s">
        <v>165</v>
      </c>
      <c r="F65" s="396" t="s">
        <v>332</v>
      </c>
      <c r="G65" s="396"/>
      <c r="H65" s="396" t="s">
        <v>335</v>
      </c>
      <c r="I65" s="26" t="s">
        <v>334</v>
      </c>
      <c r="J65" s="19"/>
      <c r="K65" s="19">
        <v>390000000</v>
      </c>
      <c r="L65" s="4">
        <f t="shared" si="1"/>
        <v>2418563369</v>
      </c>
      <c r="M65" s="18"/>
    </row>
    <row r="66" spans="1:13" ht="19.5" customHeight="1">
      <c r="A66" s="6" t="str">
        <f t="shared" si="0"/>
        <v>C31</v>
      </c>
      <c r="B66" s="3">
        <v>42351</v>
      </c>
      <c r="C66" s="3">
        <v>42351</v>
      </c>
      <c r="D66" s="4"/>
      <c r="E66" s="20" t="s">
        <v>166</v>
      </c>
      <c r="F66" s="5" t="s">
        <v>1143</v>
      </c>
      <c r="G66" s="105" t="s">
        <v>1318</v>
      </c>
      <c r="H66" s="5" t="s">
        <v>1299</v>
      </c>
      <c r="I66" s="26" t="s">
        <v>94</v>
      </c>
      <c r="J66" s="19"/>
      <c r="K66" s="19">
        <v>858600</v>
      </c>
      <c r="L66" s="4">
        <f t="shared" si="1"/>
        <v>2417704769</v>
      </c>
      <c r="M66" s="18"/>
    </row>
    <row r="67" spans="1:13" ht="19.5" customHeight="1">
      <c r="A67" s="6" t="str">
        <f t="shared" si="0"/>
        <v>C31</v>
      </c>
      <c r="B67" s="3">
        <v>42351</v>
      </c>
      <c r="C67" s="3">
        <v>42351</v>
      </c>
      <c r="D67" s="4"/>
      <c r="E67" s="20" t="s">
        <v>166</v>
      </c>
      <c r="F67" s="5" t="s">
        <v>1146</v>
      </c>
      <c r="G67" s="105" t="s">
        <v>1318</v>
      </c>
      <c r="H67" s="5" t="s">
        <v>1299</v>
      </c>
      <c r="I67" s="26" t="s">
        <v>35</v>
      </c>
      <c r="J67" s="19"/>
      <c r="K67" s="19">
        <v>85860</v>
      </c>
      <c r="L67" s="4">
        <f t="shared" si="1"/>
        <v>2417618909</v>
      </c>
      <c r="M67" s="18"/>
    </row>
    <row r="68" spans="1:13" ht="19.5" customHeight="1">
      <c r="A68" s="6" t="str">
        <f t="shared" si="0"/>
        <v>C32</v>
      </c>
      <c r="B68" s="3">
        <v>42352</v>
      </c>
      <c r="C68" s="3">
        <v>42352</v>
      </c>
      <c r="D68" s="4"/>
      <c r="E68" s="20" t="s">
        <v>167</v>
      </c>
      <c r="F68" s="28" t="s">
        <v>53</v>
      </c>
      <c r="G68" s="106" t="s">
        <v>1319</v>
      </c>
      <c r="H68" s="5" t="s">
        <v>1299</v>
      </c>
      <c r="I68" s="26" t="s">
        <v>54</v>
      </c>
      <c r="J68" s="19"/>
      <c r="K68" s="19">
        <v>637445</v>
      </c>
      <c r="L68" s="4">
        <f t="shared" si="1"/>
        <v>2416981464</v>
      </c>
      <c r="M68" s="18"/>
    </row>
    <row r="69" spans="1:13" ht="19.5" customHeight="1">
      <c r="A69" s="6" t="str">
        <f t="shared" si="0"/>
        <v>C32</v>
      </c>
      <c r="B69" s="3">
        <v>42352</v>
      </c>
      <c r="C69" s="3">
        <v>42352</v>
      </c>
      <c r="D69" s="4"/>
      <c r="E69" s="20" t="s">
        <v>167</v>
      </c>
      <c r="F69" s="28" t="s">
        <v>902</v>
      </c>
      <c r="G69" s="106" t="s">
        <v>1319</v>
      </c>
      <c r="H69" s="5" t="s">
        <v>1299</v>
      </c>
      <c r="I69" s="26" t="s">
        <v>35</v>
      </c>
      <c r="J69" s="19"/>
      <c r="K69" s="19">
        <v>63745</v>
      </c>
      <c r="L69" s="4">
        <f t="shared" si="1"/>
        <v>2416917719</v>
      </c>
      <c r="M69" s="18"/>
    </row>
    <row r="70" spans="1:13" ht="19.5" customHeight="1">
      <c r="A70" s="6" t="str">
        <f t="shared" si="0"/>
        <v>C33</v>
      </c>
      <c r="B70" s="3">
        <v>42353</v>
      </c>
      <c r="C70" s="3">
        <v>42353</v>
      </c>
      <c r="D70" s="4"/>
      <c r="E70" s="20" t="s">
        <v>168</v>
      </c>
      <c r="F70" s="28" t="s">
        <v>1292</v>
      </c>
      <c r="G70" s="106" t="s">
        <v>1331</v>
      </c>
      <c r="H70" s="5" t="s">
        <v>192</v>
      </c>
      <c r="I70" s="26" t="s">
        <v>94</v>
      </c>
      <c r="J70" s="19"/>
      <c r="K70" s="19">
        <v>1614845</v>
      </c>
      <c r="L70" s="4">
        <f t="shared" si="1"/>
        <v>2415302874</v>
      </c>
      <c r="M70" s="18"/>
    </row>
    <row r="71" spans="1:13" ht="19.5" customHeight="1">
      <c r="A71" s="6" t="str">
        <f t="shared" si="0"/>
        <v>C33</v>
      </c>
      <c r="B71" s="3">
        <v>42353</v>
      </c>
      <c r="C71" s="3">
        <v>42353</v>
      </c>
      <c r="D71" s="4"/>
      <c r="E71" s="20" t="s">
        <v>168</v>
      </c>
      <c r="F71" s="28" t="s">
        <v>693</v>
      </c>
      <c r="G71" s="106" t="s">
        <v>1331</v>
      </c>
      <c r="H71" s="5" t="s">
        <v>192</v>
      </c>
      <c r="I71" s="26" t="s">
        <v>35</v>
      </c>
      <c r="J71" s="19"/>
      <c r="K71" s="19">
        <v>161485</v>
      </c>
      <c r="L71" s="4">
        <f t="shared" si="1"/>
        <v>2415141389</v>
      </c>
      <c r="M71" s="18"/>
    </row>
    <row r="72" spans="1:13" ht="19.5" customHeight="1">
      <c r="A72" s="6" t="str">
        <f t="shared" si="0"/>
        <v>C34</v>
      </c>
      <c r="B72" s="3">
        <v>42353</v>
      </c>
      <c r="C72" s="3">
        <v>42353</v>
      </c>
      <c r="D72" s="4"/>
      <c r="E72" s="20" t="s">
        <v>169</v>
      </c>
      <c r="F72" s="396" t="s">
        <v>332</v>
      </c>
      <c r="G72" s="396"/>
      <c r="H72" s="396" t="s">
        <v>335</v>
      </c>
      <c r="I72" s="26" t="s">
        <v>334</v>
      </c>
      <c r="J72" s="19"/>
      <c r="K72" s="19">
        <v>380000000</v>
      </c>
      <c r="L72" s="4">
        <f t="shared" si="1"/>
        <v>2035141389</v>
      </c>
      <c r="M72" s="18"/>
    </row>
    <row r="73" spans="1:13" ht="19.5" customHeight="1">
      <c r="A73" s="6" t="str">
        <f t="shared" si="0"/>
        <v>C35</v>
      </c>
      <c r="B73" s="3">
        <v>42355</v>
      </c>
      <c r="C73" s="3">
        <v>42353</v>
      </c>
      <c r="D73" s="4"/>
      <c r="E73" s="20" t="s">
        <v>170</v>
      </c>
      <c r="F73" s="28" t="s">
        <v>1143</v>
      </c>
      <c r="G73" s="106" t="s">
        <v>1332</v>
      </c>
      <c r="H73" s="5" t="s">
        <v>1299</v>
      </c>
      <c r="I73" s="26" t="s">
        <v>94</v>
      </c>
      <c r="J73" s="19"/>
      <c r="K73" s="19">
        <v>938100</v>
      </c>
      <c r="L73" s="4">
        <f t="shared" si="1"/>
        <v>2034203289</v>
      </c>
      <c r="M73" s="18"/>
    </row>
    <row r="74" spans="1:13" ht="19.5" customHeight="1">
      <c r="A74" s="6" t="str">
        <f t="shared" si="0"/>
        <v>C35</v>
      </c>
      <c r="B74" s="3">
        <v>42355</v>
      </c>
      <c r="C74" s="3">
        <v>42353</v>
      </c>
      <c r="D74" s="4"/>
      <c r="E74" s="20" t="s">
        <v>170</v>
      </c>
      <c r="F74" s="28" t="s">
        <v>1146</v>
      </c>
      <c r="G74" s="106" t="s">
        <v>1332</v>
      </c>
      <c r="H74" s="5" t="s">
        <v>1299</v>
      </c>
      <c r="I74" s="26" t="s">
        <v>35</v>
      </c>
      <c r="J74" s="19"/>
      <c r="K74" s="19">
        <v>93810</v>
      </c>
      <c r="L74" s="4">
        <f t="shared" si="1"/>
        <v>2034109479</v>
      </c>
      <c r="M74" s="18"/>
    </row>
    <row r="75" spans="1:13" ht="19.5" customHeight="1">
      <c r="A75" s="6" t="str">
        <f t="shared" si="0"/>
        <v>T07</v>
      </c>
      <c r="B75" s="3">
        <v>42356</v>
      </c>
      <c r="C75" s="3">
        <v>42356</v>
      </c>
      <c r="D75" s="4" t="s">
        <v>59</v>
      </c>
      <c r="E75" s="20"/>
      <c r="F75" s="5" t="s">
        <v>120</v>
      </c>
      <c r="G75" s="106"/>
      <c r="H75" s="5" t="s">
        <v>187</v>
      </c>
      <c r="I75" s="26" t="s">
        <v>36</v>
      </c>
      <c r="J75" s="19">
        <v>340000000</v>
      </c>
      <c r="K75" s="19"/>
      <c r="L75" s="4">
        <f t="shared" si="1"/>
        <v>2374109479</v>
      </c>
      <c r="M75" s="18"/>
    </row>
    <row r="76" spans="1:13" ht="19.5" customHeight="1">
      <c r="A76" s="6" t="str">
        <f t="shared" si="0"/>
        <v>C36</v>
      </c>
      <c r="B76" s="3">
        <v>42356</v>
      </c>
      <c r="C76" s="3">
        <v>42356</v>
      </c>
      <c r="D76" s="4"/>
      <c r="E76" s="20" t="s">
        <v>171</v>
      </c>
      <c r="F76" s="28" t="s">
        <v>756</v>
      </c>
      <c r="G76" s="106" t="s">
        <v>1333</v>
      </c>
      <c r="H76" s="5" t="s">
        <v>192</v>
      </c>
      <c r="I76" s="26" t="s">
        <v>94</v>
      </c>
      <c r="J76" s="19"/>
      <c r="K76" s="19">
        <v>106845</v>
      </c>
      <c r="L76" s="4">
        <f t="shared" si="1"/>
        <v>2374002634</v>
      </c>
      <c r="M76" s="18"/>
    </row>
    <row r="77" spans="1:13" ht="19.5" customHeight="1">
      <c r="A77" s="6" t="str">
        <f t="shared" ref="A77:A123" si="2">D77&amp;E77</f>
        <v>C36</v>
      </c>
      <c r="B77" s="3">
        <v>42356</v>
      </c>
      <c r="C77" s="3">
        <v>42356</v>
      </c>
      <c r="D77" s="4"/>
      <c r="E77" s="20" t="s">
        <v>171</v>
      </c>
      <c r="F77" s="28" t="s">
        <v>1067</v>
      </c>
      <c r="G77" s="106" t="s">
        <v>1333</v>
      </c>
      <c r="H77" s="5" t="s">
        <v>192</v>
      </c>
      <c r="I77" s="26" t="s">
        <v>35</v>
      </c>
      <c r="J77" s="19"/>
      <c r="K77" s="19">
        <v>10685</v>
      </c>
      <c r="L77" s="4">
        <f t="shared" ref="L77:L120" si="3">IF(F77&lt;&gt;"",L76+J77-K77,0)</f>
        <v>2373991949</v>
      </c>
      <c r="M77" s="18"/>
    </row>
    <row r="78" spans="1:13" ht="19.5" customHeight="1">
      <c r="A78" s="6" t="str">
        <f t="shared" si="2"/>
        <v>C37</v>
      </c>
      <c r="B78" s="3">
        <v>42357</v>
      </c>
      <c r="C78" s="3">
        <v>42357</v>
      </c>
      <c r="D78" s="4"/>
      <c r="E78" s="20" t="s">
        <v>172</v>
      </c>
      <c r="F78" s="396" t="s">
        <v>332</v>
      </c>
      <c r="G78" s="396"/>
      <c r="H78" s="396" t="s">
        <v>335</v>
      </c>
      <c r="I78" s="26" t="s">
        <v>334</v>
      </c>
      <c r="J78" s="19"/>
      <c r="K78" s="19">
        <v>340000000</v>
      </c>
      <c r="L78" s="4">
        <f t="shared" si="3"/>
        <v>2033991949</v>
      </c>
      <c r="M78" s="18"/>
    </row>
    <row r="79" spans="1:13" ht="19.5" customHeight="1">
      <c r="A79" s="6" t="str">
        <f t="shared" si="2"/>
        <v>T08</v>
      </c>
      <c r="B79" s="3">
        <v>42359</v>
      </c>
      <c r="C79" s="3">
        <v>42359</v>
      </c>
      <c r="D79" s="4" t="s">
        <v>61</v>
      </c>
      <c r="E79" s="20"/>
      <c r="F79" s="5" t="s">
        <v>120</v>
      </c>
      <c r="G79" s="106"/>
      <c r="H79" s="5" t="s">
        <v>187</v>
      </c>
      <c r="I79" s="26" t="s">
        <v>36</v>
      </c>
      <c r="J79" s="19">
        <v>1120000000</v>
      </c>
      <c r="K79" s="19"/>
      <c r="L79" s="4">
        <f t="shared" si="3"/>
        <v>3153991949</v>
      </c>
      <c r="M79" s="18"/>
    </row>
    <row r="80" spans="1:13" ht="19.5" customHeight="1">
      <c r="A80" s="6" t="str">
        <f t="shared" si="2"/>
        <v>C38</v>
      </c>
      <c r="B80" s="3">
        <v>42359</v>
      </c>
      <c r="C80" s="3">
        <v>42359</v>
      </c>
      <c r="D80" s="4"/>
      <c r="E80" s="20" t="s">
        <v>336</v>
      </c>
      <c r="F80" s="28" t="s">
        <v>1143</v>
      </c>
      <c r="G80" s="106" t="s">
        <v>1334</v>
      </c>
      <c r="H80" s="5" t="s">
        <v>1299</v>
      </c>
      <c r="I80" s="26" t="s">
        <v>94</v>
      </c>
      <c r="J80" s="19"/>
      <c r="K80" s="19">
        <v>668455</v>
      </c>
      <c r="L80" s="4">
        <f t="shared" si="3"/>
        <v>3153323494</v>
      </c>
      <c r="M80" s="18"/>
    </row>
    <row r="81" spans="1:13" ht="19.5" customHeight="1">
      <c r="A81" s="6" t="str">
        <f t="shared" si="2"/>
        <v>C38</v>
      </c>
      <c r="B81" s="3">
        <v>42359</v>
      </c>
      <c r="C81" s="3">
        <v>42359</v>
      </c>
      <c r="D81" s="4"/>
      <c r="E81" s="20" t="s">
        <v>336</v>
      </c>
      <c r="F81" s="28" t="s">
        <v>1146</v>
      </c>
      <c r="G81" s="106" t="s">
        <v>1334</v>
      </c>
      <c r="H81" s="5" t="s">
        <v>1299</v>
      </c>
      <c r="I81" s="26" t="s">
        <v>35</v>
      </c>
      <c r="J81" s="19"/>
      <c r="K81" s="19">
        <v>66845</v>
      </c>
      <c r="L81" s="4">
        <f t="shared" si="3"/>
        <v>3153256649</v>
      </c>
      <c r="M81" s="18"/>
    </row>
    <row r="82" spans="1:13" ht="19.5" customHeight="1">
      <c r="A82" s="6" t="str">
        <f t="shared" si="2"/>
        <v>T09</v>
      </c>
      <c r="B82" s="3">
        <v>42360</v>
      </c>
      <c r="C82" s="3">
        <v>42360</v>
      </c>
      <c r="D82" s="4" t="s">
        <v>65</v>
      </c>
      <c r="E82" s="20"/>
      <c r="F82" s="5" t="s">
        <v>120</v>
      </c>
      <c r="G82" s="106"/>
      <c r="H82" s="5" t="s">
        <v>187</v>
      </c>
      <c r="I82" s="26" t="s">
        <v>36</v>
      </c>
      <c r="J82" s="19">
        <v>1980000000</v>
      </c>
      <c r="K82" s="19"/>
      <c r="L82" s="4">
        <f t="shared" si="3"/>
        <v>5133256649</v>
      </c>
      <c r="M82" s="18"/>
    </row>
    <row r="83" spans="1:13" ht="19.5" customHeight="1">
      <c r="A83" s="6" t="str">
        <f t="shared" si="2"/>
        <v>C39</v>
      </c>
      <c r="B83" s="3">
        <v>42360</v>
      </c>
      <c r="C83" s="3">
        <v>42360</v>
      </c>
      <c r="D83" s="4"/>
      <c r="E83" s="20" t="s">
        <v>337</v>
      </c>
      <c r="F83" s="28" t="s">
        <v>1335</v>
      </c>
      <c r="G83" s="106" t="s">
        <v>1337</v>
      </c>
      <c r="H83" s="5" t="s">
        <v>1338</v>
      </c>
      <c r="I83" s="26" t="s">
        <v>94</v>
      </c>
      <c r="J83" s="19"/>
      <c r="K83" s="19">
        <v>1000000</v>
      </c>
      <c r="L83" s="4">
        <f t="shared" si="3"/>
        <v>5132256649</v>
      </c>
      <c r="M83" s="18"/>
    </row>
    <row r="84" spans="1:13" ht="19.5" customHeight="1">
      <c r="A84" s="6" t="str">
        <f t="shared" si="2"/>
        <v>C39</v>
      </c>
      <c r="B84" s="3">
        <v>42360</v>
      </c>
      <c r="C84" s="3">
        <v>42360</v>
      </c>
      <c r="D84" s="4"/>
      <c r="E84" s="20" t="s">
        <v>337</v>
      </c>
      <c r="F84" s="28" t="s">
        <v>1336</v>
      </c>
      <c r="G84" s="106" t="s">
        <v>1337</v>
      </c>
      <c r="H84" s="5" t="s">
        <v>1338</v>
      </c>
      <c r="I84" s="26" t="s">
        <v>35</v>
      </c>
      <c r="J84" s="19"/>
      <c r="K84" s="19">
        <v>50000</v>
      </c>
      <c r="L84" s="4">
        <f t="shared" si="3"/>
        <v>5132206649</v>
      </c>
      <c r="M84" s="18"/>
    </row>
    <row r="85" spans="1:13" ht="19.5" customHeight="1">
      <c r="A85" s="6" t="str">
        <f t="shared" si="2"/>
        <v>C40</v>
      </c>
      <c r="B85" s="3">
        <v>42360</v>
      </c>
      <c r="C85" s="3">
        <v>42360</v>
      </c>
      <c r="D85" s="4"/>
      <c r="E85" s="20" t="s">
        <v>338</v>
      </c>
      <c r="F85" s="396" t="s">
        <v>332</v>
      </c>
      <c r="G85" s="396"/>
      <c r="H85" s="396" t="s">
        <v>335</v>
      </c>
      <c r="I85" s="26" t="s">
        <v>334</v>
      </c>
      <c r="J85" s="19"/>
      <c r="K85" s="19">
        <v>340000000</v>
      </c>
      <c r="L85" s="4">
        <f t="shared" si="3"/>
        <v>4792206649</v>
      </c>
      <c r="M85" s="18"/>
    </row>
    <row r="86" spans="1:13" ht="19.5" customHeight="1">
      <c r="A86" s="6" t="str">
        <f t="shared" si="2"/>
        <v>C41</v>
      </c>
      <c r="B86" s="3">
        <v>42361</v>
      </c>
      <c r="C86" s="3">
        <v>42361</v>
      </c>
      <c r="D86" s="4"/>
      <c r="E86" s="20" t="s">
        <v>339</v>
      </c>
      <c r="F86" s="28" t="s">
        <v>1143</v>
      </c>
      <c r="G86" s="106" t="s">
        <v>1339</v>
      </c>
      <c r="H86" s="5" t="s">
        <v>1299</v>
      </c>
      <c r="I86" s="26" t="s">
        <v>94</v>
      </c>
      <c r="J86" s="19"/>
      <c r="K86" s="19">
        <v>497455</v>
      </c>
      <c r="L86" s="4">
        <f t="shared" si="3"/>
        <v>4791709194</v>
      </c>
      <c r="M86" s="18"/>
    </row>
    <row r="87" spans="1:13" ht="19.5" customHeight="1">
      <c r="A87" s="6" t="str">
        <f t="shared" si="2"/>
        <v>C41</v>
      </c>
      <c r="B87" s="3">
        <v>42361</v>
      </c>
      <c r="C87" s="3">
        <v>42361</v>
      </c>
      <c r="D87" s="4"/>
      <c r="E87" s="20" t="s">
        <v>339</v>
      </c>
      <c r="F87" s="28" t="s">
        <v>1146</v>
      </c>
      <c r="G87" s="106" t="s">
        <v>1339</v>
      </c>
      <c r="H87" s="5" t="s">
        <v>1299</v>
      </c>
      <c r="I87" s="26" t="s">
        <v>35</v>
      </c>
      <c r="J87" s="19"/>
      <c r="K87" s="19">
        <v>49745</v>
      </c>
      <c r="L87" s="4">
        <f t="shared" si="3"/>
        <v>4791659449</v>
      </c>
      <c r="M87" s="18"/>
    </row>
    <row r="88" spans="1:13" ht="19.5" customHeight="1">
      <c r="A88" s="6" t="str">
        <f t="shared" si="2"/>
        <v>C43</v>
      </c>
      <c r="B88" s="3">
        <v>42361</v>
      </c>
      <c r="C88" s="3">
        <v>42361</v>
      </c>
      <c r="D88" s="4"/>
      <c r="E88" s="20" t="s">
        <v>341</v>
      </c>
      <c r="F88" s="5" t="s">
        <v>1326</v>
      </c>
      <c r="G88" s="106"/>
      <c r="H88" s="5" t="s">
        <v>187</v>
      </c>
      <c r="I88" s="26" t="s">
        <v>36</v>
      </c>
      <c r="J88" s="19"/>
      <c r="K88" s="19">
        <v>50000000</v>
      </c>
      <c r="L88" s="4">
        <f t="shared" si="3"/>
        <v>4741659449</v>
      </c>
      <c r="M88" s="18"/>
    </row>
    <row r="89" spans="1:13" ht="19.5" customHeight="1">
      <c r="A89" s="6" t="str">
        <f t="shared" si="2"/>
        <v>T10</v>
      </c>
      <c r="B89" s="3">
        <v>42363</v>
      </c>
      <c r="C89" s="3">
        <v>42363</v>
      </c>
      <c r="D89" s="4" t="s">
        <v>838</v>
      </c>
      <c r="E89" s="20"/>
      <c r="F89" s="5" t="s">
        <v>119</v>
      </c>
      <c r="G89" s="106"/>
      <c r="H89" s="5" t="s">
        <v>187</v>
      </c>
      <c r="I89" s="26" t="s">
        <v>36</v>
      </c>
      <c r="J89" s="19">
        <v>970000000</v>
      </c>
      <c r="K89" s="19"/>
      <c r="L89" s="4">
        <f t="shared" si="3"/>
        <v>5711659449</v>
      </c>
      <c r="M89" s="18"/>
    </row>
    <row r="90" spans="1:13" ht="19.5" customHeight="1">
      <c r="A90" s="6" t="str">
        <f t="shared" si="2"/>
        <v>C44</v>
      </c>
      <c r="B90" s="3">
        <v>42363</v>
      </c>
      <c r="C90" s="3">
        <v>42363</v>
      </c>
      <c r="D90" s="4"/>
      <c r="E90" s="20" t="s">
        <v>342</v>
      </c>
      <c r="F90" s="5" t="s">
        <v>1326</v>
      </c>
      <c r="G90" s="106"/>
      <c r="H90" s="5" t="s">
        <v>187</v>
      </c>
      <c r="I90" s="26" t="s">
        <v>36</v>
      </c>
      <c r="J90" s="19"/>
      <c r="K90" s="19">
        <v>400000000</v>
      </c>
      <c r="L90" s="4">
        <f t="shared" si="3"/>
        <v>5311659449</v>
      </c>
      <c r="M90" s="18"/>
    </row>
    <row r="91" spans="1:13" ht="19.5" customHeight="1">
      <c r="A91" s="6" t="str">
        <f t="shared" si="2"/>
        <v>C45</v>
      </c>
      <c r="B91" s="3">
        <v>42363</v>
      </c>
      <c r="C91" s="3">
        <v>42363</v>
      </c>
      <c r="D91" s="4"/>
      <c r="E91" s="20" t="s">
        <v>343</v>
      </c>
      <c r="F91" s="396" t="s">
        <v>332</v>
      </c>
      <c r="G91" s="396"/>
      <c r="H91" s="396" t="s">
        <v>335</v>
      </c>
      <c r="I91" s="26" t="s">
        <v>334</v>
      </c>
      <c r="J91" s="19"/>
      <c r="K91" s="19">
        <v>520000000</v>
      </c>
      <c r="L91" s="4">
        <f t="shared" si="3"/>
        <v>4791659449</v>
      </c>
      <c r="M91" s="18"/>
    </row>
    <row r="92" spans="1:13" ht="19.5" customHeight="1">
      <c r="A92" s="6" t="str">
        <f t="shared" si="2"/>
        <v>C46</v>
      </c>
      <c r="B92" s="3">
        <v>42364</v>
      </c>
      <c r="C92" s="3">
        <v>42364</v>
      </c>
      <c r="D92" s="4"/>
      <c r="E92" s="20" t="s">
        <v>344</v>
      </c>
      <c r="F92" s="396" t="s">
        <v>332</v>
      </c>
      <c r="G92" s="396"/>
      <c r="H92" s="396" t="s">
        <v>333</v>
      </c>
      <c r="I92" s="26" t="s">
        <v>334</v>
      </c>
      <c r="J92" s="19"/>
      <c r="K92" s="19">
        <v>380000000</v>
      </c>
      <c r="L92" s="4">
        <f t="shared" si="3"/>
        <v>4411659449</v>
      </c>
      <c r="M92" s="18"/>
    </row>
    <row r="93" spans="1:13" ht="19.5" customHeight="1">
      <c r="A93" s="6" t="str">
        <f t="shared" si="2"/>
        <v>C47</v>
      </c>
      <c r="B93" s="3">
        <v>42364</v>
      </c>
      <c r="C93" s="3">
        <v>42364</v>
      </c>
      <c r="D93" s="4"/>
      <c r="E93" s="20" t="s">
        <v>345</v>
      </c>
      <c r="F93" s="28" t="s">
        <v>1143</v>
      </c>
      <c r="G93" s="106" t="s">
        <v>1340</v>
      </c>
      <c r="H93" s="5" t="s">
        <v>1299</v>
      </c>
      <c r="I93" s="26" t="s">
        <v>94</v>
      </c>
      <c r="J93" s="19"/>
      <c r="K93" s="19">
        <v>886091</v>
      </c>
      <c r="L93" s="4">
        <f t="shared" si="3"/>
        <v>4410773358</v>
      </c>
      <c r="M93" s="18"/>
    </row>
    <row r="94" spans="1:13" ht="19.5" customHeight="1">
      <c r="A94" s="6" t="str">
        <f t="shared" si="2"/>
        <v>C47</v>
      </c>
      <c r="B94" s="3">
        <v>42364</v>
      </c>
      <c r="C94" s="3">
        <v>42364</v>
      </c>
      <c r="D94" s="4"/>
      <c r="E94" s="20" t="s">
        <v>345</v>
      </c>
      <c r="F94" s="28" t="s">
        <v>1146</v>
      </c>
      <c r="G94" s="106" t="s">
        <v>1340</v>
      </c>
      <c r="H94" s="5" t="s">
        <v>1299</v>
      </c>
      <c r="I94" s="26" t="s">
        <v>35</v>
      </c>
      <c r="J94" s="19"/>
      <c r="K94" s="19">
        <v>88609</v>
      </c>
      <c r="L94" s="4">
        <f t="shared" si="3"/>
        <v>4410684749</v>
      </c>
      <c r="M94" s="18"/>
    </row>
    <row r="95" spans="1:13" ht="19.5" customHeight="1">
      <c r="A95" s="6" t="str">
        <f t="shared" si="2"/>
        <v>C48</v>
      </c>
      <c r="B95" s="3">
        <v>42365</v>
      </c>
      <c r="C95" s="3">
        <v>42365</v>
      </c>
      <c r="D95" s="4"/>
      <c r="E95" s="20" t="s">
        <v>346</v>
      </c>
      <c r="F95" s="396" t="s">
        <v>332</v>
      </c>
      <c r="G95" s="396"/>
      <c r="H95" s="396" t="s">
        <v>335</v>
      </c>
      <c r="I95" s="26" t="s">
        <v>334</v>
      </c>
      <c r="J95" s="19"/>
      <c r="K95" s="19">
        <v>520000000</v>
      </c>
      <c r="L95" s="4">
        <f t="shared" si="3"/>
        <v>3890684749</v>
      </c>
      <c r="M95" s="18"/>
    </row>
    <row r="96" spans="1:13" ht="19.5" customHeight="1">
      <c r="A96" s="6" t="str">
        <f t="shared" si="2"/>
        <v>C49</v>
      </c>
      <c r="B96" s="3">
        <v>42366</v>
      </c>
      <c r="C96" s="3">
        <v>42366</v>
      </c>
      <c r="D96" s="4"/>
      <c r="E96" s="20" t="s">
        <v>840</v>
      </c>
      <c r="F96" s="396" t="s">
        <v>332</v>
      </c>
      <c r="G96" s="396"/>
      <c r="H96" s="396" t="s">
        <v>333</v>
      </c>
      <c r="I96" s="26" t="s">
        <v>334</v>
      </c>
      <c r="J96" s="19"/>
      <c r="K96" s="19">
        <v>250000000</v>
      </c>
      <c r="L96" s="4">
        <f t="shared" si="3"/>
        <v>3640684749</v>
      </c>
      <c r="M96" s="18"/>
    </row>
    <row r="97" spans="1:13" ht="19.5" customHeight="1">
      <c r="A97" s="6" t="str">
        <f t="shared" si="2"/>
        <v>C50</v>
      </c>
      <c r="B97" s="3">
        <v>42366</v>
      </c>
      <c r="C97" s="3">
        <v>42366</v>
      </c>
      <c r="D97" s="4"/>
      <c r="E97" s="20" t="s">
        <v>1403</v>
      </c>
      <c r="F97" s="28" t="s">
        <v>45</v>
      </c>
      <c r="G97" s="106" t="s">
        <v>1323</v>
      </c>
      <c r="H97" s="5" t="s">
        <v>349</v>
      </c>
      <c r="I97" s="26" t="s">
        <v>94</v>
      </c>
      <c r="J97" s="19"/>
      <c r="K97" s="19">
        <v>3700000</v>
      </c>
      <c r="L97" s="4">
        <f t="shared" si="3"/>
        <v>3636984749</v>
      </c>
      <c r="M97" s="18"/>
    </row>
    <row r="98" spans="1:13" ht="19.5" customHeight="1">
      <c r="A98" s="6" t="str">
        <f t="shared" si="2"/>
        <v>C50</v>
      </c>
      <c r="B98" s="3">
        <v>42366</v>
      </c>
      <c r="C98" s="3">
        <v>42366</v>
      </c>
      <c r="D98" s="4"/>
      <c r="E98" s="20" t="s">
        <v>1403</v>
      </c>
      <c r="F98" s="28" t="s">
        <v>46</v>
      </c>
      <c r="G98" s="106" t="s">
        <v>1323</v>
      </c>
      <c r="H98" s="5" t="s">
        <v>349</v>
      </c>
      <c r="I98" s="26" t="s">
        <v>35</v>
      </c>
      <c r="J98" s="19"/>
      <c r="K98" s="19">
        <v>370000</v>
      </c>
      <c r="L98" s="4">
        <f t="shared" si="3"/>
        <v>3636614749</v>
      </c>
      <c r="M98" s="18"/>
    </row>
    <row r="99" spans="1:13" ht="19.5" customHeight="1">
      <c r="A99" s="6" t="str">
        <f t="shared" si="2"/>
        <v>C51</v>
      </c>
      <c r="B99" s="3">
        <v>42367</v>
      </c>
      <c r="C99" s="3">
        <v>42367</v>
      </c>
      <c r="D99" s="4"/>
      <c r="E99" s="20" t="s">
        <v>1404</v>
      </c>
      <c r="F99" s="5" t="s">
        <v>1320</v>
      </c>
      <c r="G99" s="105" t="s">
        <v>1322</v>
      </c>
      <c r="H99" s="5" t="s">
        <v>565</v>
      </c>
      <c r="I99" s="26" t="s">
        <v>94</v>
      </c>
      <c r="J99" s="19"/>
      <c r="K99" s="19">
        <v>15000000</v>
      </c>
      <c r="L99" s="4">
        <f t="shared" si="3"/>
        <v>3621614749</v>
      </c>
      <c r="M99" s="18"/>
    </row>
    <row r="100" spans="1:13" ht="19.5" customHeight="1">
      <c r="A100" s="6" t="str">
        <f t="shared" si="2"/>
        <v>C51</v>
      </c>
      <c r="B100" s="3">
        <v>42367</v>
      </c>
      <c r="C100" s="3">
        <v>42367</v>
      </c>
      <c r="D100" s="4"/>
      <c r="E100" s="20" t="s">
        <v>1404</v>
      </c>
      <c r="F100" s="5" t="s">
        <v>1321</v>
      </c>
      <c r="G100" s="105" t="s">
        <v>1322</v>
      </c>
      <c r="H100" s="5" t="s">
        <v>565</v>
      </c>
      <c r="I100" s="26" t="s">
        <v>35</v>
      </c>
      <c r="J100" s="19"/>
      <c r="K100" s="19">
        <v>1500000</v>
      </c>
      <c r="L100" s="4">
        <f t="shared" si="3"/>
        <v>3620114749</v>
      </c>
      <c r="M100" s="18"/>
    </row>
    <row r="101" spans="1:13" ht="19.5" customHeight="1">
      <c r="A101" s="6" t="str">
        <f t="shared" si="2"/>
        <v>C52</v>
      </c>
      <c r="B101" s="3">
        <v>42367</v>
      </c>
      <c r="C101" s="3">
        <v>42367</v>
      </c>
      <c r="D101" s="4"/>
      <c r="E101" s="20" t="s">
        <v>1405</v>
      </c>
      <c r="F101" s="396" t="s">
        <v>332</v>
      </c>
      <c r="G101" s="396"/>
      <c r="H101" s="396" t="s">
        <v>335</v>
      </c>
      <c r="I101" s="26" t="s">
        <v>334</v>
      </c>
      <c r="J101" s="19"/>
      <c r="K101" s="19">
        <v>430000000</v>
      </c>
      <c r="L101" s="4">
        <f t="shared" si="3"/>
        <v>3190114749</v>
      </c>
      <c r="M101" s="18"/>
    </row>
    <row r="102" spans="1:13" ht="19.5" customHeight="1">
      <c r="A102" s="6" t="str">
        <f t="shared" si="2"/>
        <v>T11</v>
      </c>
      <c r="B102" s="3">
        <v>42368</v>
      </c>
      <c r="C102" s="3">
        <v>42368</v>
      </c>
      <c r="D102" s="4" t="s">
        <v>1391</v>
      </c>
      <c r="E102" s="20"/>
      <c r="F102" s="5" t="s">
        <v>119</v>
      </c>
      <c r="G102" s="105"/>
      <c r="H102" s="5" t="s">
        <v>187</v>
      </c>
      <c r="I102" s="26" t="s">
        <v>36</v>
      </c>
      <c r="J102" s="19">
        <v>1350000000</v>
      </c>
      <c r="K102" s="19"/>
      <c r="L102" s="4">
        <f t="shared" si="3"/>
        <v>4540114749</v>
      </c>
      <c r="M102" s="18"/>
    </row>
    <row r="103" spans="1:13" ht="19.5" customHeight="1">
      <c r="A103" s="6" t="str">
        <f t="shared" si="2"/>
        <v>C53</v>
      </c>
      <c r="B103" s="3">
        <v>42368</v>
      </c>
      <c r="C103" s="3">
        <v>42368</v>
      </c>
      <c r="D103" s="4"/>
      <c r="E103" s="20" t="s">
        <v>1406</v>
      </c>
      <c r="F103" s="28" t="s">
        <v>1143</v>
      </c>
      <c r="G103" s="105" t="s">
        <v>1341</v>
      </c>
      <c r="H103" s="5" t="s">
        <v>1299</v>
      </c>
      <c r="I103" s="26" t="s">
        <v>94</v>
      </c>
      <c r="J103" s="19"/>
      <c r="K103" s="19">
        <v>621818</v>
      </c>
      <c r="L103" s="4">
        <f t="shared" si="3"/>
        <v>4539492931</v>
      </c>
      <c r="M103" s="18"/>
    </row>
    <row r="104" spans="1:13" ht="19.5" customHeight="1">
      <c r="A104" s="6" t="str">
        <f t="shared" si="2"/>
        <v>C53</v>
      </c>
      <c r="B104" s="3">
        <v>42368</v>
      </c>
      <c r="C104" s="3">
        <v>42368</v>
      </c>
      <c r="D104" s="4"/>
      <c r="E104" s="20" t="s">
        <v>1406</v>
      </c>
      <c r="F104" s="28" t="s">
        <v>1146</v>
      </c>
      <c r="G104" s="105" t="s">
        <v>1341</v>
      </c>
      <c r="H104" s="5" t="s">
        <v>1299</v>
      </c>
      <c r="I104" s="26" t="s">
        <v>35</v>
      </c>
      <c r="J104" s="19"/>
      <c r="K104" s="19">
        <v>62182</v>
      </c>
      <c r="L104" s="4">
        <f t="shared" si="3"/>
        <v>4539430749</v>
      </c>
      <c r="M104" s="18"/>
    </row>
    <row r="105" spans="1:13" ht="19.5" customHeight="1">
      <c r="A105" s="6" t="str">
        <f t="shared" si="2"/>
        <v>C54</v>
      </c>
      <c r="B105" s="3">
        <v>42368</v>
      </c>
      <c r="C105" s="3">
        <v>42368</v>
      </c>
      <c r="D105" s="4"/>
      <c r="E105" s="20" t="s">
        <v>1407</v>
      </c>
      <c r="F105" s="28" t="s">
        <v>1344</v>
      </c>
      <c r="G105" s="105" t="s">
        <v>1346</v>
      </c>
      <c r="H105" s="5" t="s">
        <v>1047</v>
      </c>
      <c r="I105" s="26" t="s">
        <v>94</v>
      </c>
      <c r="J105" s="19"/>
      <c r="K105" s="19">
        <v>15945000</v>
      </c>
      <c r="L105" s="4">
        <f t="shared" si="3"/>
        <v>4523485749</v>
      </c>
      <c r="M105" s="18"/>
    </row>
    <row r="106" spans="1:13" ht="19.5" customHeight="1">
      <c r="A106" s="6" t="str">
        <f t="shared" si="2"/>
        <v>C54</v>
      </c>
      <c r="B106" s="3">
        <v>42368</v>
      </c>
      <c r="C106" s="3">
        <v>42368</v>
      </c>
      <c r="D106" s="4"/>
      <c r="E106" s="20" t="s">
        <v>1407</v>
      </c>
      <c r="F106" s="28" t="s">
        <v>1345</v>
      </c>
      <c r="G106" s="105" t="s">
        <v>1346</v>
      </c>
      <c r="H106" s="5" t="s">
        <v>1047</v>
      </c>
      <c r="I106" s="26" t="s">
        <v>35</v>
      </c>
      <c r="J106" s="19"/>
      <c r="K106" s="19">
        <v>1594500</v>
      </c>
      <c r="L106" s="4">
        <f t="shared" si="3"/>
        <v>4521891249</v>
      </c>
      <c r="M106" s="18"/>
    </row>
    <row r="107" spans="1:13" ht="19.5" customHeight="1">
      <c r="A107" s="6" t="str">
        <f t="shared" si="2"/>
        <v>C55</v>
      </c>
      <c r="B107" s="3">
        <v>42368</v>
      </c>
      <c r="C107" s="3">
        <v>42368</v>
      </c>
      <c r="D107" s="4"/>
      <c r="E107" s="20" t="s">
        <v>1408</v>
      </c>
      <c r="F107" s="28" t="s">
        <v>1421</v>
      </c>
      <c r="G107" s="105" t="s">
        <v>1376</v>
      </c>
      <c r="H107" s="5" t="s">
        <v>1377</v>
      </c>
      <c r="I107" s="26" t="s">
        <v>94</v>
      </c>
      <c r="J107" s="19"/>
      <c r="K107" s="19">
        <v>110000</v>
      </c>
      <c r="L107" s="4">
        <f t="shared" si="3"/>
        <v>4521781249</v>
      </c>
      <c r="M107" s="18"/>
    </row>
    <row r="108" spans="1:13" ht="19.5" customHeight="1">
      <c r="A108" s="6" t="str">
        <f t="shared" si="2"/>
        <v>C56</v>
      </c>
      <c r="B108" s="3">
        <v>42368</v>
      </c>
      <c r="C108" s="3">
        <v>42368</v>
      </c>
      <c r="D108" s="4"/>
      <c r="E108" s="20" t="s">
        <v>1412</v>
      </c>
      <c r="F108" s="28" t="s">
        <v>1283</v>
      </c>
      <c r="G108" s="105" t="s">
        <v>1402</v>
      </c>
      <c r="H108" s="5" t="s">
        <v>296</v>
      </c>
      <c r="I108" s="26" t="s">
        <v>94</v>
      </c>
      <c r="J108" s="19"/>
      <c r="K108" s="19">
        <v>16230700</v>
      </c>
      <c r="L108" s="4">
        <f t="shared" si="3"/>
        <v>4505550549</v>
      </c>
      <c r="M108" s="18"/>
    </row>
    <row r="109" spans="1:13" ht="19.5" customHeight="1">
      <c r="A109" s="6" t="str">
        <f t="shared" si="2"/>
        <v>C56</v>
      </c>
      <c r="B109" s="3">
        <v>42368</v>
      </c>
      <c r="C109" s="3">
        <v>42368</v>
      </c>
      <c r="D109" s="4"/>
      <c r="E109" s="20" t="s">
        <v>1412</v>
      </c>
      <c r="F109" s="28" t="s">
        <v>1286</v>
      </c>
      <c r="G109" s="105" t="s">
        <v>1402</v>
      </c>
      <c r="H109" s="5" t="s">
        <v>296</v>
      </c>
      <c r="I109" s="26" t="s">
        <v>35</v>
      </c>
      <c r="J109" s="19"/>
      <c r="K109" s="19">
        <v>985070</v>
      </c>
      <c r="L109" s="4">
        <f t="shared" si="3"/>
        <v>4504565479</v>
      </c>
      <c r="M109" s="18"/>
    </row>
    <row r="110" spans="1:13" ht="19.5" customHeight="1">
      <c r="A110" s="6" t="str">
        <f t="shared" si="2"/>
        <v>C57</v>
      </c>
      <c r="B110" s="3">
        <v>42368</v>
      </c>
      <c r="C110" s="3">
        <v>42368</v>
      </c>
      <c r="D110" s="4"/>
      <c r="E110" s="20" t="s">
        <v>1413</v>
      </c>
      <c r="F110" s="396" t="s">
        <v>332</v>
      </c>
      <c r="G110" s="396"/>
      <c r="H110" s="396" t="s">
        <v>335</v>
      </c>
      <c r="I110" s="26" t="s">
        <v>334</v>
      </c>
      <c r="J110" s="19"/>
      <c r="K110" s="19">
        <v>450000000</v>
      </c>
      <c r="L110" s="4">
        <f t="shared" si="3"/>
        <v>4054565479</v>
      </c>
      <c r="M110" s="18"/>
    </row>
    <row r="111" spans="1:13" ht="19.5" customHeight="1">
      <c r="A111" s="6" t="str">
        <f t="shared" si="2"/>
        <v>C57</v>
      </c>
      <c r="B111" s="3">
        <v>42368</v>
      </c>
      <c r="C111" s="3">
        <v>42368</v>
      </c>
      <c r="D111" s="4"/>
      <c r="E111" s="20" t="s">
        <v>1413</v>
      </c>
      <c r="F111" s="396" t="s">
        <v>332</v>
      </c>
      <c r="G111" s="396"/>
      <c r="H111" s="396" t="s">
        <v>333</v>
      </c>
      <c r="I111" s="26" t="s">
        <v>334</v>
      </c>
      <c r="J111" s="19"/>
      <c r="K111" s="19">
        <v>230000000</v>
      </c>
      <c r="L111" s="4">
        <f t="shared" si="3"/>
        <v>3824565479</v>
      </c>
      <c r="M111" s="18"/>
    </row>
    <row r="112" spans="1:13" ht="19.5" customHeight="1">
      <c r="A112" s="6" t="str">
        <f t="shared" si="2"/>
        <v>T12</v>
      </c>
      <c r="B112" s="3">
        <v>42369</v>
      </c>
      <c r="C112" s="3">
        <v>42369</v>
      </c>
      <c r="D112" s="4" t="s">
        <v>1409</v>
      </c>
      <c r="E112" s="20"/>
      <c r="F112" s="28" t="s">
        <v>1411</v>
      </c>
      <c r="G112" s="105"/>
      <c r="H112" s="5" t="s">
        <v>333</v>
      </c>
      <c r="I112" s="26" t="s">
        <v>334</v>
      </c>
      <c r="J112" s="19">
        <v>4287000</v>
      </c>
      <c r="K112" s="19"/>
      <c r="L112" s="4">
        <f t="shared" si="3"/>
        <v>3828852479</v>
      </c>
      <c r="M112" s="18"/>
    </row>
    <row r="113" spans="1:13" ht="19.5" customHeight="1">
      <c r="A113" s="6" t="str">
        <f t="shared" si="2"/>
        <v>T13</v>
      </c>
      <c r="B113" s="3">
        <v>42369</v>
      </c>
      <c r="C113" s="3">
        <v>42369</v>
      </c>
      <c r="D113" s="4" t="s">
        <v>1410</v>
      </c>
      <c r="E113" s="20"/>
      <c r="F113" s="28" t="s">
        <v>1411</v>
      </c>
      <c r="G113" s="105"/>
      <c r="H113" s="5" t="s">
        <v>335</v>
      </c>
      <c r="I113" s="26" t="s">
        <v>334</v>
      </c>
      <c r="J113" s="19">
        <v>6983000</v>
      </c>
      <c r="K113" s="19"/>
      <c r="L113" s="4">
        <f t="shared" si="3"/>
        <v>3835835479</v>
      </c>
      <c r="M113" s="18"/>
    </row>
    <row r="114" spans="1:13" ht="19.5" customHeight="1">
      <c r="A114" s="6" t="str">
        <f t="shared" si="2"/>
        <v>C58</v>
      </c>
      <c r="B114" s="3">
        <v>42369</v>
      </c>
      <c r="C114" s="3">
        <v>42369</v>
      </c>
      <c r="D114" s="4"/>
      <c r="E114" s="20" t="s">
        <v>1414</v>
      </c>
      <c r="F114" s="5" t="s">
        <v>1292</v>
      </c>
      <c r="G114" s="105" t="s">
        <v>1342</v>
      </c>
      <c r="H114" s="5" t="s">
        <v>192</v>
      </c>
      <c r="I114" s="26" t="s">
        <v>94</v>
      </c>
      <c r="J114" s="19"/>
      <c r="K114" s="19">
        <v>872545</v>
      </c>
      <c r="L114" s="4">
        <f t="shared" si="3"/>
        <v>3834962934</v>
      </c>
      <c r="M114" s="18"/>
    </row>
    <row r="115" spans="1:13" ht="19.5" customHeight="1">
      <c r="A115" s="6" t="str">
        <f t="shared" si="2"/>
        <v>C58</v>
      </c>
      <c r="B115" s="3">
        <v>42369</v>
      </c>
      <c r="C115" s="3">
        <v>42369</v>
      </c>
      <c r="D115" s="4"/>
      <c r="E115" s="20" t="s">
        <v>1414</v>
      </c>
      <c r="F115" s="5" t="s">
        <v>693</v>
      </c>
      <c r="G115" s="105" t="s">
        <v>1342</v>
      </c>
      <c r="H115" s="5" t="s">
        <v>192</v>
      </c>
      <c r="I115" s="26" t="s">
        <v>35</v>
      </c>
      <c r="J115" s="19"/>
      <c r="K115" s="19">
        <v>87255</v>
      </c>
      <c r="L115" s="4">
        <f t="shared" si="3"/>
        <v>3834875679</v>
      </c>
      <c r="M115" s="18"/>
    </row>
    <row r="116" spans="1:13" ht="19.5" customHeight="1">
      <c r="A116" s="6" t="str">
        <f t="shared" si="2"/>
        <v>C59</v>
      </c>
      <c r="B116" s="3">
        <v>42369</v>
      </c>
      <c r="C116" s="3">
        <v>42369</v>
      </c>
      <c r="D116" s="4"/>
      <c r="E116" s="20" t="s">
        <v>1415</v>
      </c>
      <c r="F116" s="5" t="s">
        <v>1143</v>
      </c>
      <c r="G116" s="105" t="s">
        <v>1261</v>
      </c>
      <c r="H116" s="5" t="s">
        <v>1343</v>
      </c>
      <c r="I116" s="26" t="s">
        <v>94</v>
      </c>
      <c r="J116" s="19"/>
      <c r="K116" s="19">
        <v>497455</v>
      </c>
      <c r="L116" s="4">
        <f t="shared" si="3"/>
        <v>3834378224</v>
      </c>
      <c r="M116" s="18"/>
    </row>
    <row r="117" spans="1:13" ht="19.5" customHeight="1">
      <c r="A117" s="6" t="str">
        <f t="shared" si="2"/>
        <v>C59</v>
      </c>
      <c r="B117" s="3">
        <v>42369</v>
      </c>
      <c r="C117" s="3">
        <v>42369</v>
      </c>
      <c r="D117" s="4"/>
      <c r="E117" s="20" t="s">
        <v>1415</v>
      </c>
      <c r="F117" s="5" t="s">
        <v>1146</v>
      </c>
      <c r="G117" s="105" t="s">
        <v>1261</v>
      </c>
      <c r="H117" s="5" t="s">
        <v>1343</v>
      </c>
      <c r="I117" s="26" t="s">
        <v>35</v>
      </c>
      <c r="J117" s="19"/>
      <c r="K117" s="19">
        <v>49745</v>
      </c>
      <c r="L117" s="4">
        <f t="shared" si="3"/>
        <v>3834328479</v>
      </c>
      <c r="M117" s="18"/>
    </row>
    <row r="118" spans="1:13" ht="19.5" customHeight="1">
      <c r="A118" s="6" t="str">
        <f t="shared" si="2"/>
        <v>C60</v>
      </c>
      <c r="B118" s="3">
        <v>42369</v>
      </c>
      <c r="C118" s="3">
        <v>42369</v>
      </c>
      <c r="D118" s="4"/>
      <c r="E118" s="20" t="s">
        <v>1416</v>
      </c>
      <c r="F118" s="5" t="s">
        <v>1393</v>
      </c>
      <c r="G118" s="105" t="s">
        <v>1394</v>
      </c>
      <c r="H118" s="5" t="s">
        <v>1297</v>
      </c>
      <c r="I118" s="26" t="s">
        <v>94</v>
      </c>
      <c r="J118" s="19"/>
      <c r="K118" s="19">
        <v>2183996</v>
      </c>
      <c r="L118" s="4">
        <f t="shared" si="3"/>
        <v>3832144483</v>
      </c>
      <c r="M118" s="18"/>
    </row>
    <row r="119" spans="1:13" ht="19.5" customHeight="1">
      <c r="A119" s="6" t="str">
        <f t="shared" si="2"/>
        <v>C60</v>
      </c>
      <c r="B119" s="3">
        <v>42369</v>
      </c>
      <c r="C119" s="3">
        <v>42369</v>
      </c>
      <c r="D119" s="4"/>
      <c r="E119" s="20" t="s">
        <v>1416</v>
      </c>
      <c r="F119" s="5" t="s">
        <v>1392</v>
      </c>
      <c r="G119" s="105" t="s">
        <v>1394</v>
      </c>
      <c r="H119" s="5" t="s">
        <v>1297</v>
      </c>
      <c r="I119" s="26" t="s">
        <v>35</v>
      </c>
      <c r="J119" s="19"/>
      <c r="K119" s="19">
        <v>218400</v>
      </c>
      <c r="L119" s="4">
        <f t="shared" si="3"/>
        <v>3831926083</v>
      </c>
      <c r="M119" s="18"/>
    </row>
    <row r="120" spans="1:13" ht="19.5" customHeight="1">
      <c r="A120" s="6" t="str">
        <f t="shared" si="2"/>
        <v>C61</v>
      </c>
      <c r="B120" s="3">
        <v>42369</v>
      </c>
      <c r="C120" s="3">
        <v>42369</v>
      </c>
      <c r="D120" s="4"/>
      <c r="E120" s="20" t="s">
        <v>1417</v>
      </c>
      <c r="F120" s="5" t="s">
        <v>1395</v>
      </c>
      <c r="G120" s="5"/>
      <c r="H120" s="5" t="s">
        <v>261</v>
      </c>
      <c r="I120" s="26" t="s">
        <v>37</v>
      </c>
      <c r="J120" s="19"/>
      <c r="K120" s="19">
        <v>126886988</v>
      </c>
      <c r="L120" s="4">
        <f t="shared" si="3"/>
        <v>3705039095</v>
      </c>
      <c r="M120" s="18"/>
    </row>
    <row r="121" spans="1:13" ht="19.5" customHeight="1">
      <c r="A121" s="6" t="str">
        <f t="shared" si="2"/>
        <v/>
      </c>
      <c r="B121" s="3"/>
      <c r="C121" s="3"/>
      <c r="D121" s="4"/>
      <c r="E121" s="20"/>
      <c r="F121" s="5"/>
      <c r="G121" s="5"/>
      <c r="H121" s="5"/>
      <c r="I121" s="26"/>
      <c r="J121" s="19"/>
      <c r="K121" s="19"/>
      <c r="L121" s="4">
        <f>IF(F121&lt;&gt;"",L45+J121-K121,0)</f>
        <v>0</v>
      </c>
      <c r="M121" s="18"/>
    </row>
    <row r="122" spans="1:13" s="34" customFormat="1" ht="19.5" customHeight="1">
      <c r="A122" s="6" t="str">
        <f t="shared" si="2"/>
        <v/>
      </c>
      <c r="B122" s="32"/>
      <c r="C122" s="32"/>
      <c r="D122" s="32"/>
      <c r="E122" s="32"/>
      <c r="F122" s="32" t="s">
        <v>29</v>
      </c>
      <c r="G122" s="32"/>
      <c r="H122" s="32"/>
      <c r="I122" s="33" t="s">
        <v>30</v>
      </c>
      <c r="J122" s="32">
        <f>SUM(J13:J120)</f>
        <v>11966270000</v>
      </c>
      <c r="K122" s="32">
        <f>SUM(K13:K120)</f>
        <v>10181520050</v>
      </c>
      <c r="L122" s="33" t="s">
        <v>30</v>
      </c>
      <c r="M122" s="33" t="s">
        <v>30</v>
      </c>
    </row>
    <row r="123" spans="1:13" s="34" customFormat="1" ht="19.5" customHeight="1">
      <c r="A123" s="6" t="str">
        <f t="shared" si="2"/>
        <v/>
      </c>
      <c r="B123" s="35"/>
      <c r="C123" s="35"/>
      <c r="D123" s="35"/>
      <c r="E123" s="35"/>
      <c r="F123" s="35" t="s">
        <v>31</v>
      </c>
      <c r="G123" s="35"/>
      <c r="H123" s="35"/>
      <c r="I123" s="36" t="s">
        <v>30</v>
      </c>
      <c r="J123" s="36" t="s">
        <v>30</v>
      </c>
      <c r="K123" s="36" t="s">
        <v>30</v>
      </c>
      <c r="L123" s="35">
        <f>L12+J122-K122</f>
        <v>3705039095</v>
      </c>
      <c r="M123" s="36" t="s">
        <v>30</v>
      </c>
    </row>
    <row r="125" spans="1:13">
      <c r="B125" s="25" t="s">
        <v>32</v>
      </c>
    </row>
    <row r="126" spans="1:13">
      <c r="B126" s="25" t="s">
        <v>1205</v>
      </c>
    </row>
    <row r="127" spans="1:13">
      <c r="L127" s="8" t="s">
        <v>1206</v>
      </c>
    </row>
    <row r="128" spans="1:13" s="7" customFormat="1" ht="14.25">
      <c r="C128" s="7" t="s">
        <v>33</v>
      </c>
      <c r="F128" s="7" t="s">
        <v>13</v>
      </c>
      <c r="L128" s="7" t="s">
        <v>14</v>
      </c>
    </row>
    <row r="129" spans="3:19" s="2" customFormat="1">
      <c r="C129" s="2" t="s">
        <v>15</v>
      </c>
      <c r="F129" s="2" t="s">
        <v>15</v>
      </c>
      <c r="L129" s="2" t="s">
        <v>16</v>
      </c>
    </row>
    <row r="135" spans="3:19" s="419" customFormat="1">
      <c r="C135" s="420" t="s">
        <v>1388</v>
      </c>
      <c r="L135" s="420" t="s">
        <v>1389</v>
      </c>
      <c r="O135" s="6"/>
      <c r="P135" s="6"/>
      <c r="Q135" s="6"/>
      <c r="R135" s="6"/>
      <c r="S135" s="6"/>
    </row>
  </sheetData>
  <autoFilter ref="A11:M123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G27:H28 G44:H45 G65:H65 G72:H72 G78:H78 G85:H85 G101:H101 G91:H92 G95:H96 G110:H111">
    <cfRule type="expression" dxfId="0" priority="5" stopIfTrue="1">
      <formula>$C27&lt;&gt;""</formula>
    </cfRule>
  </conditionalFormatting>
  <printOptions horizontalCentered="1"/>
  <pageMargins left="0.9" right="0.3" top="0.3" bottom="0.3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>
    <tabColor indexed="10"/>
  </sheetPr>
  <dimension ref="A1:N697"/>
  <sheetViews>
    <sheetView topLeftCell="A8" workbookViewId="0">
      <pane ySplit="4" topLeftCell="A189" activePane="bottomLeft" state="frozen"/>
      <selection activeCell="E186" sqref="E186"/>
      <selection pane="bottomLeft" activeCell="F8" sqref="F1:F1048576"/>
    </sheetView>
  </sheetViews>
  <sheetFormatPr defaultRowHeight="15.75"/>
  <cols>
    <col min="1" max="1" width="6.140625" style="155" customWidth="1"/>
    <col min="2" max="2" width="9" style="156" customWidth="1"/>
    <col min="3" max="3" width="5.42578125" style="157" customWidth="1"/>
    <col min="4" max="4" width="9.5703125" style="156" customWidth="1"/>
    <col min="5" max="5" width="43.85546875" style="158" customWidth="1"/>
    <col min="6" max="6" width="10.140625" style="158" hidden="1" customWidth="1"/>
    <col min="7" max="7" width="6.5703125" style="155" customWidth="1"/>
    <col min="8" max="10" width="15.28515625" style="155" customWidth="1"/>
    <col min="11" max="11" width="6.42578125" style="155" customWidth="1"/>
    <col min="12" max="12" width="10.7109375" style="155" bestFit="1" customWidth="1"/>
    <col min="13" max="13" width="9.85546875" style="155" bestFit="1" customWidth="1"/>
    <col min="14" max="16384" width="9.140625" style="155"/>
  </cols>
  <sheetData>
    <row r="1" spans="1:14" s="108" customFormat="1" ht="16.5" customHeight="1">
      <c r="B1" s="109" t="s">
        <v>350</v>
      </c>
      <c r="C1" s="110"/>
      <c r="D1" s="111"/>
      <c r="E1" s="112"/>
      <c r="F1" s="112"/>
      <c r="I1" s="479" t="s">
        <v>351</v>
      </c>
      <c r="J1" s="479"/>
      <c r="K1" s="479"/>
      <c r="L1" s="113"/>
      <c r="M1" s="113"/>
    </row>
    <row r="2" spans="1:14" s="108" customFormat="1" ht="16.5" customHeight="1">
      <c r="B2" s="478" t="s">
        <v>352</v>
      </c>
      <c r="C2" s="478"/>
      <c r="D2" s="478"/>
      <c r="E2" s="478"/>
      <c r="F2" s="114"/>
      <c r="I2" s="480" t="s">
        <v>353</v>
      </c>
      <c r="J2" s="480"/>
      <c r="K2" s="480"/>
      <c r="L2" s="115"/>
      <c r="M2" s="115"/>
    </row>
    <row r="3" spans="1:14" s="108" customFormat="1" ht="16.5" customHeight="1">
      <c r="B3" s="478"/>
      <c r="C3" s="478"/>
      <c r="D3" s="478"/>
      <c r="E3" s="478"/>
      <c r="F3" s="114"/>
      <c r="I3" s="480" t="s">
        <v>354</v>
      </c>
      <c r="J3" s="480"/>
      <c r="K3" s="480"/>
    </row>
    <row r="4" spans="1:14" s="108" customFormat="1" ht="19.5" customHeight="1">
      <c r="B4" s="481" t="s">
        <v>355</v>
      </c>
      <c r="C4" s="481"/>
      <c r="D4" s="481"/>
      <c r="E4" s="481"/>
      <c r="F4" s="481"/>
      <c r="G4" s="481"/>
      <c r="H4" s="481"/>
      <c r="I4" s="481"/>
      <c r="J4" s="481"/>
      <c r="K4" s="481"/>
    </row>
    <row r="5" spans="1:14" s="108" customFormat="1" ht="15">
      <c r="B5" s="480" t="s">
        <v>356</v>
      </c>
      <c r="C5" s="480"/>
      <c r="D5" s="480"/>
      <c r="E5" s="480"/>
      <c r="F5" s="480"/>
      <c r="G5" s="480"/>
      <c r="H5" s="480"/>
      <c r="I5" s="480"/>
      <c r="J5" s="480"/>
      <c r="K5" s="480"/>
    </row>
    <row r="6" spans="1:14" s="108" customFormat="1" ht="15">
      <c r="B6" s="480" t="s">
        <v>357</v>
      </c>
      <c r="C6" s="480"/>
      <c r="D6" s="480"/>
      <c r="E6" s="480"/>
      <c r="F6" s="480"/>
      <c r="G6" s="480"/>
      <c r="H6" s="480"/>
      <c r="I6" s="480"/>
      <c r="J6" s="480"/>
      <c r="K6" s="480"/>
    </row>
    <row r="7" spans="1:14" s="108" customFormat="1" ht="5.25" customHeight="1">
      <c r="B7" s="116"/>
      <c r="C7" s="115"/>
      <c r="D7" s="116"/>
      <c r="E7" s="117"/>
      <c r="F7" s="117"/>
      <c r="G7" s="115"/>
      <c r="H7" s="115"/>
      <c r="I7" s="115"/>
      <c r="J7" s="115"/>
      <c r="K7" s="115"/>
    </row>
    <row r="8" spans="1:14" s="125" customFormat="1" ht="17.25" customHeight="1">
      <c r="A8" s="476" t="s">
        <v>175</v>
      </c>
      <c r="B8" s="482" t="s">
        <v>358</v>
      </c>
      <c r="C8" s="484" t="s">
        <v>359</v>
      </c>
      <c r="D8" s="485"/>
      <c r="E8" s="489" t="s">
        <v>3</v>
      </c>
      <c r="F8" s="124"/>
      <c r="G8" s="489" t="s">
        <v>22</v>
      </c>
      <c r="H8" s="491" t="s">
        <v>125</v>
      </c>
      <c r="I8" s="484"/>
      <c r="J8" s="485"/>
      <c r="K8" s="489" t="s">
        <v>4</v>
      </c>
    </row>
    <row r="9" spans="1:14" s="125" customFormat="1" ht="29.25" customHeight="1">
      <c r="A9" s="477"/>
      <c r="B9" s="483"/>
      <c r="C9" s="123" t="s">
        <v>360</v>
      </c>
      <c r="D9" s="126" t="s">
        <v>361</v>
      </c>
      <c r="E9" s="490"/>
      <c r="F9" s="127"/>
      <c r="G9" s="490"/>
      <c r="H9" s="124" t="s">
        <v>362</v>
      </c>
      <c r="I9" s="124" t="s">
        <v>363</v>
      </c>
      <c r="J9" s="124" t="s">
        <v>364</v>
      </c>
      <c r="K9" s="490"/>
    </row>
    <row r="10" spans="1:14" s="131" customFormat="1" ht="12">
      <c r="A10" s="128"/>
      <c r="B10" s="129" t="s">
        <v>7</v>
      </c>
      <c r="C10" s="130" t="s">
        <v>8</v>
      </c>
      <c r="D10" s="129" t="s">
        <v>9</v>
      </c>
      <c r="E10" s="130" t="s">
        <v>10</v>
      </c>
      <c r="F10" s="130"/>
      <c r="G10" s="130" t="s">
        <v>11</v>
      </c>
      <c r="H10" s="130">
        <v>1</v>
      </c>
      <c r="I10" s="130">
        <v>2</v>
      </c>
      <c r="J10" s="130">
        <v>3</v>
      </c>
      <c r="K10" s="130" t="s">
        <v>27</v>
      </c>
    </row>
    <row r="11" spans="1:14" s="125" customFormat="1" ht="17.25" customHeight="1">
      <c r="A11" s="132"/>
      <c r="B11" s="133"/>
      <c r="C11" s="134"/>
      <c r="D11" s="133"/>
      <c r="E11" s="135" t="s">
        <v>365</v>
      </c>
      <c r="F11" s="135"/>
      <c r="G11" s="136"/>
      <c r="H11" s="137"/>
      <c r="I11" s="136"/>
      <c r="J11" s="137">
        <v>4440840</v>
      </c>
      <c r="K11" s="136"/>
      <c r="L11" s="138">
        <f>J11+'Q4-VND'!J11+M11</f>
        <v>5342684</v>
      </c>
      <c r="M11" s="139">
        <v>109992</v>
      </c>
      <c r="N11" s="125" t="s">
        <v>366</v>
      </c>
    </row>
    <row r="12" spans="1:14" s="125" customFormat="1" ht="17.25" customHeight="1">
      <c r="A12" s="125">
        <f t="shared" ref="A12:A75" si="0">IF(B12&lt;&gt;"",MONTH(B12),"")</f>
        <v>1</v>
      </c>
      <c r="B12" s="140">
        <v>42009</v>
      </c>
      <c r="C12" s="141" t="s">
        <v>141</v>
      </c>
      <c r="D12" s="140">
        <f>IF(B12&lt;&gt;"",B12,"")</f>
        <v>42009</v>
      </c>
      <c r="E12" s="142" t="s">
        <v>71</v>
      </c>
      <c r="F12" s="142"/>
      <c r="G12" s="143" t="s">
        <v>367</v>
      </c>
      <c r="H12" s="144">
        <v>869000000</v>
      </c>
      <c r="I12" s="144"/>
      <c r="J12" s="145">
        <f>IF(B12&lt;&gt;"",J11+H12-I12,0)</f>
        <v>873440840</v>
      </c>
      <c r="K12" s="145"/>
    </row>
    <row r="13" spans="1:14" s="125" customFormat="1" ht="17.25" customHeight="1">
      <c r="A13" s="125">
        <f t="shared" si="0"/>
        <v>1</v>
      </c>
      <c r="B13" s="140">
        <v>42009</v>
      </c>
      <c r="C13" s="141" t="s">
        <v>368</v>
      </c>
      <c r="D13" s="140">
        <f t="shared" ref="D13:D76" si="1">IF(B13&lt;&gt;"",B13,"")</f>
        <v>42009</v>
      </c>
      <c r="E13" s="142" t="s">
        <v>369</v>
      </c>
      <c r="F13" s="142"/>
      <c r="G13" s="141" t="s">
        <v>370</v>
      </c>
      <c r="H13" s="144"/>
      <c r="I13" s="144">
        <v>867105000</v>
      </c>
      <c r="J13" s="145">
        <f t="shared" ref="J13:J76" si="2">IF(B13&lt;&gt;"",J12+H13-I13,0)</f>
        <v>6335840</v>
      </c>
      <c r="K13" s="145"/>
    </row>
    <row r="14" spans="1:14" s="125" customFormat="1" ht="17.25" customHeight="1">
      <c r="A14" s="125">
        <f t="shared" si="0"/>
        <v>1</v>
      </c>
      <c r="B14" s="140">
        <v>42010</v>
      </c>
      <c r="C14" s="141" t="s">
        <v>142</v>
      </c>
      <c r="D14" s="140">
        <f t="shared" si="1"/>
        <v>42010</v>
      </c>
      <c r="E14" s="142" t="s">
        <v>71</v>
      </c>
      <c r="F14" s="142"/>
      <c r="G14" s="143" t="s">
        <v>367</v>
      </c>
      <c r="H14" s="144">
        <v>200000000</v>
      </c>
      <c r="I14" s="144"/>
      <c r="J14" s="145">
        <f t="shared" si="2"/>
        <v>206335840</v>
      </c>
      <c r="K14" s="145"/>
    </row>
    <row r="15" spans="1:14" s="125" customFormat="1" ht="17.25" customHeight="1">
      <c r="A15" s="125">
        <f t="shared" si="0"/>
        <v>1</v>
      </c>
      <c r="B15" s="140">
        <v>42010</v>
      </c>
      <c r="C15" s="141" t="s">
        <v>371</v>
      </c>
      <c r="D15" s="140">
        <f t="shared" si="1"/>
        <v>42010</v>
      </c>
      <c r="E15" s="142" t="s">
        <v>372</v>
      </c>
      <c r="F15" s="142"/>
      <c r="G15" s="143" t="s">
        <v>370</v>
      </c>
      <c r="H15" s="144">
        <v>1048600000</v>
      </c>
      <c r="I15" s="144"/>
      <c r="J15" s="145">
        <f t="shared" si="2"/>
        <v>1254935840</v>
      </c>
      <c r="K15" s="145"/>
    </row>
    <row r="16" spans="1:14" s="125" customFormat="1" ht="17.25" customHeight="1">
      <c r="A16" s="125">
        <f t="shared" si="0"/>
        <v>1</v>
      </c>
      <c r="B16" s="140">
        <v>42010</v>
      </c>
      <c r="C16" s="141" t="s">
        <v>368</v>
      </c>
      <c r="D16" s="140">
        <f t="shared" si="1"/>
        <v>42010</v>
      </c>
      <c r="E16" s="142" t="s">
        <v>373</v>
      </c>
      <c r="F16" s="142"/>
      <c r="G16" s="141" t="s">
        <v>374</v>
      </c>
      <c r="H16" s="144"/>
      <c r="I16" s="144">
        <v>2373131</v>
      </c>
      <c r="J16" s="145">
        <f t="shared" si="2"/>
        <v>1252562709</v>
      </c>
      <c r="K16" s="145"/>
    </row>
    <row r="17" spans="1:11" s="125" customFormat="1" ht="17.25" customHeight="1">
      <c r="A17" s="125">
        <f t="shared" si="0"/>
        <v>1</v>
      </c>
      <c r="B17" s="140">
        <v>42010</v>
      </c>
      <c r="C17" s="141" t="s">
        <v>368</v>
      </c>
      <c r="D17" s="140">
        <f t="shared" si="1"/>
        <v>42010</v>
      </c>
      <c r="E17" s="142" t="s">
        <v>375</v>
      </c>
      <c r="F17" s="142"/>
      <c r="G17" s="141" t="s">
        <v>374</v>
      </c>
      <c r="H17" s="144"/>
      <c r="I17" s="144">
        <v>5628195</v>
      </c>
      <c r="J17" s="145">
        <f t="shared" si="2"/>
        <v>1246934514</v>
      </c>
      <c r="K17" s="145"/>
    </row>
    <row r="18" spans="1:11" s="125" customFormat="1" ht="17.25" customHeight="1">
      <c r="A18" s="125">
        <f t="shared" si="0"/>
        <v>1</v>
      </c>
      <c r="B18" s="140">
        <v>42010</v>
      </c>
      <c r="C18" s="141" t="s">
        <v>368</v>
      </c>
      <c r="D18" s="140">
        <f t="shared" si="1"/>
        <v>42010</v>
      </c>
      <c r="E18" s="142" t="s">
        <v>376</v>
      </c>
      <c r="F18" s="142"/>
      <c r="G18" s="141" t="s">
        <v>374</v>
      </c>
      <c r="H18" s="144"/>
      <c r="I18" s="144">
        <v>3498770</v>
      </c>
      <c r="J18" s="145">
        <f t="shared" si="2"/>
        <v>1243435744</v>
      </c>
      <c r="K18" s="145"/>
    </row>
    <row r="19" spans="1:11" s="125" customFormat="1" ht="17.25" customHeight="1">
      <c r="A19" s="125">
        <f t="shared" si="0"/>
        <v>1</v>
      </c>
      <c r="B19" s="140">
        <v>42010</v>
      </c>
      <c r="C19" s="141" t="s">
        <v>368</v>
      </c>
      <c r="D19" s="140">
        <f t="shared" si="1"/>
        <v>42010</v>
      </c>
      <c r="E19" s="142" t="s">
        <v>377</v>
      </c>
      <c r="F19" s="142"/>
      <c r="G19" s="141" t="s">
        <v>374</v>
      </c>
      <c r="H19" s="144"/>
      <c r="I19" s="144">
        <v>4898149</v>
      </c>
      <c r="J19" s="145">
        <f t="shared" si="2"/>
        <v>1238537595</v>
      </c>
      <c r="K19" s="145"/>
    </row>
    <row r="20" spans="1:11" s="125" customFormat="1" ht="17.25" customHeight="1">
      <c r="A20" s="125">
        <f t="shared" si="0"/>
        <v>1</v>
      </c>
      <c r="B20" s="140">
        <v>42010</v>
      </c>
      <c r="C20" s="141" t="s">
        <v>368</v>
      </c>
      <c r="D20" s="140">
        <f t="shared" si="1"/>
        <v>42010</v>
      </c>
      <c r="E20" s="142" t="s">
        <v>590</v>
      </c>
      <c r="F20" s="142"/>
      <c r="G20" s="141" t="s">
        <v>34</v>
      </c>
      <c r="H20" s="144"/>
      <c r="I20" s="144">
        <v>1560000</v>
      </c>
      <c r="J20" s="145">
        <f t="shared" si="2"/>
        <v>1236977595</v>
      </c>
      <c r="K20" s="145"/>
    </row>
    <row r="21" spans="1:11" s="125" customFormat="1" ht="17.25" customHeight="1">
      <c r="A21" s="125">
        <f t="shared" si="0"/>
        <v>1</v>
      </c>
      <c r="B21" s="140">
        <v>42010</v>
      </c>
      <c r="C21" s="141" t="s">
        <v>368</v>
      </c>
      <c r="D21" s="140">
        <f t="shared" si="1"/>
        <v>42010</v>
      </c>
      <c r="E21" s="142" t="s">
        <v>378</v>
      </c>
      <c r="F21" s="142"/>
      <c r="G21" s="143" t="s">
        <v>94</v>
      </c>
      <c r="H21" s="144"/>
      <c r="I21" s="144">
        <v>20000</v>
      </c>
      <c r="J21" s="145">
        <f t="shared" si="2"/>
        <v>1236957595</v>
      </c>
      <c r="K21" s="145"/>
    </row>
    <row r="22" spans="1:11" s="125" customFormat="1" ht="17.25" customHeight="1">
      <c r="A22" s="125">
        <f t="shared" si="0"/>
        <v>1</v>
      </c>
      <c r="B22" s="140">
        <v>42010</v>
      </c>
      <c r="C22" s="141" t="s">
        <v>368</v>
      </c>
      <c r="D22" s="140">
        <f t="shared" si="1"/>
        <v>42010</v>
      </c>
      <c r="E22" s="142" t="s">
        <v>379</v>
      </c>
      <c r="F22" s="142"/>
      <c r="G22" s="141" t="s">
        <v>35</v>
      </c>
      <c r="H22" s="144"/>
      <c r="I22" s="144">
        <v>2000</v>
      </c>
      <c r="J22" s="145">
        <f t="shared" si="2"/>
        <v>1236955595</v>
      </c>
      <c r="K22" s="145"/>
    </row>
    <row r="23" spans="1:11" s="125" customFormat="1" ht="17.25" customHeight="1">
      <c r="A23" s="125">
        <f t="shared" si="0"/>
        <v>1</v>
      </c>
      <c r="B23" s="140">
        <v>42010</v>
      </c>
      <c r="C23" s="141" t="s">
        <v>368</v>
      </c>
      <c r="D23" s="140">
        <f t="shared" si="1"/>
        <v>42010</v>
      </c>
      <c r="E23" s="142" t="s">
        <v>864</v>
      </c>
      <c r="F23" s="142"/>
      <c r="G23" s="141" t="s">
        <v>34</v>
      </c>
      <c r="H23" s="144"/>
      <c r="I23" s="144">
        <v>32549000</v>
      </c>
      <c r="J23" s="145">
        <f t="shared" si="2"/>
        <v>1204406595</v>
      </c>
      <c r="K23" s="145"/>
    </row>
    <row r="24" spans="1:11" s="125" customFormat="1" ht="17.25" customHeight="1">
      <c r="A24" s="125">
        <f t="shared" si="0"/>
        <v>1</v>
      </c>
      <c r="B24" s="140">
        <v>42010</v>
      </c>
      <c r="C24" s="141" t="s">
        <v>368</v>
      </c>
      <c r="D24" s="140">
        <f t="shared" si="1"/>
        <v>42010</v>
      </c>
      <c r="E24" s="142" t="s">
        <v>380</v>
      </c>
      <c r="F24" s="142"/>
      <c r="G24" s="143" t="s">
        <v>94</v>
      </c>
      <c r="H24" s="144"/>
      <c r="I24" s="144">
        <v>40000</v>
      </c>
      <c r="J24" s="145">
        <f t="shared" si="2"/>
        <v>1204366595</v>
      </c>
      <c r="K24" s="145"/>
    </row>
    <row r="25" spans="1:11" s="125" customFormat="1" ht="17.25" customHeight="1">
      <c r="A25" s="125">
        <f t="shared" si="0"/>
        <v>1</v>
      </c>
      <c r="B25" s="140">
        <v>42010</v>
      </c>
      <c r="C25" s="141" t="s">
        <v>368</v>
      </c>
      <c r="D25" s="140">
        <f t="shared" si="1"/>
        <v>42010</v>
      </c>
      <c r="E25" s="142" t="s">
        <v>381</v>
      </c>
      <c r="F25" s="142"/>
      <c r="G25" s="143" t="s">
        <v>35</v>
      </c>
      <c r="H25" s="144"/>
      <c r="I25" s="144">
        <v>4000</v>
      </c>
      <c r="J25" s="145">
        <f t="shared" si="2"/>
        <v>1204362595</v>
      </c>
      <c r="K25" s="145"/>
    </row>
    <row r="26" spans="1:11" s="125" customFormat="1" ht="17.25" customHeight="1">
      <c r="A26" s="125">
        <f t="shared" si="0"/>
        <v>1</v>
      </c>
      <c r="B26" s="140">
        <v>42010</v>
      </c>
      <c r="C26" s="141" t="s">
        <v>368</v>
      </c>
      <c r="D26" s="140">
        <f t="shared" si="1"/>
        <v>42010</v>
      </c>
      <c r="E26" s="142" t="s">
        <v>865</v>
      </c>
      <c r="F26" s="142"/>
      <c r="G26" s="141" t="s">
        <v>34</v>
      </c>
      <c r="H26" s="144"/>
      <c r="I26" s="144">
        <v>27638380</v>
      </c>
      <c r="J26" s="145">
        <f t="shared" si="2"/>
        <v>1176724215</v>
      </c>
      <c r="K26" s="145"/>
    </row>
    <row r="27" spans="1:11" s="125" customFormat="1" ht="17.25" customHeight="1">
      <c r="A27" s="125">
        <f t="shared" si="0"/>
        <v>1</v>
      </c>
      <c r="B27" s="140">
        <v>42010</v>
      </c>
      <c r="C27" s="141" t="s">
        <v>368</v>
      </c>
      <c r="D27" s="140">
        <f t="shared" si="1"/>
        <v>42010</v>
      </c>
      <c r="E27" s="142" t="s">
        <v>382</v>
      </c>
      <c r="F27" s="142"/>
      <c r="G27" s="143" t="s">
        <v>94</v>
      </c>
      <c r="H27" s="144"/>
      <c r="I27" s="144">
        <v>45000</v>
      </c>
      <c r="J27" s="145">
        <f t="shared" si="2"/>
        <v>1176679215</v>
      </c>
      <c r="K27" s="145"/>
    </row>
    <row r="28" spans="1:11" s="125" customFormat="1" ht="17.25" customHeight="1">
      <c r="A28" s="125">
        <f t="shared" si="0"/>
        <v>1</v>
      </c>
      <c r="B28" s="140">
        <v>42010</v>
      </c>
      <c r="C28" s="141" t="s">
        <v>368</v>
      </c>
      <c r="D28" s="140">
        <f t="shared" si="1"/>
        <v>42010</v>
      </c>
      <c r="E28" s="142" t="s">
        <v>383</v>
      </c>
      <c r="F28" s="142"/>
      <c r="G28" s="141" t="s">
        <v>35</v>
      </c>
      <c r="H28" s="144"/>
      <c r="I28" s="144">
        <v>4500</v>
      </c>
      <c r="J28" s="145">
        <f t="shared" si="2"/>
        <v>1176674715</v>
      </c>
      <c r="K28" s="145"/>
    </row>
    <row r="29" spans="1:11" s="125" customFormat="1" ht="17.25" customHeight="1">
      <c r="A29" s="125">
        <f t="shared" si="0"/>
        <v>1</v>
      </c>
      <c r="B29" s="140">
        <v>42010</v>
      </c>
      <c r="C29" s="141" t="s">
        <v>368</v>
      </c>
      <c r="D29" s="140">
        <f t="shared" si="1"/>
        <v>42010</v>
      </c>
      <c r="E29" s="142" t="s">
        <v>590</v>
      </c>
      <c r="F29" s="142"/>
      <c r="G29" s="141" t="s">
        <v>34</v>
      </c>
      <c r="H29" s="144"/>
      <c r="I29" s="144">
        <v>3755000</v>
      </c>
      <c r="J29" s="145">
        <f t="shared" si="2"/>
        <v>1172919715</v>
      </c>
      <c r="K29" s="145"/>
    </row>
    <row r="30" spans="1:11" s="125" customFormat="1" ht="17.25" customHeight="1">
      <c r="A30" s="125">
        <f t="shared" si="0"/>
        <v>1</v>
      </c>
      <c r="B30" s="140">
        <v>42010</v>
      </c>
      <c r="C30" s="141" t="s">
        <v>368</v>
      </c>
      <c r="D30" s="140">
        <f t="shared" si="1"/>
        <v>42010</v>
      </c>
      <c r="E30" s="142" t="s">
        <v>378</v>
      </c>
      <c r="F30" s="142"/>
      <c r="G30" s="143" t="s">
        <v>94</v>
      </c>
      <c r="H30" s="144"/>
      <c r="I30" s="144">
        <v>40000</v>
      </c>
      <c r="J30" s="145">
        <f t="shared" si="2"/>
        <v>1172879715</v>
      </c>
      <c r="K30" s="145"/>
    </row>
    <row r="31" spans="1:11" s="125" customFormat="1" ht="17.25" customHeight="1">
      <c r="A31" s="125">
        <f t="shared" si="0"/>
        <v>1</v>
      </c>
      <c r="B31" s="140">
        <v>42010</v>
      </c>
      <c r="C31" s="141" t="s">
        <v>368</v>
      </c>
      <c r="D31" s="140">
        <f t="shared" si="1"/>
        <v>42010</v>
      </c>
      <c r="E31" s="142" t="s">
        <v>379</v>
      </c>
      <c r="F31" s="142"/>
      <c r="G31" s="141" t="s">
        <v>35</v>
      </c>
      <c r="H31" s="144"/>
      <c r="I31" s="144">
        <v>4000</v>
      </c>
      <c r="J31" s="145">
        <f t="shared" si="2"/>
        <v>1172875715</v>
      </c>
      <c r="K31" s="145"/>
    </row>
    <row r="32" spans="1:11" s="125" customFormat="1" ht="17.25" customHeight="1">
      <c r="A32" s="125">
        <f t="shared" si="0"/>
        <v>1</v>
      </c>
      <c r="B32" s="140">
        <v>42010</v>
      </c>
      <c r="C32" s="141" t="s">
        <v>368</v>
      </c>
      <c r="D32" s="140">
        <f t="shared" si="1"/>
        <v>42010</v>
      </c>
      <c r="E32" s="142" t="s">
        <v>805</v>
      </c>
      <c r="F32" s="142"/>
      <c r="G32" s="141" t="s">
        <v>34</v>
      </c>
      <c r="H32" s="144"/>
      <c r="I32" s="144">
        <v>23850112</v>
      </c>
      <c r="J32" s="145">
        <f t="shared" si="2"/>
        <v>1149025603</v>
      </c>
      <c r="K32" s="145"/>
    </row>
    <row r="33" spans="1:11" s="125" customFormat="1" ht="17.25" customHeight="1">
      <c r="A33" s="125">
        <f t="shared" si="0"/>
        <v>1</v>
      </c>
      <c r="B33" s="140">
        <v>42010</v>
      </c>
      <c r="C33" s="141" t="s">
        <v>368</v>
      </c>
      <c r="D33" s="140">
        <f t="shared" si="1"/>
        <v>42010</v>
      </c>
      <c r="E33" s="142" t="s">
        <v>384</v>
      </c>
      <c r="F33" s="142"/>
      <c r="G33" s="143" t="s">
        <v>94</v>
      </c>
      <c r="H33" s="144"/>
      <c r="I33" s="144">
        <v>45000</v>
      </c>
      <c r="J33" s="145">
        <f t="shared" si="2"/>
        <v>1148980603</v>
      </c>
      <c r="K33" s="145"/>
    </row>
    <row r="34" spans="1:11" s="125" customFormat="1" ht="17.25" customHeight="1">
      <c r="A34" s="125">
        <f t="shared" si="0"/>
        <v>1</v>
      </c>
      <c r="B34" s="140">
        <v>42010</v>
      </c>
      <c r="C34" s="141" t="s">
        <v>368</v>
      </c>
      <c r="D34" s="140">
        <f t="shared" si="1"/>
        <v>42010</v>
      </c>
      <c r="E34" s="142" t="s">
        <v>385</v>
      </c>
      <c r="F34" s="142"/>
      <c r="G34" s="141" t="s">
        <v>35</v>
      </c>
      <c r="H34" s="144"/>
      <c r="I34" s="144">
        <v>4500</v>
      </c>
      <c r="J34" s="145">
        <f t="shared" si="2"/>
        <v>1148976103</v>
      </c>
      <c r="K34" s="145"/>
    </row>
    <row r="35" spans="1:11" s="125" customFormat="1" ht="17.25" customHeight="1">
      <c r="A35" s="125">
        <f t="shared" si="0"/>
        <v>1</v>
      </c>
      <c r="B35" s="140">
        <v>42010</v>
      </c>
      <c r="C35" s="141" t="s">
        <v>39</v>
      </c>
      <c r="D35" s="140">
        <f t="shared" si="1"/>
        <v>42010</v>
      </c>
      <c r="E35" s="142" t="s">
        <v>62</v>
      </c>
      <c r="F35" s="142"/>
      <c r="G35" s="143" t="s">
        <v>367</v>
      </c>
      <c r="H35" s="144"/>
      <c r="I35" s="144">
        <v>1048000000</v>
      </c>
      <c r="J35" s="145">
        <f t="shared" si="2"/>
        <v>100976103</v>
      </c>
      <c r="K35" s="145"/>
    </row>
    <row r="36" spans="1:11" s="125" customFormat="1" ht="17.25" customHeight="1">
      <c r="A36" s="125">
        <f t="shared" si="0"/>
        <v>1</v>
      </c>
      <c r="B36" s="140">
        <v>42011</v>
      </c>
      <c r="C36" s="141" t="s">
        <v>368</v>
      </c>
      <c r="D36" s="140">
        <f t="shared" si="1"/>
        <v>42011</v>
      </c>
      <c r="E36" s="142" t="s">
        <v>866</v>
      </c>
      <c r="F36" s="142"/>
      <c r="G36" s="141" t="s">
        <v>34</v>
      </c>
      <c r="H36" s="144"/>
      <c r="I36" s="144">
        <v>100000000</v>
      </c>
      <c r="J36" s="145">
        <f t="shared" si="2"/>
        <v>976103</v>
      </c>
      <c r="K36" s="145"/>
    </row>
    <row r="37" spans="1:11" s="125" customFormat="1" ht="17.25" customHeight="1">
      <c r="A37" s="125">
        <f t="shared" si="0"/>
        <v>1</v>
      </c>
      <c r="B37" s="140">
        <v>42011</v>
      </c>
      <c r="C37" s="141" t="s">
        <v>368</v>
      </c>
      <c r="D37" s="140">
        <f t="shared" si="1"/>
        <v>42011</v>
      </c>
      <c r="E37" s="142" t="s">
        <v>386</v>
      </c>
      <c r="F37" s="142"/>
      <c r="G37" s="143" t="s">
        <v>94</v>
      </c>
      <c r="H37" s="144"/>
      <c r="I37" s="144">
        <v>30000</v>
      </c>
      <c r="J37" s="145">
        <f t="shared" si="2"/>
        <v>946103</v>
      </c>
      <c r="K37" s="145"/>
    </row>
    <row r="38" spans="1:11" s="125" customFormat="1" ht="17.25" customHeight="1">
      <c r="A38" s="125">
        <f t="shared" si="0"/>
        <v>1</v>
      </c>
      <c r="B38" s="140">
        <v>42011</v>
      </c>
      <c r="C38" s="141" t="s">
        <v>368</v>
      </c>
      <c r="D38" s="140">
        <f t="shared" si="1"/>
        <v>42011</v>
      </c>
      <c r="E38" s="142" t="s">
        <v>387</v>
      </c>
      <c r="F38" s="142"/>
      <c r="G38" s="143" t="s">
        <v>35</v>
      </c>
      <c r="H38" s="144"/>
      <c r="I38" s="144">
        <v>3000</v>
      </c>
      <c r="J38" s="145">
        <f t="shared" si="2"/>
        <v>943103</v>
      </c>
      <c r="K38" s="145"/>
    </row>
    <row r="39" spans="1:11" s="125" customFormat="1" ht="17.25" customHeight="1">
      <c r="A39" s="125">
        <f t="shared" si="0"/>
        <v>1</v>
      </c>
      <c r="B39" s="140">
        <v>42012</v>
      </c>
      <c r="C39" s="141" t="s">
        <v>147</v>
      </c>
      <c r="D39" s="140">
        <f t="shared" si="1"/>
        <v>42012</v>
      </c>
      <c r="E39" s="142" t="s">
        <v>71</v>
      </c>
      <c r="F39" s="142"/>
      <c r="G39" s="143" t="s">
        <v>367</v>
      </c>
      <c r="H39" s="144">
        <v>76600000</v>
      </c>
      <c r="I39" s="144"/>
      <c r="J39" s="145">
        <f t="shared" si="2"/>
        <v>77543103</v>
      </c>
      <c r="K39" s="145"/>
    </row>
    <row r="40" spans="1:11" s="125" customFormat="1" ht="17.25" customHeight="1">
      <c r="A40" s="125">
        <f t="shared" si="0"/>
        <v>1</v>
      </c>
      <c r="B40" s="140">
        <v>42012</v>
      </c>
      <c r="C40" s="141" t="s">
        <v>368</v>
      </c>
      <c r="D40" s="140">
        <f t="shared" si="1"/>
        <v>42012</v>
      </c>
      <c r="E40" s="142" t="s">
        <v>866</v>
      </c>
      <c r="F40" s="142"/>
      <c r="G40" s="141" t="s">
        <v>34</v>
      </c>
      <c r="H40" s="144"/>
      <c r="I40" s="144">
        <v>76607913</v>
      </c>
      <c r="J40" s="145">
        <f t="shared" si="2"/>
        <v>935190</v>
      </c>
      <c r="K40" s="145"/>
    </row>
    <row r="41" spans="1:11" s="125" customFormat="1" ht="17.25" customHeight="1">
      <c r="A41" s="125">
        <f t="shared" si="0"/>
        <v>1</v>
      </c>
      <c r="B41" s="140">
        <v>42012</v>
      </c>
      <c r="C41" s="141" t="s">
        <v>368</v>
      </c>
      <c r="D41" s="140">
        <f t="shared" si="1"/>
        <v>42012</v>
      </c>
      <c r="E41" s="142" t="s">
        <v>388</v>
      </c>
      <c r="F41" s="142"/>
      <c r="G41" s="143" t="s">
        <v>94</v>
      </c>
      <c r="H41" s="144"/>
      <c r="I41" s="144">
        <v>45681</v>
      </c>
      <c r="J41" s="145">
        <f t="shared" si="2"/>
        <v>889509</v>
      </c>
      <c r="K41" s="145"/>
    </row>
    <row r="42" spans="1:11" s="125" customFormat="1" ht="17.25" customHeight="1">
      <c r="A42" s="125">
        <f t="shared" si="0"/>
        <v>1</v>
      </c>
      <c r="B42" s="140">
        <v>42012</v>
      </c>
      <c r="C42" s="141" t="s">
        <v>368</v>
      </c>
      <c r="D42" s="140">
        <f t="shared" si="1"/>
        <v>42012</v>
      </c>
      <c r="E42" s="142" t="s">
        <v>389</v>
      </c>
      <c r="F42" s="142"/>
      <c r="G42" s="141" t="s">
        <v>35</v>
      </c>
      <c r="H42" s="144"/>
      <c r="I42" s="144">
        <v>4568</v>
      </c>
      <c r="J42" s="145">
        <f t="shared" si="2"/>
        <v>884941</v>
      </c>
      <c r="K42" s="145"/>
    </row>
    <row r="43" spans="1:11" s="125" customFormat="1" ht="17.25" customHeight="1">
      <c r="A43" s="125">
        <f t="shared" si="0"/>
        <v>1</v>
      </c>
      <c r="B43" s="140">
        <v>42013</v>
      </c>
      <c r="C43" s="141" t="s">
        <v>371</v>
      </c>
      <c r="D43" s="140">
        <f t="shared" si="1"/>
        <v>42013</v>
      </c>
      <c r="E43" s="142" t="s">
        <v>390</v>
      </c>
      <c r="F43" s="142"/>
      <c r="G43" s="141" t="s">
        <v>58</v>
      </c>
      <c r="H43" s="144">
        <v>529681635</v>
      </c>
      <c r="I43" s="144"/>
      <c r="J43" s="145">
        <f t="shared" si="2"/>
        <v>530566576</v>
      </c>
      <c r="K43" s="145"/>
    </row>
    <row r="44" spans="1:11" s="125" customFormat="1" ht="17.25" customHeight="1">
      <c r="A44" s="125">
        <f t="shared" si="0"/>
        <v>1</v>
      </c>
      <c r="B44" s="140">
        <v>42017</v>
      </c>
      <c r="C44" s="141" t="s">
        <v>368</v>
      </c>
      <c r="D44" s="140">
        <f t="shared" si="1"/>
        <v>42017</v>
      </c>
      <c r="E44" s="142" t="s">
        <v>391</v>
      </c>
      <c r="F44" s="142"/>
      <c r="G44" s="143" t="s">
        <v>58</v>
      </c>
      <c r="H44" s="144"/>
      <c r="I44" s="144">
        <v>1500000</v>
      </c>
      <c r="J44" s="145">
        <f t="shared" si="2"/>
        <v>529066576</v>
      </c>
      <c r="K44" s="145"/>
    </row>
    <row r="45" spans="1:11" s="125" customFormat="1" ht="17.25" customHeight="1">
      <c r="A45" s="125">
        <f t="shared" si="0"/>
        <v>1</v>
      </c>
      <c r="B45" s="140">
        <v>42017</v>
      </c>
      <c r="C45" s="141" t="s">
        <v>368</v>
      </c>
      <c r="D45" s="140">
        <f t="shared" si="1"/>
        <v>42017</v>
      </c>
      <c r="E45" s="142" t="s">
        <v>392</v>
      </c>
      <c r="F45" s="142"/>
      <c r="G45" s="143" t="s">
        <v>393</v>
      </c>
      <c r="H45" s="144"/>
      <c r="I45" s="144">
        <v>2000000</v>
      </c>
      <c r="J45" s="145">
        <f t="shared" si="2"/>
        <v>527066576</v>
      </c>
      <c r="K45" s="145"/>
    </row>
    <row r="46" spans="1:11" s="125" customFormat="1" ht="17.25" customHeight="1">
      <c r="A46" s="125">
        <f t="shared" si="0"/>
        <v>1</v>
      </c>
      <c r="B46" s="140">
        <v>42017</v>
      </c>
      <c r="C46" s="141" t="s">
        <v>368</v>
      </c>
      <c r="D46" s="140">
        <f t="shared" si="1"/>
        <v>42017</v>
      </c>
      <c r="E46" s="142" t="s">
        <v>394</v>
      </c>
      <c r="F46" s="142"/>
      <c r="G46" s="143" t="s">
        <v>94</v>
      </c>
      <c r="H46" s="144"/>
      <c r="I46" s="144">
        <v>25000</v>
      </c>
      <c r="J46" s="145">
        <f t="shared" si="2"/>
        <v>527041576</v>
      </c>
      <c r="K46" s="145"/>
    </row>
    <row r="47" spans="1:11" s="125" customFormat="1" ht="17.25" customHeight="1">
      <c r="A47" s="125">
        <f t="shared" si="0"/>
        <v>1</v>
      </c>
      <c r="B47" s="140">
        <v>42017</v>
      </c>
      <c r="C47" s="141" t="s">
        <v>368</v>
      </c>
      <c r="D47" s="140">
        <f t="shared" si="1"/>
        <v>42017</v>
      </c>
      <c r="E47" s="142" t="s">
        <v>395</v>
      </c>
      <c r="F47" s="142"/>
      <c r="G47" s="143" t="s">
        <v>35</v>
      </c>
      <c r="H47" s="144"/>
      <c r="I47" s="144">
        <v>2500</v>
      </c>
      <c r="J47" s="145">
        <f t="shared" si="2"/>
        <v>527039076</v>
      </c>
      <c r="K47" s="145"/>
    </row>
    <row r="48" spans="1:11" s="125" customFormat="1" ht="17.25" customHeight="1">
      <c r="A48" s="125">
        <f t="shared" si="0"/>
        <v>1</v>
      </c>
      <c r="B48" s="140">
        <v>42020</v>
      </c>
      <c r="C48" s="141" t="s">
        <v>371</v>
      </c>
      <c r="D48" s="140">
        <f t="shared" si="1"/>
        <v>42020</v>
      </c>
      <c r="E48" s="142" t="s">
        <v>372</v>
      </c>
      <c r="F48" s="142"/>
      <c r="G48" s="141" t="s">
        <v>370</v>
      </c>
      <c r="H48" s="144">
        <v>1067000000</v>
      </c>
      <c r="I48" s="144"/>
      <c r="J48" s="145">
        <f t="shared" si="2"/>
        <v>1594039076</v>
      </c>
      <c r="K48" s="145"/>
    </row>
    <row r="49" spans="1:11" s="125" customFormat="1" ht="17.25" customHeight="1">
      <c r="A49" s="125">
        <f t="shared" si="0"/>
        <v>1</v>
      </c>
      <c r="B49" s="140">
        <v>42020</v>
      </c>
      <c r="C49" s="141" t="s">
        <v>42</v>
      </c>
      <c r="D49" s="140">
        <f t="shared" si="1"/>
        <v>42020</v>
      </c>
      <c r="E49" s="142" t="s">
        <v>62</v>
      </c>
      <c r="F49" s="142"/>
      <c r="G49" s="143" t="s">
        <v>367</v>
      </c>
      <c r="H49" s="144"/>
      <c r="I49" s="144">
        <v>200000000</v>
      </c>
      <c r="J49" s="145">
        <f t="shared" si="2"/>
        <v>1394039076</v>
      </c>
      <c r="K49" s="145"/>
    </row>
    <row r="50" spans="1:11" s="125" customFormat="1" ht="17.25" customHeight="1">
      <c r="A50" s="125">
        <f t="shared" si="0"/>
        <v>1</v>
      </c>
      <c r="B50" s="140">
        <v>42020</v>
      </c>
      <c r="C50" s="141" t="s">
        <v>43</v>
      </c>
      <c r="D50" s="140">
        <f t="shared" si="1"/>
        <v>42020</v>
      </c>
      <c r="E50" s="142" t="s">
        <v>62</v>
      </c>
      <c r="F50" s="142"/>
      <c r="G50" s="143" t="s">
        <v>367</v>
      </c>
      <c r="H50" s="144"/>
      <c r="I50" s="144">
        <v>1370000000</v>
      </c>
      <c r="J50" s="145">
        <f t="shared" si="2"/>
        <v>24039076</v>
      </c>
      <c r="K50" s="145"/>
    </row>
    <row r="51" spans="1:11" s="125" customFormat="1" ht="17.25" customHeight="1">
      <c r="A51" s="125">
        <f t="shared" si="0"/>
        <v>1</v>
      </c>
      <c r="B51" s="140">
        <v>42023</v>
      </c>
      <c r="C51" s="141" t="s">
        <v>368</v>
      </c>
      <c r="D51" s="140">
        <f t="shared" si="1"/>
        <v>42023</v>
      </c>
      <c r="E51" s="142" t="s">
        <v>865</v>
      </c>
      <c r="F51" s="142"/>
      <c r="G51" s="141" t="s">
        <v>34</v>
      </c>
      <c r="H51" s="144"/>
      <c r="I51" s="144">
        <v>23655830</v>
      </c>
      <c r="J51" s="145">
        <f t="shared" si="2"/>
        <v>383246</v>
      </c>
      <c r="K51" s="145"/>
    </row>
    <row r="52" spans="1:11" s="125" customFormat="1" ht="17.25" customHeight="1">
      <c r="A52" s="125">
        <f t="shared" si="0"/>
        <v>1</v>
      </c>
      <c r="B52" s="140">
        <v>42023</v>
      </c>
      <c r="C52" s="141" t="s">
        <v>368</v>
      </c>
      <c r="D52" s="140">
        <f t="shared" si="1"/>
        <v>42023</v>
      </c>
      <c r="E52" s="142" t="s">
        <v>382</v>
      </c>
      <c r="F52" s="142"/>
      <c r="G52" s="143" t="s">
        <v>94</v>
      </c>
      <c r="H52" s="144"/>
      <c r="I52" s="144">
        <v>25000</v>
      </c>
      <c r="J52" s="145">
        <f t="shared" si="2"/>
        <v>358246</v>
      </c>
      <c r="K52" s="145"/>
    </row>
    <row r="53" spans="1:11" s="125" customFormat="1" ht="17.25" customHeight="1">
      <c r="A53" s="125">
        <f t="shared" si="0"/>
        <v>1</v>
      </c>
      <c r="B53" s="140">
        <v>42023</v>
      </c>
      <c r="C53" s="141" t="s">
        <v>368</v>
      </c>
      <c r="D53" s="140">
        <f t="shared" si="1"/>
        <v>42023</v>
      </c>
      <c r="E53" s="142" t="s">
        <v>383</v>
      </c>
      <c r="F53" s="142"/>
      <c r="G53" s="143" t="s">
        <v>35</v>
      </c>
      <c r="H53" s="144"/>
      <c r="I53" s="144">
        <v>2500</v>
      </c>
      <c r="J53" s="145">
        <f t="shared" si="2"/>
        <v>355746</v>
      </c>
      <c r="K53" s="145"/>
    </row>
    <row r="54" spans="1:11" s="125" customFormat="1" ht="17.25" customHeight="1">
      <c r="A54" s="125">
        <f t="shared" si="0"/>
        <v>1</v>
      </c>
      <c r="B54" s="140">
        <v>42024</v>
      </c>
      <c r="C54" s="141" t="s">
        <v>371</v>
      </c>
      <c r="D54" s="140">
        <f t="shared" si="1"/>
        <v>42024</v>
      </c>
      <c r="E54" s="142" t="s">
        <v>372</v>
      </c>
      <c r="F54" s="142"/>
      <c r="G54" s="141" t="s">
        <v>370</v>
      </c>
      <c r="H54" s="144">
        <v>1281000000</v>
      </c>
      <c r="I54" s="144"/>
      <c r="J54" s="145">
        <f t="shared" si="2"/>
        <v>1281355746</v>
      </c>
      <c r="K54" s="145"/>
    </row>
    <row r="55" spans="1:11" s="125" customFormat="1" ht="17.25" customHeight="1">
      <c r="A55" s="125">
        <f t="shared" si="0"/>
        <v>1</v>
      </c>
      <c r="B55" s="140">
        <v>42024</v>
      </c>
      <c r="C55" s="141" t="s">
        <v>368</v>
      </c>
      <c r="D55" s="140">
        <f t="shared" si="1"/>
        <v>42024</v>
      </c>
      <c r="E55" s="142" t="s">
        <v>716</v>
      </c>
      <c r="F55" s="142"/>
      <c r="G55" s="141" t="s">
        <v>34</v>
      </c>
      <c r="H55" s="144"/>
      <c r="I55" s="144">
        <v>5369658</v>
      </c>
      <c r="J55" s="145">
        <f t="shared" si="2"/>
        <v>1275986088</v>
      </c>
      <c r="K55" s="145"/>
    </row>
    <row r="56" spans="1:11" s="125" customFormat="1" ht="17.25" customHeight="1">
      <c r="A56" s="125">
        <f t="shared" si="0"/>
        <v>1</v>
      </c>
      <c r="B56" s="140">
        <v>42024</v>
      </c>
      <c r="C56" s="141" t="s">
        <v>368</v>
      </c>
      <c r="D56" s="140">
        <f t="shared" si="1"/>
        <v>42024</v>
      </c>
      <c r="E56" s="142" t="s">
        <v>396</v>
      </c>
      <c r="F56" s="142"/>
      <c r="G56" s="143" t="s">
        <v>94</v>
      </c>
      <c r="H56" s="144"/>
      <c r="I56" s="144">
        <v>25000</v>
      </c>
      <c r="J56" s="145">
        <f t="shared" si="2"/>
        <v>1275961088</v>
      </c>
      <c r="K56" s="145"/>
    </row>
    <row r="57" spans="1:11" s="125" customFormat="1" ht="17.25" customHeight="1">
      <c r="A57" s="125">
        <f t="shared" si="0"/>
        <v>1</v>
      </c>
      <c r="B57" s="140">
        <v>42024</v>
      </c>
      <c r="C57" s="141" t="s">
        <v>368</v>
      </c>
      <c r="D57" s="140">
        <f t="shared" si="1"/>
        <v>42024</v>
      </c>
      <c r="E57" s="142" t="s">
        <v>397</v>
      </c>
      <c r="F57" s="142"/>
      <c r="G57" s="141" t="s">
        <v>35</v>
      </c>
      <c r="H57" s="144"/>
      <c r="I57" s="144">
        <v>2500</v>
      </c>
      <c r="J57" s="145">
        <f t="shared" si="2"/>
        <v>1275958588</v>
      </c>
      <c r="K57" s="145"/>
    </row>
    <row r="58" spans="1:11" s="125" customFormat="1" ht="17.25" customHeight="1">
      <c r="A58" s="125">
        <f t="shared" si="0"/>
        <v>1</v>
      </c>
      <c r="B58" s="140">
        <v>42024</v>
      </c>
      <c r="C58" s="141" t="s">
        <v>368</v>
      </c>
      <c r="D58" s="140">
        <f t="shared" si="1"/>
        <v>42024</v>
      </c>
      <c r="E58" s="142" t="s">
        <v>590</v>
      </c>
      <c r="F58" s="142"/>
      <c r="G58" s="141" t="s">
        <v>34</v>
      </c>
      <c r="H58" s="144"/>
      <c r="I58" s="144">
        <v>780000</v>
      </c>
      <c r="J58" s="145">
        <f t="shared" si="2"/>
        <v>1275178588</v>
      </c>
      <c r="K58" s="145"/>
    </row>
    <row r="59" spans="1:11" s="125" customFormat="1" ht="17.25" customHeight="1">
      <c r="A59" s="125">
        <f t="shared" si="0"/>
        <v>1</v>
      </c>
      <c r="B59" s="140">
        <v>42024</v>
      </c>
      <c r="C59" s="141" t="s">
        <v>368</v>
      </c>
      <c r="D59" s="140">
        <f t="shared" si="1"/>
        <v>42024</v>
      </c>
      <c r="E59" s="142" t="s">
        <v>398</v>
      </c>
      <c r="F59" s="142"/>
      <c r="G59" s="143" t="s">
        <v>94</v>
      </c>
      <c r="H59" s="144"/>
      <c r="I59" s="144">
        <v>20000</v>
      </c>
      <c r="J59" s="145">
        <f t="shared" si="2"/>
        <v>1275158588</v>
      </c>
      <c r="K59" s="145"/>
    </row>
    <row r="60" spans="1:11" s="125" customFormat="1" ht="17.25" customHeight="1">
      <c r="A60" s="125">
        <f t="shared" si="0"/>
        <v>1</v>
      </c>
      <c r="B60" s="140">
        <v>42024</v>
      </c>
      <c r="C60" s="141" t="s">
        <v>368</v>
      </c>
      <c r="D60" s="140">
        <f t="shared" si="1"/>
        <v>42024</v>
      </c>
      <c r="E60" s="142" t="s">
        <v>399</v>
      </c>
      <c r="F60" s="142"/>
      <c r="G60" s="141" t="s">
        <v>35</v>
      </c>
      <c r="H60" s="144"/>
      <c r="I60" s="144">
        <v>2000</v>
      </c>
      <c r="J60" s="145">
        <f t="shared" si="2"/>
        <v>1275156588</v>
      </c>
      <c r="K60" s="145"/>
    </row>
    <row r="61" spans="1:11" s="125" customFormat="1" ht="17.25" customHeight="1">
      <c r="A61" s="125">
        <f t="shared" si="0"/>
        <v>1</v>
      </c>
      <c r="B61" s="140">
        <v>42024</v>
      </c>
      <c r="C61" s="141" t="s">
        <v>368</v>
      </c>
      <c r="D61" s="140">
        <f t="shared" si="1"/>
        <v>42024</v>
      </c>
      <c r="E61" s="142" t="s">
        <v>590</v>
      </c>
      <c r="F61" s="142"/>
      <c r="G61" s="141" t="s">
        <v>34</v>
      </c>
      <c r="H61" s="144"/>
      <c r="I61" s="144">
        <v>3867000</v>
      </c>
      <c r="J61" s="145">
        <f t="shared" si="2"/>
        <v>1271289588</v>
      </c>
      <c r="K61" s="145"/>
    </row>
    <row r="62" spans="1:11" s="125" customFormat="1" ht="17.25" customHeight="1">
      <c r="A62" s="125">
        <f t="shared" si="0"/>
        <v>1</v>
      </c>
      <c r="B62" s="140">
        <v>42024</v>
      </c>
      <c r="C62" s="141" t="s">
        <v>368</v>
      </c>
      <c r="D62" s="140">
        <f t="shared" si="1"/>
        <v>42024</v>
      </c>
      <c r="E62" s="142" t="s">
        <v>398</v>
      </c>
      <c r="F62" s="142"/>
      <c r="G62" s="143" t="s">
        <v>94</v>
      </c>
      <c r="H62" s="144"/>
      <c r="I62" s="144">
        <v>20000</v>
      </c>
      <c r="J62" s="145">
        <f t="shared" si="2"/>
        <v>1271269588</v>
      </c>
      <c r="K62" s="145"/>
    </row>
    <row r="63" spans="1:11" s="125" customFormat="1" ht="17.25" customHeight="1">
      <c r="A63" s="125">
        <f t="shared" si="0"/>
        <v>1</v>
      </c>
      <c r="B63" s="140">
        <v>42024</v>
      </c>
      <c r="C63" s="141" t="s">
        <v>368</v>
      </c>
      <c r="D63" s="140">
        <f t="shared" si="1"/>
        <v>42024</v>
      </c>
      <c r="E63" s="142" t="s">
        <v>399</v>
      </c>
      <c r="F63" s="142"/>
      <c r="G63" s="141" t="s">
        <v>35</v>
      </c>
      <c r="H63" s="144"/>
      <c r="I63" s="144">
        <v>2000</v>
      </c>
      <c r="J63" s="145">
        <f t="shared" si="2"/>
        <v>1271267588</v>
      </c>
      <c r="K63" s="145"/>
    </row>
    <row r="64" spans="1:11" s="125" customFormat="1" ht="17.25" customHeight="1">
      <c r="A64" s="125">
        <f t="shared" si="0"/>
        <v>1</v>
      </c>
      <c r="B64" s="140">
        <v>42024</v>
      </c>
      <c r="C64" s="141" t="s">
        <v>368</v>
      </c>
      <c r="D64" s="140">
        <f t="shared" si="1"/>
        <v>42024</v>
      </c>
      <c r="E64" s="142" t="s">
        <v>867</v>
      </c>
      <c r="F64" s="142"/>
      <c r="G64" s="143" t="s">
        <v>34</v>
      </c>
      <c r="H64" s="144"/>
      <c r="I64" s="144">
        <v>10500000</v>
      </c>
      <c r="J64" s="145">
        <f t="shared" si="2"/>
        <v>1260767588</v>
      </c>
      <c r="K64" s="145"/>
    </row>
    <row r="65" spans="1:11" s="125" customFormat="1" ht="17.25" customHeight="1">
      <c r="A65" s="125">
        <f t="shared" si="0"/>
        <v>1</v>
      </c>
      <c r="B65" s="140">
        <v>42024</v>
      </c>
      <c r="C65" s="141" t="s">
        <v>368</v>
      </c>
      <c r="D65" s="140">
        <f t="shared" si="1"/>
        <v>42024</v>
      </c>
      <c r="E65" s="142" t="s">
        <v>400</v>
      </c>
      <c r="F65" s="142"/>
      <c r="G65" s="143" t="s">
        <v>94</v>
      </c>
      <c r="H65" s="144"/>
      <c r="I65" s="144">
        <v>20000</v>
      </c>
      <c r="J65" s="145">
        <f t="shared" si="2"/>
        <v>1260747588</v>
      </c>
      <c r="K65" s="145"/>
    </row>
    <row r="66" spans="1:11" s="125" customFormat="1" ht="17.25" customHeight="1">
      <c r="A66" s="125">
        <f t="shared" si="0"/>
        <v>1</v>
      </c>
      <c r="B66" s="140">
        <v>42024</v>
      </c>
      <c r="C66" s="141" t="s">
        <v>368</v>
      </c>
      <c r="D66" s="140">
        <f t="shared" si="1"/>
        <v>42024</v>
      </c>
      <c r="E66" s="142" t="s">
        <v>401</v>
      </c>
      <c r="F66" s="142"/>
      <c r="G66" s="141" t="s">
        <v>35</v>
      </c>
      <c r="H66" s="144"/>
      <c r="I66" s="144">
        <v>2000</v>
      </c>
      <c r="J66" s="145">
        <f t="shared" si="2"/>
        <v>1260745588</v>
      </c>
      <c r="K66" s="145"/>
    </row>
    <row r="67" spans="1:11" s="125" customFormat="1" ht="17.25" customHeight="1">
      <c r="A67" s="125">
        <f t="shared" si="0"/>
        <v>1</v>
      </c>
      <c r="B67" s="140">
        <v>42024</v>
      </c>
      <c r="C67" s="141" t="s">
        <v>368</v>
      </c>
      <c r="D67" s="140">
        <f t="shared" si="1"/>
        <v>42024</v>
      </c>
      <c r="E67" s="142" t="s">
        <v>402</v>
      </c>
      <c r="F67" s="142" t="s">
        <v>403</v>
      </c>
      <c r="G67" s="141" t="s">
        <v>38</v>
      </c>
      <c r="H67" s="144"/>
      <c r="I67" s="144">
        <v>72019153</v>
      </c>
      <c r="J67" s="145">
        <f t="shared" si="2"/>
        <v>1188726435</v>
      </c>
      <c r="K67" s="145"/>
    </row>
    <row r="68" spans="1:11" s="125" customFormat="1" ht="17.25" customHeight="1">
      <c r="A68" s="125">
        <f t="shared" si="0"/>
        <v>1</v>
      </c>
      <c r="B68" s="140">
        <v>42024</v>
      </c>
      <c r="C68" s="141" t="s">
        <v>368</v>
      </c>
      <c r="D68" s="140">
        <f t="shared" si="1"/>
        <v>42024</v>
      </c>
      <c r="E68" s="142" t="s">
        <v>404</v>
      </c>
      <c r="F68" s="142" t="s">
        <v>405</v>
      </c>
      <c r="G68" s="141" t="s">
        <v>406</v>
      </c>
      <c r="H68" s="144"/>
      <c r="I68" s="144">
        <v>19132575</v>
      </c>
      <c r="J68" s="145">
        <f t="shared" si="2"/>
        <v>1169593860</v>
      </c>
      <c r="K68" s="145"/>
    </row>
    <row r="69" spans="1:11" s="125" customFormat="1" ht="17.25" customHeight="1">
      <c r="A69" s="125">
        <f t="shared" si="0"/>
        <v>1</v>
      </c>
      <c r="B69" s="140">
        <v>42024</v>
      </c>
      <c r="C69" s="141" t="s">
        <v>368</v>
      </c>
      <c r="D69" s="140">
        <f t="shared" si="1"/>
        <v>42024</v>
      </c>
      <c r="E69" s="142" t="s">
        <v>407</v>
      </c>
      <c r="F69" s="142" t="s">
        <v>408</v>
      </c>
      <c r="G69" s="141" t="s">
        <v>409</v>
      </c>
      <c r="H69" s="144"/>
      <c r="I69" s="144">
        <v>8848272</v>
      </c>
      <c r="J69" s="145">
        <f t="shared" si="2"/>
        <v>1160745588</v>
      </c>
      <c r="K69" s="145"/>
    </row>
    <row r="70" spans="1:11" s="125" customFormat="1" ht="17.25" customHeight="1">
      <c r="A70" s="125">
        <f t="shared" si="0"/>
        <v>1</v>
      </c>
      <c r="B70" s="140">
        <v>42024</v>
      </c>
      <c r="C70" s="141" t="s">
        <v>368</v>
      </c>
      <c r="D70" s="140">
        <f t="shared" si="1"/>
        <v>42024</v>
      </c>
      <c r="E70" s="142" t="s">
        <v>410</v>
      </c>
      <c r="F70" s="142"/>
      <c r="G70" s="143" t="s">
        <v>94</v>
      </c>
      <c r="H70" s="144"/>
      <c r="I70" s="144">
        <v>50000</v>
      </c>
      <c r="J70" s="145">
        <f t="shared" si="2"/>
        <v>1160695588</v>
      </c>
      <c r="K70" s="145"/>
    </row>
    <row r="71" spans="1:11" s="125" customFormat="1" ht="17.25" customHeight="1">
      <c r="A71" s="125">
        <f t="shared" si="0"/>
        <v>1</v>
      </c>
      <c r="B71" s="140">
        <v>42024</v>
      </c>
      <c r="C71" s="141" t="s">
        <v>368</v>
      </c>
      <c r="D71" s="140">
        <f t="shared" si="1"/>
        <v>42024</v>
      </c>
      <c r="E71" s="142" t="s">
        <v>411</v>
      </c>
      <c r="F71" s="142"/>
      <c r="G71" s="141" t="s">
        <v>35</v>
      </c>
      <c r="H71" s="144"/>
      <c r="I71" s="144">
        <v>5000</v>
      </c>
      <c r="J71" s="145">
        <f t="shared" si="2"/>
        <v>1160690588</v>
      </c>
      <c r="K71" s="145"/>
    </row>
    <row r="72" spans="1:11" s="125" customFormat="1" ht="17.25" customHeight="1">
      <c r="A72" s="125">
        <f t="shared" si="0"/>
        <v>1</v>
      </c>
      <c r="B72" s="140">
        <v>42024</v>
      </c>
      <c r="C72" s="141" t="s">
        <v>44</v>
      </c>
      <c r="D72" s="140">
        <f t="shared" si="1"/>
        <v>42024</v>
      </c>
      <c r="E72" s="142" t="s">
        <v>62</v>
      </c>
      <c r="F72" s="142"/>
      <c r="G72" s="143" t="s">
        <v>367</v>
      </c>
      <c r="H72" s="144"/>
      <c r="I72" s="144">
        <v>1080000000</v>
      </c>
      <c r="J72" s="145">
        <f t="shared" si="2"/>
        <v>80690588</v>
      </c>
      <c r="K72" s="145"/>
    </row>
    <row r="73" spans="1:11" s="125" customFormat="1" ht="17.25" customHeight="1">
      <c r="A73" s="125">
        <f t="shared" si="0"/>
        <v>1</v>
      </c>
      <c r="B73" s="140">
        <v>42025</v>
      </c>
      <c r="C73" s="141" t="s">
        <v>59</v>
      </c>
      <c r="D73" s="140">
        <f t="shared" si="1"/>
        <v>42025</v>
      </c>
      <c r="E73" s="142" t="s">
        <v>62</v>
      </c>
      <c r="F73" s="142"/>
      <c r="G73" s="143" t="s">
        <v>367</v>
      </c>
      <c r="H73" s="144"/>
      <c r="I73" s="144">
        <v>80000000</v>
      </c>
      <c r="J73" s="145">
        <f t="shared" si="2"/>
        <v>690588</v>
      </c>
      <c r="K73" s="145"/>
    </row>
    <row r="74" spans="1:11" s="125" customFormat="1" ht="17.25" customHeight="1">
      <c r="A74" s="125">
        <f t="shared" si="0"/>
        <v>1</v>
      </c>
      <c r="B74" s="140">
        <v>42026</v>
      </c>
      <c r="C74" s="141" t="s">
        <v>371</v>
      </c>
      <c r="D74" s="140">
        <f t="shared" si="1"/>
        <v>42026</v>
      </c>
      <c r="E74" s="142" t="s">
        <v>412</v>
      </c>
      <c r="F74" s="142"/>
      <c r="G74" s="143" t="s">
        <v>38</v>
      </c>
      <c r="H74" s="144">
        <v>8941040</v>
      </c>
      <c r="I74" s="144"/>
      <c r="J74" s="145">
        <f t="shared" si="2"/>
        <v>9631628</v>
      </c>
      <c r="K74" s="145"/>
    </row>
    <row r="75" spans="1:11" s="125" customFormat="1" ht="17.25" customHeight="1">
      <c r="A75" s="125">
        <f t="shared" si="0"/>
        <v>1</v>
      </c>
      <c r="B75" s="140">
        <v>42028</v>
      </c>
      <c r="C75" s="141" t="s">
        <v>371</v>
      </c>
      <c r="D75" s="140">
        <f t="shared" si="1"/>
        <v>42028</v>
      </c>
      <c r="E75" s="142" t="s">
        <v>413</v>
      </c>
      <c r="F75" s="142"/>
      <c r="G75" s="141" t="s">
        <v>414</v>
      </c>
      <c r="H75" s="144">
        <v>45792</v>
      </c>
      <c r="I75" s="144"/>
      <c r="J75" s="145">
        <f t="shared" si="2"/>
        <v>9677420</v>
      </c>
      <c r="K75" s="145"/>
    </row>
    <row r="76" spans="1:11" s="125" customFormat="1" ht="17.25" customHeight="1">
      <c r="A76" s="125">
        <f t="shared" ref="A76:A139" si="3">IF(B76&lt;&gt;"",MONTH(B76),"")</f>
        <v>1</v>
      </c>
      <c r="B76" s="140">
        <v>42032</v>
      </c>
      <c r="C76" s="141" t="s">
        <v>371</v>
      </c>
      <c r="D76" s="140">
        <f t="shared" si="1"/>
        <v>42032</v>
      </c>
      <c r="E76" s="142" t="s">
        <v>372</v>
      </c>
      <c r="F76" s="142"/>
      <c r="G76" s="141" t="s">
        <v>370</v>
      </c>
      <c r="H76" s="144">
        <v>1313025000</v>
      </c>
      <c r="I76" s="144"/>
      <c r="J76" s="145">
        <f t="shared" si="2"/>
        <v>1322702420</v>
      </c>
      <c r="K76" s="145"/>
    </row>
    <row r="77" spans="1:11" s="125" customFormat="1" ht="17.25" customHeight="1">
      <c r="A77" s="125">
        <f t="shared" si="3"/>
        <v>1</v>
      </c>
      <c r="B77" s="140">
        <v>42032</v>
      </c>
      <c r="C77" s="141" t="s">
        <v>65</v>
      </c>
      <c r="D77" s="140">
        <f t="shared" ref="D77:D140" si="4">IF(B77&lt;&gt;"",B77,"")</f>
        <v>42032</v>
      </c>
      <c r="E77" s="142" t="s">
        <v>62</v>
      </c>
      <c r="F77" s="142"/>
      <c r="G77" s="143" t="s">
        <v>367</v>
      </c>
      <c r="H77" s="144"/>
      <c r="I77" s="144">
        <v>1200000000</v>
      </c>
      <c r="J77" s="145">
        <f t="shared" ref="J77:J140" si="5">IF(B77&lt;&gt;"",J76+H77-I77,0)</f>
        <v>122702420</v>
      </c>
      <c r="K77" s="145"/>
    </row>
    <row r="78" spans="1:11" s="125" customFormat="1" ht="17.25" customHeight="1">
      <c r="A78" s="125">
        <f t="shared" si="3"/>
        <v>1</v>
      </c>
      <c r="B78" s="140">
        <v>42033</v>
      </c>
      <c r="C78" s="141" t="s">
        <v>368</v>
      </c>
      <c r="D78" s="140">
        <f t="shared" si="4"/>
        <v>42033</v>
      </c>
      <c r="E78" s="142" t="s">
        <v>868</v>
      </c>
      <c r="F78" s="142"/>
      <c r="G78" s="143" t="s">
        <v>34</v>
      </c>
      <c r="H78" s="144"/>
      <c r="I78" s="144">
        <v>90000000</v>
      </c>
      <c r="J78" s="145">
        <f t="shared" si="5"/>
        <v>32702420</v>
      </c>
      <c r="K78" s="145"/>
    </row>
    <row r="79" spans="1:11" s="125" customFormat="1" ht="17.25" customHeight="1">
      <c r="A79" s="125">
        <f t="shared" si="3"/>
        <v>1</v>
      </c>
      <c r="B79" s="140">
        <v>42033</v>
      </c>
      <c r="C79" s="141" t="s">
        <v>368</v>
      </c>
      <c r="D79" s="140">
        <f t="shared" si="4"/>
        <v>42033</v>
      </c>
      <c r="E79" s="142" t="s">
        <v>415</v>
      </c>
      <c r="F79" s="142"/>
      <c r="G79" s="143" t="s">
        <v>94</v>
      </c>
      <c r="H79" s="144"/>
      <c r="I79" s="144">
        <v>27000</v>
      </c>
      <c r="J79" s="145">
        <f t="shared" si="5"/>
        <v>32675420</v>
      </c>
      <c r="K79" s="145"/>
    </row>
    <row r="80" spans="1:11" s="125" customFormat="1" ht="17.25" customHeight="1">
      <c r="A80" s="125">
        <f t="shared" si="3"/>
        <v>1</v>
      </c>
      <c r="B80" s="140">
        <v>42033</v>
      </c>
      <c r="C80" s="141" t="s">
        <v>368</v>
      </c>
      <c r="D80" s="140">
        <f t="shared" si="4"/>
        <v>42033</v>
      </c>
      <c r="E80" s="142" t="s">
        <v>416</v>
      </c>
      <c r="F80" s="142"/>
      <c r="G80" s="141" t="s">
        <v>35</v>
      </c>
      <c r="H80" s="144"/>
      <c r="I80" s="144">
        <v>2700</v>
      </c>
      <c r="J80" s="145">
        <f t="shared" si="5"/>
        <v>32672720</v>
      </c>
      <c r="K80" s="145"/>
    </row>
    <row r="81" spans="1:12" s="125" customFormat="1" ht="18.75" customHeight="1">
      <c r="A81" s="125">
        <f t="shared" si="3"/>
        <v>1</v>
      </c>
      <c r="B81" s="140">
        <v>42033</v>
      </c>
      <c r="C81" s="141" t="s">
        <v>368</v>
      </c>
      <c r="D81" s="140">
        <f t="shared" si="4"/>
        <v>42033</v>
      </c>
      <c r="E81" s="142" t="s">
        <v>869</v>
      </c>
      <c r="F81" s="142"/>
      <c r="G81" s="141" t="s">
        <v>34</v>
      </c>
      <c r="H81" s="144"/>
      <c r="I81" s="144">
        <v>31089740</v>
      </c>
      <c r="J81" s="145">
        <f t="shared" si="5"/>
        <v>1582980</v>
      </c>
      <c r="K81" s="145"/>
    </row>
    <row r="82" spans="1:12" s="125" customFormat="1" ht="17.25" customHeight="1">
      <c r="A82" s="125">
        <f t="shared" si="3"/>
        <v>1</v>
      </c>
      <c r="B82" s="140">
        <v>42033</v>
      </c>
      <c r="C82" s="141" t="s">
        <v>368</v>
      </c>
      <c r="D82" s="140">
        <f t="shared" si="4"/>
        <v>42033</v>
      </c>
      <c r="E82" s="142" t="s">
        <v>382</v>
      </c>
      <c r="F82" s="142"/>
      <c r="G82" s="143" t="s">
        <v>94</v>
      </c>
      <c r="H82" s="144"/>
      <c r="I82" s="144">
        <v>25000</v>
      </c>
      <c r="J82" s="145">
        <f t="shared" si="5"/>
        <v>1557980</v>
      </c>
      <c r="K82" s="145"/>
    </row>
    <row r="83" spans="1:12" s="125" customFormat="1" ht="17.25" customHeight="1">
      <c r="A83" s="125">
        <f t="shared" si="3"/>
        <v>1</v>
      </c>
      <c r="B83" s="140">
        <v>42033</v>
      </c>
      <c r="C83" s="141" t="s">
        <v>368</v>
      </c>
      <c r="D83" s="140">
        <f t="shared" si="4"/>
        <v>42033</v>
      </c>
      <c r="E83" s="142" t="s">
        <v>383</v>
      </c>
      <c r="F83" s="142"/>
      <c r="G83" s="143" t="s">
        <v>35</v>
      </c>
      <c r="H83" s="144"/>
      <c r="I83" s="144">
        <v>2500</v>
      </c>
      <c r="J83" s="145">
        <f t="shared" si="5"/>
        <v>1555480</v>
      </c>
      <c r="K83" s="145"/>
      <c r="L83" s="138">
        <f>J83+'Q4-VND'!J16+M11</f>
        <v>2753222</v>
      </c>
    </row>
    <row r="84" spans="1:12" s="125" customFormat="1" ht="17.25" customHeight="1">
      <c r="A84" s="125">
        <f t="shared" si="3"/>
        <v>2</v>
      </c>
      <c r="B84" s="140">
        <v>42039</v>
      </c>
      <c r="C84" s="141" t="s">
        <v>371</v>
      </c>
      <c r="D84" s="140">
        <f t="shared" si="4"/>
        <v>42039</v>
      </c>
      <c r="E84" s="142" t="s">
        <v>372</v>
      </c>
      <c r="F84" s="142"/>
      <c r="G84" s="143" t="s">
        <v>370</v>
      </c>
      <c r="H84" s="144">
        <v>2305260000</v>
      </c>
      <c r="I84" s="144"/>
      <c r="J84" s="145">
        <f t="shared" si="5"/>
        <v>2306815480</v>
      </c>
      <c r="K84" s="145"/>
    </row>
    <row r="85" spans="1:12" s="125" customFormat="1" ht="17.25" customHeight="1">
      <c r="A85" s="125">
        <f t="shared" si="3"/>
        <v>2</v>
      </c>
      <c r="B85" s="140">
        <v>42039</v>
      </c>
      <c r="C85" s="141" t="s">
        <v>39</v>
      </c>
      <c r="D85" s="140">
        <f t="shared" si="4"/>
        <v>42039</v>
      </c>
      <c r="E85" s="142" t="s">
        <v>62</v>
      </c>
      <c r="F85" s="142"/>
      <c r="G85" s="143" t="s">
        <v>367</v>
      </c>
      <c r="H85" s="144"/>
      <c r="I85" s="144">
        <v>500000000</v>
      </c>
      <c r="J85" s="145">
        <f t="shared" si="5"/>
        <v>1806815480</v>
      </c>
      <c r="K85" s="145"/>
    </row>
    <row r="86" spans="1:12" s="125" customFormat="1" ht="17.25" customHeight="1">
      <c r="A86" s="125">
        <f t="shared" si="3"/>
        <v>2</v>
      </c>
      <c r="B86" s="140">
        <v>42040</v>
      </c>
      <c r="C86" s="141" t="s">
        <v>40</v>
      </c>
      <c r="D86" s="140">
        <f t="shared" si="4"/>
        <v>42040</v>
      </c>
      <c r="E86" s="142" t="s">
        <v>62</v>
      </c>
      <c r="F86" s="142"/>
      <c r="G86" s="143" t="s">
        <v>367</v>
      </c>
      <c r="H86" s="144"/>
      <c r="I86" s="144">
        <v>1000000000</v>
      </c>
      <c r="J86" s="145">
        <f t="shared" si="5"/>
        <v>806815480</v>
      </c>
      <c r="K86" s="145"/>
    </row>
    <row r="87" spans="1:12" s="125" customFormat="1" ht="17.25" customHeight="1">
      <c r="A87" s="125">
        <f t="shared" si="3"/>
        <v>2</v>
      </c>
      <c r="B87" s="140">
        <v>42041</v>
      </c>
      <c r="C87" s="141" t="s">
        <v>417</v>
      </c>
      <c r="D87" s="140">
        <f t="shared" si="4"/>
        <v>42041</v>
      </c>
      <c r="E87" s="142" t="s">
        <v>71</v>
      </c>
      <c r="F87" s="142"/>
      <c r="G87" s="143" t="s">
        <v>367</v>
      </c>
      <c r="H87" s="144">
        <v>60000000</v>
      </c>
      <c r="I87" s="144"/>
      <c r="J87" s="145">
        <f t="shared" si="5"/>
        <v>866815480</v>
      </c>
      <c r="K87" s="145"/>
    </row>
    <row r="88" spans="1:12" s="125" customFormat="1" ht="17.25" customHeight="1">
      <c r="A88" s="125">
        <f t="shared" si="3"/>
        <v>2</v>
      </c>
      <c r="B88" s="140">
        <v>42041</v>
      </c>
      <c r="C88" s="141" t="s">
        <v>368</v>
      </c>
      <c r="D88" s="140">
        <f t="shared" si="4"/>
        <v>42041</v>
      </c>
      <c r="E88" s="142" t="s">
        <v>868</v>
      </c>
      <c r="F88" s="142"/>
      <c r="G88" s="141" t="s">
        <v>34</v>
      </c>
      <c r="H88" s="144"/>
      <c r="I88" s="144">
        <v>61000000</v>
      </c>
      <c r="J88" s="145">
        <f t="shared" si="5"/>
        <v>805815480</v>
      </c>
      <c r="K88" s="145"/>
    </row>
    <row r="89" spans="1:12" s="125" customFormat="1" ht="17.25" customHeight="1">
      <c r="A89" s="125">
        <f t="shared" si="3"/>
        <v>2</v>
      </c>
      <c r="B89" s="140">
        <v>42041</v>
      </c>
      <c r="C89" s="141" t="s">
        <v>368</v>
      </c>
      <c r="D89" s="140">
        <f t="shared" si="4"/>
        <v>42041</v>
      </c>
      <c r="E89" s="142" t="s">
        <v>418</v>
      </c>
      <c r="F89" s="142"/>
      <c r="G89" s="143" t="s">
        <v>94</v>
      </c>
      <c r="H89" s="144"/>
      <c r="I89" s="144">
        <v>40000</v>
      </c>
      <c r="J89" s="145">
        <f t="shared" si="5"/>
        <v>805775480</v>
      </c>
      <c r="K89" s="145"/>
    </row>
    <row r="90" spans="1:12" s="125" customFormat="1" ht="17.25" customHeight="1">
      <c r="A90" s="125">
        <f t="shared" si="3"/>
        <v>2</v>
      </c>
      <c r="B90" s="140">
        <v>42041</v>
      </c>
      <c r="C90" s="141" t="s">
        <v>368</v>
      </c>
      <c r="D90" s="140">
        <f t="shared" si="4"/>
        <v>42041</v>
      </c>
      <c r="E90" s="142" t="s">
        <v>419</v>
      </c>
      <c r="F90" s="142"/>
      <c r="G90" s="141" t="s">
        <v>35</v>
      </c>
      <c r="H90" s="144"/>
      <c r="I90" s="144">
        <v>4000</v>
      </c>
      <c r="J90" s="145">
        <f t="shared" si="5"/>
        <v>805771480</v>
      </c>
      <c r="K90" s="145"/>
    </row>
    <row r="91" spans="1:12" s="125" customFormat="1" ht="17.25" customHeight="1">
      <c r="A91" s="125">
        <f t="shared" si="3"/>
        <v>2</v>
      </c>
      <c r="B91" s="140">
        <v>42041</v>
      </c>
      <c r="C91" s="141" t="s">
        <v>41</v>
      </c>
      <c r="D91" s="140">
        <f t="shared" si="4"/>
        <v>42041</v>
      </c>
      <c r="E91" s="142" t="s">
        <v>62</v>
      </c>
      <c r="F91" s="142"/>
      <c r="G91" s="143" t="s">
        <v>367</v>
      </c>
      <c r="H91" s="144"/>
      <c r="I91" s="144">
        <v>800000000</v>
      </c>
      <c r="J91" s="145">
        <f t="shared" si="5"/>
        <v>5771480</v>
      </c>
      <c r="K91" s="145"/>
    </row>
    <row r="92" spans="1:12" s="125" customFormat="1" ht="17.25" customHeight="1">
      <c r="A92" s="125">
        <f t="shared" si="3"/>
        <v>2</v>
      </c>
      <c r="B92" s="140">
        <v>42044</v>
      </c>
      <c r="C92" s="141" t="s">
        <v>417</v>
      </c>
      <c r="D92" s="140">
        <f t="shared" si="4"/>
        <v>42044</v>
      </c>
      <c r="E92" s="142" t="s">
        <v>71</v>
      </c>
      <c r="F92" s="142"/>
      <c r="G92" s="143" t="s">
        <v>367</v>
      </c>
      <c r="H92" s="144">
        <v>25000000</v>
      </c>
      <c r="I92" s="144"/>
      <c r="J92" s="145">
        <f t="shared" si="5"/>
        <v>30771480</v>
      </c>
      <c r="K92" s="145"/>
    </row>
    <row r="93" spans="1:12" s="125" customFormat="1" ht="12.75">
      <c r="A93" s="125">
        <f t="shared" si="3"/>
        <v>2</v>
      </c>
      <c r="B93" s="140">
        <v>42044</v>
      </c>
      <c r="C93" s="141" t="s">
        <v>368</v>
      </c>
      <c r="D93" s="140">
        <f t="shared" si="4"/>
        <v>42044</v>
      </c>
      <c r="E93" s="142" t="s">
        <v>870</v>
      </c>
      <c r="F93" s="142"/>
      <c r="G93" s="141" t="s">
        <v>34</v>
      </c>
      <c r="H93" s="144"/>
      <c r="I93" s="144">
        <v>23890240</v>
      </c>
      <c r="J93" s="145">
        <f t="shared" si="5"/>
        <v>6881240</v>
      </c>
      <c r="K93" s="145"/>
    </row>
    <row r="94" spans="1:12" s="125" customFormat="1" ht="17.25" customHeight="1">
      <c r="A94" s="125">
        <f t="shared" si="3"/>
        <v>2</v>
      </c>
      <c r="B94" s="140">
        <v>42044</v>
      </c>
      <c r="C94" s="141" t="s">
        <v>368</v>
      </c>
      <c r="D94" s="140">
        <f t="shared" si="4"/>
        <v>42044</v>
      </c>
      <c r="E94" s="142" t="s">
        <v>382</v>
      </c>
      <c r="F94" s="142"/>
      <c r="G94" s="143" t="s">
        <v>94</v>
      </c>
      <c r="H94" s="144"/>
      <c r="I94" s="144">
        <v>45000</v>
      </c>
      <c r="J94" s="145">
        <f t="shared" si="5"/>
        <v>6836240</v>
      </c>
      <c r="K94" s="145"/>
    </row>
    <row r="95" spans="1:12" s="125" customFormat="1" ht="17.25" customHeight="1">
      <c r="A95" s="125">
        <f t="shared" si="3"/>
        <v>2</v>
      </c>
      <c r="B95" s="140">
        <v>42044</v>
      </c>
      <c r="C95" s="141" t="s">
        <v>368</v>
      </c>
      <c r="D95" s="140">
        <f t="shared" si="4"/>
        <v>42044</v>
      </c>
      <c r="E95" s="142" t="s">
        <v>383</v>
      </c>
      <c r="F95" s="142"/>
      <c r="G95" s="143" t="s">
        <v>35</v>
      </c>
      <c r="H95" s="144"/>
      <c r="I95" s="144">
        <v>4500</v>
      </c>
      <c r="J95" s="145">
        <f t="shared" si="5"/>
        <v>6831740</v>
      </c>
      <c r="K95" s="145"/>
    </row>
    <row r="96" spans="1:12" s="125" customFormat="1" ht="17.25" customHeight="1">
      <c r="A96" s="125">
        <f t="shared" si="3"/>
        <v>2</v>
      </c>
      <c r="B96" s="140">
        <v>42044</v>
      </c>
      <c r="C96" s="141" t="s">
        <v>368</v>
      </c>
      <c r="D96" s="140">
        <f t="shared" si="4"/>
        <v>42044</v>
      </c>
      <c r="E96" s="142" t="s">
        <v>864</v>
      </c>
      <c r="F96" s="142"/>
      <c r="G96" s="141" t="s">
        <v>34</v>
      </c>
      <c r="H96" s="144"/>
      <c r="I96" s="144">
        <v>3630000</v>
      </c>
      <c r="J96" s="145">
        <f t="shared" si="5"/>
        <v>3201740</v>
      </c>
      <c r="K96" s="145"/>
    </row>
    <row r="97" spans="1:11" s="125" customFormat="1" ht="17.25" customHeight="1">
      <c r="A97" s="125">
        <f t="shared" si="3"/>
        <v>2</v>
      </c>
      <c r="B97" s="140">
        <v>42044</v>
      </c>
      <c r="C97" s="141" t="s">
        <v>368</v>
      </c>
      <c r="D97" s="140">
        <f t="shared" si="4"/>
        <v>42044</v>
      </c>
      <c r="E97" s="142" t="s">
        <v>380</v>
      </c>
      <c r="F97" s="142"/>
      <c r="G97" s="143" t="s">
        <v>94</v>
      </c>
      <c r="H97" s="144"/>
      <c r="I97" s="144">
        <v>40000</v>
      </c>
      <c r="J97" s="145">
        <f t="shared" si="5"/>
        <v>3161740</v>
      </c>
      <c r="K97" s="145"/>
    </row>
    <row r="98" spans="1:11" s="125" customFormat="1" ht="17.25" customHeight="1">
      <c r="A98" s="125">
        <f t="shared" si="3"/>
        <v>2</v>
      </c>
      <c r="B98" s="140">
        <v>42044</v>
      </c>
      <c r="C98" s="141" t="s">
        <v>368</v>
      </c>
      <c r="D98" s="140">
        <f t="shared" si="4"/>
        <v>42044</v>
      </c>
      <c r="E98" s="142" t="s">
        <v>381</v>
      </c>
      <c r="F98" s="142"/>
      <c r="G98" s="143" t="s">
        <v>35</v>
      </c>
      <c r="H98" s="144"/>
      <c r="I98" s="144">
        <v>4000</v>
      </c>
      <c r="J98" s="145">
        <f t="shared" si="5"/>
        <v>3157740</v>
      </c>
      <c r="K98" s="145"/>
    </row>
    <row r="99" spans="1:11" s="125" customFormat="1" ht="17.25" customHeight="1">
      <c r="A99" s="125">
        <f t="shared" si="3"/>
        <v>2</v>
      </c>
      <c r="B99" s="140">
        <v>42049</v>
      </c>
      <c r="C99" s="141" t="s">
        <v>371</v>
      </c>
      <c r="D99" s="140">
        <f t="shared" si="4"/>
        <v>42049</v>
      </c>
      <c r="E99" s="142" t="s">
        <v>372</v>
      </c>
      <c r="F99" s="142"/>
      <c r="G99" s="141" t="s">
        <v>370</v>
      </c>
      <c r="H99" s="144">
        <v>2133000000</v>
      </c>
      <c r="I99" s="144"/>
      <c r="J99" s="145">
        <f t="shared" si="5"/>
        <v>2136157740</v>
      </c>
      <c r="K99" s="145"/>
    </row>
    <row r="100" spans="1:11" s="125" customFormat="1" ht="17.25" customHeight="1">
      <c r="A100" s="125">
        <f t="shared" si="3"/>
        <v>2</v>
      </c>
      <c r="B100" s="140">
        <v>42049</v>
      </c>
      <c r="C100" s="141" t="s">
        <v>368</v>
      </c>
      <c r="D100" s="140">
        <f t="shared" si="4"/>
        <v>42049</v>
      </c>
      <c r="E100" s="142" t="s">
        <v>805</v>
      </c>
      <c r="F100" s="142"/>
      <c r="G100" s="141" t="s">
        <v>34</v>
      </c>
      <c r="H100" s="144"/>
      <c r="I100" s="144">
        <v>100000000</v>
      </c>
      <c r="J100" s="145">
        <f t="shared" si="5"/>
        <v>2036157740</v>
      </c>
      <c r="K100" s="145"/>
    </row>
    <row r="101" spans="1:11" s="125" customFormat="1" ht="17.25" customHeight="1">
      <c r="A101" s="125">
        <f t="shared" si="3"/>
        <v>2</v>
      </c>
      <c r="B101" s="140">
        <v>42049</v>
      </c>
      <c r="C101" s="141" t="s">
        <v>368</v>
      </c>
      <c r="D101" s="140">
        <f t="shared" si="4"/>
        <v>42049</v>
      </c>
      <c r="E101" s="142" t="s">
        <v>384</v>
      </c>
      <c r="F101" s="142"/>
      <c r="G101" s="143" t="s">
        <v>94</v>
      </c>
      <c r="H101" s="144"/>
      <c r="I101" s="144">
        <v>50000</v>
      </c>
      <c r="J101" s="145">
        <f t="shared" si="5"/>
        <v>2036107740</v>
      </c>
      <c r="K101" s="145"/>
    </row>
    <row r="102" spans="1:11" s="125" customFormat="1" ht="17.25" customHeight="1">
      <c r="A102" s="125">
        <f t="shared" si="3"/>
        <v>2</v>
      </c>
      <c r="B102" s="140">
        <v>42049</v>
      </c>
      <c r="C102" s="141" t="s">
        <v>368</v>
      </c>
      <c r="D102" s="140">
        <f t="shared" si="4"/>
        <v>42049</v>
      </c>
      <c r="E102" s="142" t="s">
        <v>385</v>
      </c>
      <c r="F102" s="142"/>
      <c r="G102" s="141" t="s">
        <v>35</v>
      </c>
      <c r="H102" s="144"/>
      <c r="I102" s="144">
        <v>5000</v>
      </c>
      <c r="J102" s="145">
        <f t="shared" si="5"/>
        <v>2036102740</v>
      </c>
      <c r="K102" s="145"/>
    </row>
    <row r="103" spans="1:11" s="125" customFormat="1" ht="17.25" customHeight="1">
      <c r="A103" s="125">
        <f t="shared" si="3"/>
        <v>2</v>
      </c>
      <c r="B103" s="140">
        <v>42049</v>
      </c>
      <c r="C103" s="141" t="s">
        <v>368</v>
      </c>
      <c r="D103" s="140">
        <f t="shared" si="4"/>
        <v>42049</v>
      </c>
      <c r="E103" s="142" t="s">
        <v>711</v>
      </c>
      <c r="F103" s="142"/>
      <c r="G103" s="141" t="s">
        <v>34</v>
      </c>
      <c r="H103" s="144"/>
      <c r="I103" s="144">
        <v>100000000</v>
      </c>
      <c r="J103" s="145">
        <f t="shared" si="5"/>
        <v>1936102740</v>
      </c>
      <c r="K103" s="145"/>
    </row>
    <row r="104" spans="1:11" s="125" customFormat="1" ht="17.25" customHeight="1">
      <c r="A104" s="125">
        <f t="shared" si="3"/>
        <v>2</v>
      </c>
      <c r="B104" s="140">
        <v>42049</v>
      </c>
      <c r="C104" s="141" t="s">
        <v>368</v>
      </c>
      <c r="D104" s="140">
        <f t="shared" si="4"/>
        <v>42049</v>
      </c>
      <c r="E104" s="142" t="s">
        <v>415</v>
      </c>
      <c r="F104" s="142"/>
      <c r="G104" s="143" t="s">
        <v>94</v>
      </c>
      <c r="H104" s="144"/>
      <c r="I104" s="144">
        <v>50000</v>
      </c>
      <c r="J104" s="145">
        <f t="shared" si="5"/>
        <v>1936052740</v>
      </c>
      <c r="K104" s="145"/>
    </row>
    <row r="105" spans="1:11" s="125" customFormat="1" ht="17.25" customHeight="1">
      <c r="A105" s="125">
        <f t="shared" si="3"/>
        <v>2</v>
      </c>
      <c r="B105" s="140">
        <v>42049</v>
      </c>
      <c r="C105" s="141" t="s">
        <v>368</v>
      </c>
      <c r="D105" s="140">
        <f t="shared" si="4"/>
        <v>42049</v>
      </c>
      <c r="E105" s="142" t="s">
        <v>416</v>
      </c>
      <c r="F105" s="142"/>
      <c r="G105" s="141" t="s">
        <v>35</v>
      </c>
      <c r="H105" s="144"/>
      <c r="I105" s="144">
        <v>5000</v>
      </c>
      <c r="J105" s="145">
        <f t="shared" si="5"/>
        <v>1936047740</v>
      </c>
      <c r="K105" s="145"/>
    </row>
    <row r="106" spans="1:11" s="125" customFormat="1" ht="17.25" customHeight="1">
      <c r="A106" s="125">
        <f t="shared" si="3"/>
        <v>2</v>
      </c>
      <c r="B106" s="140">
        <v>42049</v>
      </c>
      <c r="C106" s="141" t="s">
        <v>368</v>
      </c>
      <c r="D106" s="140">
        <f t="shared" si="4"/>
        <v>42049</v>
      </c>
      <c r="E106" s="142" t="s">
        <v>804</v>
      </c>
      <c r="F106" s="142"/>
      <c r="G106" s="141" t="s">
        <v>34</v>
      </c>
      <c r="H106" s="144"/>
      <c r="I106" s="144">
        <v>50000000</v>
      </c>
      <c r="J106" s="145">
        <f t="shared" si="5"/>
        <v>1886047740</v>
      </c>
      <c r="K106" s="145"/>
    </row>
    <row r="107" spans="1:11" s="125" customFormat="1" ht="17.25" customHeight="1">
      <c r="A107" s="125">
        <f t="shared" si="3"/>
        <v>2</v>
      </c>
      <c r="B107" s="140">
        <v>42049</v>
      </c>
      <c r="C107" s="141" t="s">
        <v>368</v>
      </c>
      <c r="D107" s="140">
        <f t="shared" si="4"/>
        <v>42049</v>
      </c>
      <c r="E107" s="142" t="s">
        <v>415</v>
      </c>
      <c r="F107" s="142"/>
      <c r="G107" s="143" t="s">
        <v>94</v>
      </c>
      <c r="H107" s="144"/>
      <c r="I107" s="144">
        <v>20000</v>
      </c>
      <c r="J107" s="145">
        <f t="shared" si="5"/>
        <v>1886027740</v>
      </c>
      <c r="K107" s="145"/>
    </row>
    <row r="108" spans="1:11" s="125" customFormat="1" ht="17.25" customHeight="1">
      <c r="A108" s="125">
        <f t="shared" si="3"/>
        <v>2</v>
      </c>
      <c r="B108" s="140">
        <v>42049</v>
      </c>
      <c r="C108" s="141" t="s">
        <v>368</v>
      </c>
      <c r="D108" s="140">
        <f t="shared" si="4"/>
        <v>42049</v>
      </c>
      <c r="E108" s="142" t="s">
        <v>416</v>
      </c>
      <c r="F108" s="142"/>
      <c r="G108" s="141" t="s">
        <v>35</v>
      </c>
      <c r="H108" s="144"/>
      <c r="I108" s="144">
        <v>2000</v>
      </c>
      <c r="J108" s="145">
        <f t="shared" si="5"/>
        <v>1886025740</v>
      </c>
      <c r="K108" s="145"/>
    </row>
    <row r="109" spans="1:11" s="125" customFormat="1" ht="17.25" customHeight="1">
      <c r="A109" s="125">
        <f t="shared" si="3"/>
        <v>2</v>
      </c>
      <c r="B109" s="140">
        <v>42049</v>
      </c>
      <c r="C109" s="141" t="s">
        <v>368</v>
      </c>
      <c r="D109" s="140">
        <f t="shared" si="4"/>
        <v>42049</v>
      </c>
      <c r="E109" s="142" t="s">
        <v>871</v>
      </c>
      <c r="F109" s="142"/>
      <c r="G109" s="141" t="s">
        <v>34</v>
      </c>
      <c r="H109" s="144"/>
      <c r="I109" s="144">
        <v>12000000</v>
      </c>
      <c r="J109" s="145">
        <f t="shared" si="5"/>
        <v>1874025740</v>
      </c>
      <c r="K109" s="145"/>
    </row>
    <row r="110" spans="1:11" s="125" customFormat="1" ht="17.25" customHeight="1">
      <c r="A110" s="125">
        <f t="shared" si="3"/>
        <v>2</v>
      </c>
      <c r="B110" s="140">
        <v>42049</v>
      </c>
      <c r="C110" s="141" t="s">
        <v>368</v>
      </c>
      <c r="D110" s="140">
        <f t="shared" si="4"/>
        <v>42049</v>
      </c>
      <c r="E110" s="142" t="s">
        <v>415</v>
      </c>
      <c r="F110" s="142"/>
      <c r="G110" s="143" t="s">
        <v>94</v>
      </c>
      <c r="H110" s="144"/>
      <c r="I110" s="144">
        <v>20000</v>
      </c>
      <c r="J110" s="145">
        <f t="shared" si="5"/>
        <v>1874005740</v>
      </c>
      <c r="K110" s="145"/>
    </row>
    <row r="111" spans="1:11" s="125" customFormat="1" ht="17.25" customHeight="1">
      <c r="A111" s="125">
        <f t="shared" si="3"/>
        <v>2</v>
      </c>
      <c r="B111" s="140">
        <v>42049</v>
      </c>
      <c r="C111" s="141" t="s">
        <v>368</v>
      </c>
      <c r="D111" s="140">
        <f t="shared" si="4"/>
        <v>42049</v>
      </c>
      <c r="E111" s="142" t="s">
        <v>416</v>
      </c>
      <c r="F111" s="142"/>
      <c r="G111" s="141" t="s">
        <v>35</v>
      </c>
      <c r="H111" s="144"/>
      <c r="I111" s="144">
        <v>2000</v>
      </c>
      <c r="J111" s="145">
        <f t="shared" si="5"/>
        <v>1874003740</v>
      </c>
      <c r="K111" s="145"/>
    </row>
    <row r="112" spans="1:11" s="125" customFormat="1" ht="17.25" customHeight="1">
      <c r="A112" s="125">
        <f t="shared" si="3"/>
        <v>2</v>
      </c>
      <c r="B112" s="140">
        <v>42049</v>
      </c>
      <c r="C112" s="141" t="s">
        <v>368</v>
      </c>
      <c r="D112" s="140">
        <f t="shared" si="4"/>
        <v>42049</v>
      </c>
      <c r="E112" s="142" t="s">
        <v>590</v>
      </c>
      <c r="F112" s="142"/>
      <c r="G112" s="143" t="s">
        <v>34</v>
      </c>
      <c r="H112" s="144"/>
      <c r="I112" s="144">
        <v>2889000</v>
      </c>
      <c r="J112" s="145">
        <f t="shared" si="5"/>
        <v>1871114740</v>
      </c>
      <c r="K112" s="145"/>
    </row>
    <row r="113" spans="1:11" s="125" customFormat="1" ht="17.25" customHeight="1">
      <c r="A113" s="125">
        <f t="shared" si="3"/>
        <v>2</v>
      </c>
      <c r="B113" s="140">
        <v>42049</v>
      </c>
      <c r="C113" s="141" t="s">
        <v>368</v>
      </c>
      <c r="D113" s="140">
        <f t="shared" si="4"/>
        <v>42049</v>
      </c>
      <c r="E113" s="142" t="s">
        <v>398</v>
      </c>
      <c r="F113" s="142"/>
      <c r="G113" s="143" t="s">
        <v>94</v>
      </c>
      <c r="H113" s="144"/>
      <c r="I113" s="144">
        <v>20000</v>
      </c>
      <c r="J113" s="145">
        <f t="shared" si="5"/>
        <v>1871094740</v>
      </c>
      <c r="K113" s="145"/>
    </row>
    <row r="114" spans="1:11" s="125" customFormat="1" ht="17.25" customHeight="1">
      <c r="A114" s="125">
        <f t="shared" si="3"/>
        <v>2</v>
      </c>
      <c r="B114" s="140">
        <v>42049</v>
      </c>
      <c r="C114" s="141" t="s">
        <v>368</v>
      </c>
      <c r="D114" s="140">
        <f t="shared" si="4"/>
        <v>42049</v>
      </c>
      <c r="E114" s="142" t="s">
        <v>399</v>
      </c>
      <c r="F114" s="142"/>
      <c r="G114" s="141" t="s">
        <v>35</v>
      </c>
      <c r="H114" s="144"/>
      <c r="I114" s="144">
        <v>2000</v>
      </c>
      <c r="J114" s="145">
        <f t="shared" si="5"/>
        <v>1871092740</v>
      </c>
      <c r="K114" s="145"/>
    </row>
    <row r="115" spans="1:11" s="125" customFormat="1" ht="17.25" customHeight="1">
      <c r="A115" s="125">
        <f t="shared" si="3"/>
        <v>2</v>
      </c>
      <c r="B115" s="140">
        <v>42049</v>
      </c>
      <c r="C115" s="141" t="s">
        <v>368</v>
      </c>
      <c r="D115" s="140">
        <f t="shared" si="4"/>
        <v>42049</v>
      </c>
      <c r="E115" s="142" t="s">
        <v>716</v>
      </c>
      <c r="F115" s="142"/>
      <c r="G115" s="141" t="s">
        <v>34</v>
      </c>
      <c r="H115" s="144"/>
      <c r="I115" s="144">
        <v>11189536</v>
      </c>
      <c r="J115" s="145">
        <f t="shared" si="5"/>
        <v>1859903204</v>
      </c>
      <c r="K115" s="145"/>
    </row>
    <row r="116" spans="1:11" s="125" customFormat="1" ht="12.75">
      <c r="A116" s="125">
        <f t="shared" si="3"/>
        <v>2</v>
      </c>
      <c r="B116" s="140">
        <v>42049</v>
      </c>
      <c r="C116" s="141" t="s">
        <v>368</v>
      </c>
      <c r="D116" s="140">
        <f t="shared" si="4"/>
        <v>42049</v>
      </c>
      <c r="E116" s="142" t="s">
        <v>872</v>
      </c>
      <c r="F116" s="142"/>
      <c r="G116" s="143" t="s">
        <v>34</v>
      </c>
      <c r="H116" s="144"/>
      <c r="I116" s="144">
        <v>32776590</v>
      </c>
      <c r="J116" s="145">
        <f t="shared" si="5"/>
        <v>1827126614</v>
      </c>
      <c r="K116" s="145"/>
    </row>
    <row r="117" spans="1:11" s="125" customFormat="1" ht="17.25" customHeight="1">
      <c r="A117" s="125">
        <f t="shared" si="3"/>
        <v>2</v>
      </c>
      <c r="B117" s="140">
        <v>42049</v>
      </c>
      <c r="C117" s="141" t="s">
        <v>368</v>
      </c>
      <c r="D117" s="140">
        <f t="shared" si="4"/>
        <v>42049</v>
      </c>
      <c r="E117" s="142" t="s">
        <v>382</v>
      </c>
      <c r="F117" s="142"/>
      <c r="G117" s="143" t="s">
        <v>94</v>
      </c>
      <c r="H117" s="144"/>
      <c r="I117" s="144">
        <v>25000</v>
      </c>
      <c r="J117" s="145">
        <f t="shared" si="5"/>
        <v>1827101614</v>
      </c>
      <c r="K117" s="145"/>
    </row>
    <row r="118" spans="1:11" s="125" customFormat="1" ht="17.25" customHeight="1">
      <c r="A118" s="125">
        <f t="shared" si="3"/>
        <v>2</v>
      </c>
      <c r="B118" s="140">
        <v>42049</v>
      </c>
      <c r="C118" s="141" t="s">
        <v>368</v>
      </c>
      <c r="D118" s="140">
        <f t="shared" si="4"/>
        <v>42049</v>
      </c>
      <c r="E118" s="142" t="s">
        <v>383</v>
      </c>
      <c r="F118" s="142"/>
      <c r="G118" s="141" t="s">
        <v>35</v>
      </c>
      <c r="H118" s="144"/>
      <c r="I118" s="144">
        <v>2500</v>
      </c>
      <c r="J118" s="145">
        <f t="shared" si="5"/>
        <v>1827099114</v>
      </c>
      <c r="K118" s="145"/>
    </row>
    <row r="119" spans="1:11" s="125" customFormat="1" ht="17.25" customHeight="1">
      <c r="A119" s="125">
        <f t="shared" si="3"/>
        <v>2</v>
      </c>
      <c r="B119" s="140">
        <v>42049</v>
      </c>
      <c r="C119" s="141" t="s">
        <v>42</v>
      </c>
      <c r="D119" s="140">
        <f t="shared" si="4"/>
        <v>42049</v>
      </c>
      <c r="E119" s="142" t="s">
        <v>62</v>
      </c>
      <c r="F119" s="142"/>
      <c r="G119" s="143" t="s">
        <v>367</v>
      </c>
      <c r="H119" s="144"/>
      <c r="I119" s="144">
        <v>1820000000</v>
      </c>
      <c r="J119" s="145">
        <f t="shared" si="5"/>
        <v>7099114</v>
      </c>
      <c r="K119" s="145"/>
    </row>
    <row r="120" spans="1:11" s="125" customFormat="1" ht="17.25" customHeight="1">
      <c r="A120" s="125">
        <f t="shared" si="3"/>
        <v>2</v>
      </c>
      <c r="B120" s="140">
        <v>42059</v>
      </c>
      <c r="C120" s="141" t="s">
        <v>371</v>
      </c>
      <c r="D120" s="140">
        <f t="shared" si="4"/>
        <v>42059</v>
      </c>
      <c r="E120" s="142" t="s">
        <v>413</v>
      </c>
      <c r="F120" s="142"/>
      <c r="G120" s="143" t="s">
        <v>414</v>
      </c>
      <c r="H120" s="144">
        <v>24049</v>
      </c>
      <c r="I120" s="144"/>
      <c r="J120" s="145">
        <f t="shared" si="5"/>
        <v>7123163</v>
      </c>
      <c r="K120" s="145"/>
    </row>
    <row r="121" spans="1:11" s="125" customFormat="1" ht="17.25" customHeight="1">
      <c r="A121" s="125">
        <f t="shared" si="3"/>
        <v>2</v>
      </c>
      <c r="B121" s="140">
        <v>42061</v>
      </c>
      <c r="C121" s="141" t="s">
        <v>371</v>
      </c>
      <c r="D121" s="140">
        <f t="shared" si="4"/>
        <v>42061</v>
      </c>
      <c r="E121" s="142" t="s">
        <v>372</v>
      </c>
      <c r="F121" s="142"/>
      <c r="G121" s="141" t="s">
        <v>370</v>
      </c>
      <c r="H121" s="144">
        <v>918480000</v>
      </c>
      <c r="I121" s="144"/>
      <c r="J121" s="145">
        <f t="shared" si="5"/>
        <v>925603163</v>
      </c>
      <c r="K121" s="145"/>
    </row>
    <row r="122" spans="1:11" s="125" customFormat="1" ht="17.25" customHeight="1">
      <c r="A122" s="125">
        <f t="shared" si="3"/>
        <v>2</v>
      </c>
      <c r="B122" s="140">
        <v>42061</v>
      </c>
      <c r="C122" s="141" t="s">
        <v>368</v>
      </c>
      <c r="D122" s="140">
        <f t="shared" si="4"/>
        <v>42061</v>
      </c>
      <c r="E122" s="142" t="s">
        <v>420</v>
      </c>
      <c r="F122" s="142"/>
      <c r="G122" s="141" t="s">
        <v>36</v>
      </c>
      <c r="H122" s="144"/>
      <c r="I122" s="144">
        <v>25000000</v>
      </c>
      <c r="J122" s="145">
        <f t="shared" si="5"/>
        <v>900603163</v>
      </c>
      <c r="K122" s="145"/>
    </row>
    <row r="123" spans="1:11" s="125" customFormat="1" ht="17.25" customHeight="1">
      <c r="A123" s="125">
        <f t="shared" si="3"/>
        <v>2</v>
      </c>
      <c r="B123" s="140">
        <v>42061</v>
      </c>
      <c r="C123" s="141" t="s">
        <v>368</v>
      </c>
      <c r="D123" s="140">
        <f t="shared" si="4"/>
        <v>42061</v>
      </c>
      <c r="E123" s="142" t="s">
        <v>391</v>
      </c>
      <c r="F123" s="142"/>
      <c r="G123" s="141" t="s">
        <v>58</v>
      </c>
      <c r="H123" s="144"/>
      <c r="I123" s="144">
        <v>60000000</v>
      </c>
      <c r="J123" s="145">
        <f t="shared" si="5"/>
        <v>840603163</v>
      </c>
      <c r="K123" s="145"/>
    </row>
    <row r="124" spans="1:11" s="125" customFormat="1" ht="12.75">
      <c r="A124" s="125">
        <f t="shared" si="3"/>
        <v>3</v>
      </c>
      <c r="B124" s="140">
        <v>42065</v>
      </c>
      <c r="C124" s="141" t="s">
        <v>368</v>
      </c>
      <c r="D124" s="140">
        <f t="shared" si="4"/>
        <v>42065</v>
      </c>
      <c r="E124" s="142" t="s">
        <v>873</v>
      </c>
      <c r="F124" s="142"/>
      <c r="G124" s="143" t="s">
        <v>34</v>
      </c>
      <c r="H124" s="144"/>
      <c r="I124" s="144">
        <v>72613200</v>
      </c>
      <c r="J124" s="145">
        <f t="shared" si="5"/>
        <v>767989963</v>
      </c>
      <c r="K124" s="145"/>
    </row>
    <row r="125" spans="1:11" s="125" customFormat="1" ht="17.25" customHeight="1">
      <c r="A125" s="125">
        <f t="shared" si="3"/>
        <v>3</v>
      </c>
      <c r="B125" s="140">
        <v>42065</v>
      </c>
      <c r="C125" s="141" t="s">
        <v>368</v>
      </c>
      <c r="D125" s="140">
        <f t="shared" si="4"/>
        <v>42065</v>
      </c>
      <c r="E125" s="142" t="s">
        <v>415</v>
      </c>
      <c r="F125" s="142"/>
      <c r="G125" s="143" t="s">
        <v>94</v>
      </c>
      <c r="H125" s="144"/>
      <c r="I125" s="144">
        <v>21784</v>
      </c>
      <c r="J125" s="145">
        <f t="shared" si="5"/>
        <v>767968179</v>
      </c>
      <c r="K125" s="145"/>
    </row>
    <row r="126" spans="1:11" s="125" customFormat="1" ht="17.25" customHeight="1">
      <c r="A126" s="125">
        <f t="shared" si="3"/>
        <v>3</v>
      </c>
      <c r="B126" s="140">
        <v>42065</v>
      </c>
      <c r="C126" s="141" t="s">
        <v>368</v>
      </c>
      <c r="D126" s="140">
        <f t="shared" si="4"/>
        <v>42065</v>
      </c>
      <c r="E126" s="142" t="s">
        <v>421</v>
      </c>
      <c r="F126" s="142"/>
      <c r="G126" s="143" t="s">
        <v>35</v>
      </c>
      <c r="H126" s="144"/>
      <c r="I126" s="144">
        <v>2178</v>
      </c>
      <c r="J126" s="145">
        <f t="shared" si="5"/>
        <v>767966001</v>
      </c>
      <c r="K126" s="145"/>
    </row>
    <row r="127" spans="1:11" s="125" customFormat="1" ht="16.5" customHeight="1">
      <c r="A127" s="125">
        <f t="shared" si="3"/>
        <v>3</v>
      </c>
      <c r="B127" s="140">
        <v>42065</v>
      </c>
      <c r="C127" s="141" t="s">
        <v>368</v>
      </c>
      <c r="D127" s="140">
        <f t="shared" si="4"/>
        <v>42065</v>
      </c>
      <c r="E127" s="142" t="s">
        <v>402</v>
      </c>
      <c r="F127" s="142"/>
      <c r="G127" s="143" t="s">
        <v>38</v>
      </c>
      <c r="H127" s="144"/>
      <c r="I127" s="144">
        <v>85462423</v>
      </c>
      <c r="J127" s="145">
        <f t="shared" si="5"/>
        <v>682503578</v>
      </c>
      <c r="K127" s="145"/>
    </row>
    <row r="128" spans="1:11" s="125" customFormat="1" ht="17.25" customHeight="1">
      <c r="A128" s="125">
        <f t="shared" si="3"/>
        <v>3</v>
      </c>
      <c r="B128" s="140">
        <v>42065</v>
      </c>
      <c r="C128" s="141" t="s">
        <v>368</v>
      </c>
      <c r="D128" s="140">
        <f t="shared" si="4"/>
        <v>42065</v>
      </c>
      <c r="E128" s="142" t="s">
        <v>415</v>
      </c>
      <c r="F128" s="142"/>
      <c r="G128" s="143" t="s">
        <v>94</v>
      </c>
      <c r="H128" s="144"/>
      <c r="I128" s="144">
        <v>42731</v>
      </c>
      <c r="J128" s="145">
        <f t="shared" si="5"/>
        <v>682460847</v>
      </c>
      <c r="K128" s="145"/>
    </row>
    <row r="129" spans="1:11" s="125" customFormat="1" ht="17.25" customHeight="1">
      <c r="A129" s="125">
        <f t="shared" si="3"/>
        <v>3</v>
      </c>
      <c r="B129" s="140">
        <v>42065</v>
      </c>
      <c r="C129" s="141" t="s">
        <v>368</v>
      </c>
      <c r="D129" s="140">
        <f t="shared" si="4"/>
        <v>42065</v>
      </c>
      <c r="E129" s="142" t="s">
        <v>421</v>
      </c>
      <c r="F129" s="142"/>
      <c r="G129" s="143" t="s">
        <v>35</v>
      </c>
      <c r="H129" s="144"/>
      <c r="I129" s="144">
        <v>4273</v>
      </c>
      <c r="J129" s="145">
        <f t="shared" si="5"/>
        <v>682456574</v>
      </c>
      <c r="K129" s="145"/>
    </row>
    <row r="130" spans="1:11" s="125" customFormat="1" ht="12.75">
      <c r="A130" s="125">
        <f t="shared" si="3"/>
        <v>3</v>
      </c>
      <c r="B130" s="140">
        <v>42065</v>
      </c>
      <c r="C130" s="141" t="s">
        <v>368</v>
      </c>
      <c r="D130" s="140">
        <f t="shared" si="4"/>
        <v>42065</v>
      </c>
      <c r="E130" s="142" t="s">
        <v>874</v>
      </c>
      <c r="F130" s="142"/>
      <c r="G130" s="143" t="s">
        <v>34</v>
      </c>
      <c r="H130" s="144"/>
      <c r="I130" s="144">
        <v>35693790</v>
      </c>
      <c r="J130" s="145">
        <f t="shared" si="5"/>
        <v>646762784</v>
      </c>
      <c r="K130" s="145"/>
    </row>
    <row r="131" spans="1:11" s="125" customFormat="1" ht="17.25" customHeight="1">
      <c r="A131" s="125">
        <f t="shared" si="3"/>
        <v>3</v>
      </c>
      <c r="B131" s="140">
        <v>42065</v>
      </c>
      <c r="C131" s="141" t="s">
        <v>368</v>
      </c>
      <c r="D131" s="140">
        <f t="shared" si="4"/>
        <v>42065</v>
      </c>
      <c r="E131" s="142" t="s">
        <v>382</v>
      </c>
      <c r="F131" s="142"/>
      <c r="G131" s="143" t="s">
        <v>94</v>
      </c>
      <c r="H131" s="144"/>
      <c r="I131" s="144">
        <v>25000</v>
      </c>
      <c r="J131" s="145">
        <f t="shared" si="5"/>
        <v>646737784</v>
      </c>
      <c r="K131" s="145"/>
    </row>
    <row r="132" spans="1:11" s="125" customFormat="1" ht="17.25" customHeight="1">
      <c r="A132" s="125">
        <f t="shared" si="3"/>
        <v>3</v>
      </c>
      <c r="B132" s="140">
        <v>42065</v>
      </c>
      <c r="C132" s="141" t="s">
        <v>368</v>
      </c>
      <c r="D132" s="140">
        <f t="shared" si="4"/>
        <v>42065</v>
      </c>
      <c r="E132" s="142" t="s">
        <v>383</v>
      </c>
      <c r="F132" s="142"/>
      <c r="G132" s="141" t="s">
        <v>35</v>
      </c>
      <c r="H132" s="144"/>
      <c r="I132" s="144">
        <v>2500</v>
      </c>
      <c r="J132" s="145">
        <f t="shared" si="5"/>
        <v>646735284</v>
      </c>
      <c r="K132" s="145"/>
    </row>
    <row r="133" spans="1:11" s="125" customFormat="1" ht="25.5">
      <c r="A133" s="125">
        <f t="shared" si="3"/>
        <v>3</v>
      </c>
      <c r="B133" s="140">
        <v>42065</v>
      </c>
      <c r="C133" s="141" t="s">
        <v>368</v>
      </c>
      <c r="D133" s="140">
        <f t="shared" si="4"/>
        <v>42065</v>
      </c>
      <c r="E133" s="142" t="s">
        <v>714</v>
      </c>
      <c r="F133" s="142"/>
      <c r="G133" s="143" t="s">
        <v>34</v>
      </c>
      <c r="H133" s="144"/>
      <c r="I133" s="144">
        <v>100000000</v>
      </c>
      <c r="J133" s="145">
        <f t="shared" si="5"/>
        <v>546735284</v>
      </c>
      <c r="K133" s="145"/>
    </row>
    <row r="134" spans="1:11" s="125" customFormat="1" ht="17.25" customHeight="1">
      <c r="A134" s="125">
        <f t="shared" si="3"/>
        <v>3</v>
      </c>
      <c r="B134" s="140">
        <v>42065</v>
      </c>
      <c r="C134" s="141" t="s">
        <v>368</v>
      </c>
      <c r="D134" s="140">
        <f t="shared" si="4"/>
        <v>42065</v>
      </c>
      <c r="E134" s="142" t="s">
        <v>415</v>
      </c>
      <c r="F134" s="142"/>
      <c r="G134" s="143" t="s">
        <v>94</v>
      </c>
      <c r="H134" s="144"/>
      <c r="I134" s="144">
        <v>30000</v>
      </c>
      <c r="J134" s="145">
        <f t="shared" si="5"/>
        <v>546705284</v>
      </c>
      <c r="K134" s="145"/>
    </row>
    <row r="135" spans="1:11" s="125" customFormat="1" ht="17.25" customHeight="1">
      <c r="A135" s="125">
        <f t="shared" si="3"/>
        <v>3</v>
      </c>
      <c r="B135" s="140">
        <v>42065</v>
      </c>
      <c r="C135" s="141" t="s">
        <v>368</v>
      </c>
      <c r="D135" s="140">
        <f t="shared" si="4"/>
        <v>42065</v>
      </c>
      <c r="E135" s="142" t="s">
        <v>416</v>
      </c>
      <c r="F135" s="142"/>
      <c r="G135" s="143" t="s">
        <v>35</v>
      </c>
      <c r="H135" s="144"/>
      <c r="I135" s="144">
        <v>3000</v>
      </c>
      <c r="J135" s="145">
        <f t="shared" si="5"/>
        <v>546702284</v>
      </c>
      <c r="K135" s="145"/>
    </row>
    <row r="136" spans="1:11" s="125" customFormat="1" ht="17.25" customHeight="1">
      <c r="A136" s="125">
        <f t="shared" si="3"/>
        <v>3</v>
      </c>
      <c r="B136" s="140">
        <v>42065</v>
      </c>
      <c r="C136" s="141" t="s">
        <v>368</v>
      </c>
      <c r="D136" s="140">
        <f t="shared" si="4"/>
        <v>42065</v>
      </c>
      <c r="E136" s="142" t="s">
        <v>805</v>
      </c>
      <c r="F136" s="142"/>
      <c r="G136" s="143" t="s">
        <v>34</v>
      </c>
      <c r="H136" s="144"/>
      <c r="I136" s="144">
        <v>100000000</v>
      </c>
      <c r="J136" s="145">
        <f t="shared" si="5"/>
        <v>446702284</v>
      </c>
      <c r="K136" s="145"/>
    </row>
    <row r="137" spans="1:11" s="125" customFormat="1" ht="17.25" customHeight="1">
      <c r="A137" s="125">
        <f t="shared" si="3"/>
        <v>3</v>
      </c>
      <c r="B137" s="140">
        <v>42065</v>
      </c>
      <c r="C137" s="141" t="s">
        <v>368</v>
      </c>
      <c r="D137" s="140">
        <f t="shared" si="4"/>
        <v>42065</v>
      </c>
      <c r="E137" s="142" t="s">
        <v>415</v>
      </c>
      <c r="F137" s="142"/>
      <c r="G137" s="143" t="s">
        <v>94</v>
      </c>
      <c r="H137" s="144"/>
      <c r="I137" s="144">
        <v>50000</v>
      </c>
      <c r="J137" s="145">
        <f t="shared" si="5"/>
        <v>446652284</v>
      </c>
      <c r="K137" s="145"/>
    </row>
    <row r="138" spans="1:11" s="125" customFormat="1" ht="17.25" customHeight="1">
      <c r="A138" s="125">
        <f t="shared" si="3"/>
        <v>3</v>
      </c>
      <c r="B138" s="140">
        <v>42065</v>
      </c>
      <c r="C138" s="141" t="s">
        <v>368</v>
      </c>
      <c r="D138" s="140">
        <f t="shared" si="4"/>
        <v>42065</v>
      </c>
      <c r="E138" s="142" t="s">
        <v>416</v>
      </c>
      <c r="F138" s="142"/>
      <c r="G138" s="143" t="s">
        <v>35</v>
      </c>
      <c r="H138" s="144"/>
      <c r="I138" s="144">
        <v>5000</v>
      </c>
      <c r="J138" s="145">
        <f t="shared" si="5"/>
        <v>446647284</v>
      </c>
      <c r="K138" s="145"/>
    </row>
    <row r="139" spans="1:11" s="125" customFormat="1" ht="17.25" customHeight="1">
      <c r="A139" s="125">
        <f t="shared" si="3"/>
        <v>3</v>
      </c>
      <c r="B139" s="140">
        <v>42065</v>
      </c>
      <c r="C139" s="141" t="s">
        <v>371</v>
      </c>
      <c r="D139" s="140">
        <f t="shared" si="4"/>
        <v>42065</v>
      </c>
      <c r="E139" s="142" t="s">
        <v>372</v>
      </c>
      <c r="F139" s="142"/>
      <c r="G139" s="143" t="s">
        <v>370</v>
      </c>
      <c r="H139" s="144">
        <v>2077355000</v>
      </c>
      <c r="I139" s="144"/>
      <c r="J139" s="145">
        <f t="shared" si="5"/>
        <v>2524002284</v>
      </c>
      <c r="K139" s="145"/>
    </row>
    <row r="140" spans="1:11" s="125" customFormat="1" ht="17.25" customHeight="1">
      <c r="A140" s="125">
        <f t="shared" ref="A140:A203" si="6">IF(B140&lt;&gt;"",MONTH(B140),"")</f>
        <v>3</v>
      </c>
      <c r="B140" s="140">
        <v>42065</v>
      </c>
      <c r="C140" s="141" t="s">
        <v>39</v>
      </c>
      <c r="D140" s="140">
        <f t="shared" si="4"/>
        <v>42065</v>
      </c>
      <c r="E140" s="142" t="s">
        <v>62</v>
      </c>
      <c r="F140" s="142"/>
      <c r="G140" s="143" t="s">
        <v>367</v>
      </c>
      <c r="H140" s="144"/>
      <c r="I140" s="144">
        <v>2500000000</v>
      </c>
      <c r="J140" s="145">
        <f t="shared" si="5"/>
        <v>24002284</v>
      </c>
      <c r="K140" s="145"/>
    </row>
    <row r="141" spans="1:11" s="125" customFormat="1" ht="17.25" customHeight="1">
      <c r="A141" s="125">
        <f t="shared" si="6"/>
        <v>3</v>
      </c>
      <c r="B141" s="140">
        <v>42072</v>
      </c>
      <c r="C141" s="141" t="s">
        <v>371</v>
      </c>
      <c r="D141" s="140">
        <f t="shared" ref="D141:D204" si="7">IF(B141&lt;&gt;"",B141,"")</f>
        <v>42072</v>
      </c>
      <c r="E141" s="142" t="s">
        <v>372</v>
      </c>
      <c r="F141" s="142"/>
      <c r="G141" s="143" t="s">
        <v>370</v>
      </c>
      <c r="H141" s="144">
        <v>514535000</v>
      </c>
      <c r="I141" s="144"/>
      <c r="J141" s="145">
        <f t="shared" ref="J141:J204" si="8">IF(B141&lt;&gt;"",J140+H141-I141,0)</f>
        <v>538537284</v>
      </c>
      <c r="K141" s="145"/>
    </row>
    <row r="142" spans="1:11" s="125" customFormat="1" ht="17.25" customHeight="1">
      <c r="A142" s="125">
        <f t="shared" si="6"/>
        <v>3</v>
      </c>
      <c r="B142" s="140">
        <v>42072</v>
      </c>
      <c r="C142" s="141" t="s">
        <v>368</v>
      </c>
      <c r="D142" s="140">
        <f t="shared" si="7"/>
        <v>42072</v>
      </c>
      <c r="E142" s="142" t="s">
        <v>868</v>
      </c>
      <c r="F142" s="142"/>
      <c r="G142" s="143" t="s">
        <v>34</v>
      </c>
      <c r="H142" s="144"/>
      <c r="I142" s="144">
        <v>63260843</v>
      </c>
      <c r="J142" s="145">
        <f t="shared" si="8"/>
        <v>475276441</v>
      </c>
      <c r="K142" s="145"/>
    </row>
    <row r="143" spans="1:11" s="125" customFormat="1" ht="17.25" customHeight="1">
      <c r="A143" s="125">
        <f t="shared" si="6"/>
        <v>3</v>
      </c>
      <c r="B143" s="140">
        <v>42072</v>
      </c>
      <c r="C143" s="141" t="s">
        <v>368</v>
      </c>
      <c r="D143" s="140">
        <f t="shared" si="7"/>
        <v>42072</v>
      </c>
      <c r="E143" s="142" t="s">
        <v>415</v>
      </c>
      <c r="F143" s="142"/>
      <c r="G143" s="143" t="s">
        <v>94</v>
      </c>
      <c r="H143" s="144"/>
      <c r="I143" s="144">
        <v>20000</v>
      </c>
      <c r="J143" s="145">
        <f t="shared" si="8"/>
        <v>475256441</v>
      </c>
      <c r="K143" s="145"/>
    </row>
    <row r="144" spans="1:11" s="125" customFormat="1" ht="17.25" customHeight="1">
      <c r="A144" s="125">
        <f t="shared" si="6"/>
        <v>3</v>
      </c>
      <c r="B144" s="140">
        <v>42072</v>
      </c>
      <c r="C144" s="141" t="s">
        <v>368</v>
      </c>
      <c r="D144" s="140">
        <f t="shared" si="7"/>
        <v>42072</v>
      </c>
      <c r="E144" s="142" t="s">
        <v>416</v>
      </c>
      <c r="F144" s="142"/>
      <c r="G144" s="143" t="s">
        <v>35</v>
      </c>
      <c r="H144" s="144"/>
      <c r="I144" s="144">
        <v>2000</v>
      </c>
      <c r="J144" s="145">
        <f t="shared" si="8"/>
        <v>475254441</v>
      </c>
      <c r="K144" s="145"/>
    </row>
    <row r="145" spans="1:11" s="125" customFormat="1" ht="17.25" customHeight="1">
      <c r="A145" s="125">
        <f t="shared" si="6"/>
        <v>3</v>
      </c>
      <c r="B145" s="140">
        <v>42072</v>
      </c>
      <c r="C145" s="141" t="s">
        <v>368</v>
      </c>
      <c r="D145" s="140">
        <f t="shared" si="7"/>
        <v>42072</v>
      </c>
      <c r="E145" s="142" t="s">
        <v>875</v>
      </c>
      <c r="F145" s="142"/>
      <c r="G145" s="143" t="s">
        <v>34</v>
      </c>
      <c r="H145" s="144"/>
      <c r="I145" s="144">
        <v>180000000</v>
      </c>
      <c r="J145" s="145">
        <f t="shared" si="8"/>
        <v>295254441</v>
      </c>
      <c r="K145" s="145"/>
    </row>
    <row r="146" spans="1:11" s="125" customFormat="1" ht="17.25" customHeight="1">
      <c r="A146" s="125">
        <f t="shared" si="6"/>
        <v>3</v>
      </c>
      <c r="B146" s="140">
        <v>42072</v>
      </c>
      <c r="C146" s="141" t="s">
        <v>368</v>
      </c>
      <c r="D146" s="140">
        <f t="shared" si="7"/>
        <v>42072</v>
      </c>
      <c r="E146" s="142" t="s">
        <v>415</v>
      </c>
      <c r="F146" s="142"/>
      <c r="G146" s="143" t="s">
        <v>94</v>
      </c>
      <c r="H146" s="144"/>
      <c r="I146" s="144">
        <v>90000</v>
      </c>
      <c r="J146" s="145">
        <f t="shared" si="8"/>
        <v>295164441</v>
      </c>
      <c r="K146" s="145"/>
    </row>
    <row r="147" spans="1:11" s="125" customFormat="1" ht="17.25" customHeight="1">
      <c r="A147" s="125">
        <f t="shared" si="6"/>
        <v>3</v>
      </c>
      <c r="B147" s="140">
        <v>42072</v>
      </c>
      <c r="C147" s="141" t="s">
        <v>368</v>
      </c>
      <c r="D147" s="140">
        <f t="shared" si="7"/>
        <v>42072</v>
      </c>
      <c r="E147" s="142" t="s">
        <v>416</v>
      </c>
      <c r="F147" s="142"/>
      <c r="G147" s="143" t="s">
        <v>35</v>
      </c>
      <c r="H147" s="144"/>
      <c r="I147" s="144">
        <v>9000</v>
      </c>
      <c r="J147" s="145">
        <f t="shared" si="8"/>
        <v>295155441</v>
      </c>
      <c r="K147" s="145"/>
    </row>
    <row r="148" spans="1:11" s="125" customFormat="1" ht="17.25" customHeight="1">
      <c r="A148" s="125">
        <f t="shared" si="6"/>
        <v>3</v>
      </c>
      <c r="B148" s="140">
        <v>42073</v>
      </c>
      <c r="C148" s="141" t="s">
        <v>371</v>
      </c>
      <c r="D148" s="140">
        <f t="shared" si="7"/>
        <v>42073</v>
      </c>
      <c r="E148" s="142" t="s">
        <v>372</v>
      </c>
      <c r="F148" s="142"/>
      <c r="G148" s="143" t="s">
        <v>370</v>
      </c>
      <c r="H148" s="144">
        <v>1921500000</v>
      </c>
      <c r="I148" s="144"/>
      <c r="J148" s="145">
        <f t="shared" si="8"/>
        <v>2216655441</v>
      </c>
      <c r="K148" s="145"/>
    </row>
    <row r="149" spans="1:11" s="125" customFormat="1" ht="12.75">
      <c r="A149" s="125">
        <f t="shared" si="6"/>
        <v>3</v>
      </c>
      <c r="B149" s="140">
        <v>42073</v>
      </c>
      <c r="C149" s="141" t="s">
        <v>368</v>
      </c>
      <c r="D149" s="140">
        <f t="shared" si="7"/>
        <v>42073</v>
      </c>
      <c r="E149" s="142" t="s">
        <v>876</v>
      </c>
      <c r="F149" s="142"/>
      <c r="G149" s="143" t="s">
        <v>34</v>
      </c>
      <c r="H149" s="144"/>
      <c r="I149" s="144">
        <v>15000000</v>
      </c>
      <c r="J149" s="145">
        <f t="shared" si="8"/>
        <v>2201655441</v>
      </c>
      <c r="K149" s="145"/>
    </row>
    <row r="150" spans="1:11" s="125" customFormat="1" ht="17.25" customHeight="1">
      <c r="A150" s="125">
        <f t="shared" si="6"/>
        <v>3</v>
      </c>
      <c r="B150" s="140">
        <v>42073</v>
      </c>
      <c r="C150" s="141" t="s">
        <v>368</v>
      </c>
      <c r="D150" s="140">
        <f t="shared" si="7"/>
        <v>42073</v>
      </c>
      <c r="E150" s="142" t="s">
        <v>415</v>
      </c>
      <c r="F150" s="142"/>
      <c r="G150" s="143" t="s">
        <v>94</v>
      </c>
      <c r="H150" s="144"/>
      <c r="I150" s="144">
        <v>20000</v>
      </c>
      <c r="J150" s="145">
        <f t="shared" si="8"/>
        <v>2201635441</v>
      </c>
      <c r="K150" s="145"/>
    </row>
    <row r="151" spans="1:11" s="125" customFormat="1" ht="17.25" customHeight="1">
      <c r="A151" s="125">
        <f t="shared" si="6"/>
        <v>3</v>
      </c>
      <c r="B151" s="140">
        <v>42073</v>
      </c>
      <c r="C151" s="141" t="s">
        <v>368</v>
      </c>
      <c r="D151" s="140">
        <f t="shared" si="7"/>
        <v>42073</v>
      </c>
      <c r="E151" s="142" t="s">
        <v>416</v>
      </c>
      <c r="F151" s="142"/>
      <c r="G151" s="143" t="s">
        <v>35</v>
      </c>
      <c r="H151" s="144"/>
      <c r="I151" s="144">
        <v>2000</v>
      </c>
      <c r="J151" s="145">
        <f t="shared" si="8"/>
        <v>2201633441</v>
      </c>
      <c r="K151" s="145"/>
    </row>
    <row r="152" spans="1:11" s="125" customFormat="1" ht="17.25" customHeight="1">
      <c r="A152" s="125">
        <f t="shared" si="6"/>
        <v>3</v>
      </c>
      <c r="B152" s="140">
        <v>42073</v>
      </c>
      <c r="C152" s="141" t="s">
        <v>368</v>
      </c>
      <c r="D152" s="140">
        <f t="shared" si="7"/>
        <v>42073</v>
      </c>
      <c r="E152" s="142" t="s">
        <v>877</v>
      </c>
      <c r="F152" s="142"/>
      <c r="G152" s="143" t="s">
        <v>34</v>
      </c>
      <c r="H152" s="144"/>
      <c r="I152" s="144">
        <v>14023460</v>
      </c>
      <c r="J152" s="145">
        <f t="shared" si="8"/>
        <v>2187609981</v>
      </c>
      <c r="K152" s="145"/>
    </row>
    <row r="153" spans="1:11" s="125" customFormat="1" ht="17.25" customHeight="1">
      <c r="A153" s="125">
        <f t="shared" si="6"/>
        <v>3</v>
      </c>
      <c r="B153" s="140">
        <v>42073</v>
      </c>
      <c r="C153" s="141" t="s">
        <v>368</v>
      </c>
      <c r="D153" s="140">
        <f t="shared" si="7"/>
        <v>42073</v>
      </c>
      <c r="E153" s="142" t="s">
        <v>382</v>
      </c>
      <c r="F153" s="142"/>
      <c r="G153" s="143" t="s">
        <v>94</v>
      </c>
      <c r="H153" s="144"/>
      <c r="I153" s="144">
        <v>25000</v>
      </c>
      <c r="J153" s="145">
        <f t="shared" si="8"/>
        <v>2187584981</v>
      </c>
      <c r="K153" s="145"/>
    </row>
    <row r="154" spans="1:11" s="125" customFormat="1" ht="17.25" customHeight="1">
      <c r="A154" s="125">
        <f t="shared" si="6"/>
        <v>3</v>
      </c>
      <c r="B154" s="140">
        <v>42073</v>
      </c>
      <c r="C154" s="141" t="s">
        <v>368</v>
      </c>
      <c r="D154" s="140">
        <f t="shared" si="7"/>
        <v>42073</v>
      </c>
      <c r="E154" s="142" t="s">
        <v>383</v>
      </c>
      <c r="F154" s="142"/>
      <c r="G154" s="141" t="s">
        <v>35</v>
      </c>
      <c r="H154" s="144"/>
      <c r="I154" s="144">
        <v>2500</v>
      </c>
      <c r="J154" s="145">
        <f t="shared" si="8"/>
        <v>2187582481</v>
      </c>
      <c r="K154" s="145"/>
    </row>
    <row r="155" spans="1:11" s="125" customFormat="1" ht="25.5">
      <c r="A155" s="125">
        <f t="shared" si="6"/>
        <v>3</v>
      </c>
      <c r="B155" s="140">
        <v>42073</v>
      </c>
      <c r="C155" s="141" t="s">
        <v>368</v>
      </c>
      <c r="D155" s="140">
        <f t="shared" si="7"/>
        <v>42073</v>
      </c>
      <c r="E155" s="142" t="s">
        <v>714</v>
      </c>
      <c r="F155" s="142"/>
      <c r="G155" s="143" t="s">
        <v>34</v>
      </c>
      <c r="H155" s="144"/>
      <c r="I155" s="144">
        <v>112000000</v>
      </c>
      <c r="J155" s="145">
        <f t="shared" si="8"/>
        <v>2075582481</v>
      </c>
      <c r="K155" s="145"/>
    </row>
    <row r="156" spans="1:11" s="125" customFormat="1" ht="17.25" customHeight="1">
      <c r="A156" s="125">
        <f t="shared" si="6"/>
        <v>3</v>
      </c>
      <c r="B156" s="140">
        <v>42073</v>
      </c>
      <c r="C156" s="141" t="s">
        <v>368</v>
      </c>
      <c r="D156" s="140">
        <f t="shared" si="7"/>
        <v>42073</v>
      </c>
      <c r="E156" s="142" t="s">
        <v>415</v>
      </c>
      <c r="F156" s="142"/>
      <c r="G156" s="143" t="s">
        <v>94</v>
      </c>
      <c r="H156" s="144"/>
      <c r="I156" s="144">
        <v>33600</v>
      </c>
      <c r="J156" s="145">
        <f t="shared" si="8"/>
        <v>2075548881</v>
      </c>
      <c r="K156" s="145"/>
    </row>
    <row r="157" spans="1:11" s="125" customFormat="1" ht="17.25" customHeight="1">
      <c r="A157" s="125">
        <f t="shared" si="6"/>
        <v>3</v>
      </c>
      <c r="B157" s="140">
        <v>42073</v>
      </c>
      <c r="C157" s="141" t="s">
        <v>368</v>
      </c>
      <c r="D157" s="140">
        <f t="shared" si="7"/>
        <v>42073</v>
      </c>
      <c r="E157" s="142" t="s">
        <v>416</v>
      </c>
      <c r="F157" s="142"/>
      <c r="G157" s="143" t="s">
        <v>35</v>
      </c>
      <c r="H157" s="144"/>
      <c r="I157" s="144">
        <v>3360</v>
      </c>
      <c r="J157" s="145">
        <f t="shared" si="8"/>
        <v>2075545521</v>
      </c>
      <c r="K157" s="145"/>
    </row>
    <row r="158" spans="1:11" s="125" customFormat="1" ht="17.25" customHeight="1">
      <c r="A158" s="125">
        <f t="shared" si="6"/>
        <v>3</v>
      </c>
      <c r="B158" s="140">
        <v>42074</v>
      </c>
      <c r="C158" s="141" t="s">
        <v>40</v>
      </c>
      <c r="D158" s="140">
        <f t="shared" si="7"/>
        <v>42074</v>
      </c>
      <c r="E158" s="142" t="s">
        <v>62</v>
      </c>
      <c r="F158" s="142"/>
      <c r="G158" s="143" t="s">
        <v>367</v>
      </c>
      <c r="H158" s="144"/>
      <c r="I158" s="144">
        <v>1000000000</v>
      </c>
      <c r="J158" s="145">
        <f t="shared" si="8"/>
        <v>1075545521</v>
      </c>
      <c r="K158" s="145"/>
    </row>
    <row r="159" spans="1:11" s="125" customFormat="1" ht="17.25" customHeight="1">
      <c r="A159" s="125">
        <f t="shared" si="6"/>
        <v>3</v>
      </c>
      <c r="B159" s="140">
        <v>42074</v>
      </c>
      <c r="C159" s="141" t="s">
        <v>41</v>
      </c>
      <c r="D159" s="140">
        <f t="shared" si="7"/>
        <v>42074</v>
      </c>
      <c r="E159" s="142" t="s">
        <v>62</v>
      </c>
      <c r="F159" s="142"/>
      <c r="G159" s="143" t="s">
        <v>367</v>
      </c>
      <c r="H159" s="144"/>
      <c r="I159" s="144">
        <v>1050000000</v>
      </c>
      <c r="J159" s="145">
        <f t="shared" si="8"/>
        <v>25545521</v>
      </c>
      <c r="K159" s="145"/>
    </row>
    <row r="160" spans="1:11" s="125" customFormat="1" ht="17.25" customHeight="1">
      <c r="A160" s="125">
        <f t="shared" si="6"/>
        <v>3</v>
      </c>
      <c r="B160" s="140">
        <v>42081</v>
      </c>
      <c r="C160" s="141" t="s">
        <v>368</v>
      </c>
      <c r="D160" s="140">
        <f t="shared" si="7"/>
        <v>42081</v>
      </c>
      <c r="E160" s="142" t="s">
        <v>422</v>
      </c>
      <c r="F160" s="142"/>
      <c r="G160" s="143" t="s">
        <v>374</v>
      </c>
      <c r="H160" s="144"/>
      <c r="I160" s="144">
        <v>7424595</v>
      </c>
      <c r="J160" s="145">
        <f t="shared" si="8"/>
        <v>18120926</v>
      </c>
      <c r="K160" s="145"/>
    </row>
    <row r="161" spans="1:11" s="125" customFormat="1" ht="17.25" customHeight="1">
      <c r="A161" s="125">
        <f t="shared" si="6"/>
        <v>3</v>
      </c>
      <c r="B161" s="140">
        <v>42081</v>
      </c>
      <c r="C161" s="141" t="s">
        <v>368</v>
      </c>
      <c r="D161" s="140">
        <f t="shared" si="7"/>
        <v>42081</v>
      </c>
      <c r="E161" s="142" t="s">
        <v>423</v>
      </c>
      <c r="F161" s="142"/>
      <c r="G161" s="143" t="s">
        <v>374</v>
      </c>
      <c r="H161" s="144"/>
      <c r="I161" s="144">
        <v>5540976</v>
      </c>
      <c r="J161" s="145">
        <f t="shared" si="8"/>
        <v>12579950</v>
      </c>
      <c r="K161" s="145"/>
    </row>
    <row r="162" spans="1:11" s="125" customFormat="1" ht="17.25" customHeight="1">
      <c r="A162" s="125">
        <f t="shared" si="6"/>
        <v>3</v>
      </c>
      <c r="B162" s="140">
        <v>42081</v>
      </c>
      <c r="C162" s="141" t="s">
        <v>368</v>
      </c>
      <c r="D162" s="140">
        <f t="shared" si="7"/>
        <v>42081</v>
      </c>
      <c r="E162" s="142" t="s">
        <v>424</v>
      </c>
      <c r="F162" s="142"/>
      <c r="G162" s="143" t="s">
        <v>374</v>
      </c>
      <c r="H162" s="144"/>
      <c r="I162" s="144">
        <v>5621208</v>
      </c>
      <c r="J162" s="145">
        <f t="shared" si="8"/>
        <v>6958742</v>
      </c>
      <c r="K162" s="145"/>
    </row>
    <row r="163" spans="1:11" s="125" customFormat="1" ht="17.25" customHeight="1">
      <c r="A163" s="125">
        <f t="shared" si="6"/>
        <v>3</v>
      </c>
      <c r="B163" s="140">
        <v>42081</v>
      </c>
      <c r="C163" s="141" t="s">
        <v>368</v>
      </c>
      <c r="D163" s="140">
        <f t="shared" si="7"/>
        <v>42081</v>
      </c>
      <c r="E163" s="142" t="s">
        <v>425</v>
      </c>
      <c r="F163" s="142"/>
      <c r="G163" s="143" t="s">
        <v>374</v>
      </c>
      <c r="H163" s="144"/>
      <c r="I163" s="144">
        <v>1565928</v>
      </c>
      <c r="J163" s="145">
        <f t="shared" si="8"/>
        <v>5392814</v>
      </c>
      <c r="K163" s="145"/>
    </row>
    <row r="164" spans="1:11" s="125" customFormat="1" ht="17.25" customHeight="1">
      <c r="A164" s="125">
        <f t="shared" si="6"/>
        <v>3</v>
      </c>
      <c r="B164" s="140">
        <v>42081</v>
      </c>
      <c r="C164" s="141" t="s">
        <v>368</v>
      </c>
      <c r="D164" s="140">
        <f t="shared" si="7"/>
        <v>42081</v>
      </c>
      <c r="E164" s="142" t="s">
        <v>426</v>
      </c>
      <c r="F164" s="142"/>
      <c r="G164" s="143" t="s">
        <v>374</v>
      </c>
      <c r="H164" s="144"/>
      <c r="I164" s="144">
        <v>3493224</v>
      </c>
      <c r="J164" s="145">
        <f t="shared" si="8"/>
        <v>1899590</v>
      </c>
      <c r="K164" s="145"/>
    </row>
    <row r="165" spans="1:11" s="125" customFormat="1" ht="17.25" customHeight="1">
      <c r="A165" s="125">
        <f t="shared" si="6"/>
        <v>3</v>
      </c>
      <c r="B165" s="140">
        <v>42081</v>
      </c>
      <c r="C165" s="141" t="s">
        <v>368</v>
      </c>
      <c r="D165" s="140">
        <f t="shared" si="7"/>
        <v>42081</v>
      </c>
      <c r="E165" s="142" t="s">
        <v>603</v>
      </c>
      <c r="F165" s="142"/>
      <c r="G165" s="143" t="s">
        <v>604</v>
      </c>
      <c r="H165" s="144">
        <v>10725000</v>
      </c>
      <c r="I165" s="144"/>
      <c r="J165" s="145">
        <f t="shared" si="8"/>
        <v>12624590</v>
      </c>
      <c r="K165" s="145"/>
    </row>
    <row r="166" spans="1:11" s="125" customFormat="1" ht="17.25" customHeight="1">
      <c r="A166" s="125">
        <f t="shared" si="6"/>
        <v>3</v>
      </c>
      <c r="B166" s="140">
        <v>42081</v>
      </c>
      <c r="C166" s="141" t="s">
        <v>368</v>
      </c>
      <c r="D166" s="140">
        <f t="shared" si="7"/>
        <v>42081</v>
      </c>
      <c r="E166" s="142" t="s">
        <v>427</v>
      </c>
      <c r="F166" s="142"/>
      <c r="G166" s="143" t="s">
        <v>374</v>
      </c>
      <c r="H166" s="144"/>
      <c r="I166" s="144">
        <v>3940312</v>
      </c>
      <c r="J166" s="145">
        <f t="shared" si="8"/>
        <v>8684278</v>
      </c>
      <c r="K166" s="145"/>
    </row>
    <row r="167" spans="1:11" s="125" customFormat="1" ht="17.25" customHeight="1">
      <c r="A167" s="125">
        <f t="shared" si="6"/>
        <v>3</v>
      </c>
      <c r="B167" s="140">
        <v>42083</v>
      </c>
      <c r="C167" s="141" t="s">
        <v>371</v>
      </c>
      <c r="D167" s="140">
        <f t="shared" si="7"/>
        <v>42083</v>
      </c>
      <c r="E167" s="142" t="s">
        <v>372</v>
      </c>
      <c r="F167" s="142"/>
      <c r="G167" s="143" t="s">
        <v>370</v>
      </c>
      <c r="H167" s="144">
        <v>1285700000</v>
      </c>
      <c r="I167" s="144"/>
      <c r="J167" s="145">
        <f t="shared" si="8"/>
        <v>1294384278</v>
      </c>
      <c r="K167" s="145"/>
    </row>
    <row r="168" spans="1:11" s="125" customFormat="1" ht="17.25" customHeight="1">
      <c r="A168" s="125">
        <f t="shared" si="6"/>
        <v>3</v>
      </c>
      <c r="B168" s="140">
        <v>42084</v>
      </c>
      <c r="C168" s="141" t="s">
        <v>42</v>
      </c>
      <c r="D168" s="140">
        <f t="shared" si="7"/>
        <v>42084</v>
      </c>
      <c r="E168" s="142" t="s">
        <v>62</v>
      </c>
      <c r="F168" s="142"/>
      <c r="G168" s="143" t="s">
        <v>367</v>
      </c>
      <c r="H168" s="144"/>
      <c r="I168" s="144">
        <v>400000000</v>
      </c>
      <c r="J168" s="145">
        <f t="shared" si="8"/>
        <v>894384278</v>
      </c>
      <c r="K168" s="145"/>
    </row>
    <row r="169" spans="1:11" s="125" customFormat="1" ht="17.25" customHeight="1">
      <c r="A169" s="125">
        <f t="shared" si="6"/>
        <v>3</v>
      </c>
      <c r="B169" s="140">
        <v>42086</v>
      </c>
      <c r="C169" s="141" t="s">
        <v>371</v>
      </c>
      <c r="D169" s="140">
        <f t="shared" si="7"/>
        <v>42086</v>
      </c>
      <c r="E169" s="142" t="s">
        <v>428</v>
      </c>
      <c r="F169" s="142"/>
      <c r="G169" s="143" t="s">
        <v>36</v>
      </c>
      <c r="H169" s="144"/>
      <c r="I169" s="144">
        <v>20000000</v>
      </c>
      <c r="J169" s="145">
        <f t="shared" si="8"/>
        <v>874384278</v>
      </c>
      <c r="K169" s="145"/>
    </row>
    <row r="170" spans="1:11" s="125" customFormat="1" ht="17.25" customHeight="1">
      <c r="A170" s="125">
        <f t="shared" si="6"/>
        <v>3</v>
      </c>
      <c r="B170" s="140">
        <v>42086</v>
      </c>
      <c r="C170" s="141" t="s">
        <v>371</v>
      </c>
      <c r="D170" s="140">
        <f t="shared" si="7"/>
        <v>42086</v>
      </c>
      <c r="E170" s="142" t="s">
        <v>391</v>
      </c>
      <c r="F170" s="142"/>
      <c r="G170" s="143" t="s">
        <v>58</v>
      </c>
      <c r="H170" s="144"/>
      <c r="I170" s="144">
        <v>72000000</v>
      </c>
      <c r="J170" s="145">
        <f t="shared" si="8"/>
        <v>802384278</v>
      </c>
      <c r="K170" s="145"/>
    </row>
    <row r="171" spans="1:11" s="125" customFormat="1" ht="12.75">
      <c r="A171" s="125">
        <f t="shared" si="6"/>
        <v>3</v>
      </c>
      <c r="B171" s="140">
        <v>42086</v>
      </c>
      <c r="C171" s="141" t="s">
        <v>368</v>
      </c>
      <c r="D171" s="140">
        <f t="shared" si="7"/>
        <v>42086</v>
      </c>
      <c r="E171" s="142" t="s">
        <v>873</v>
      </c>
      <c r="F171" s="142"/>
      <c r="G171" s="143" t="s">
        <v>34</v>
      </c>
      <c r="H171" s="144"/>
      <c r="I171" s="144">
        <v>34111000</v>
      </c>
      <c r="J171" s="145">
        <f t="shared" si="8"/>
        <v>768273278</v>
      </c>
      <c r="K171" s="145"/>
    </row>
    <row r="172" spans="1:11" s="125" customFormat="1" ht="17.25" customHeight="1">
      <c r="A172" s="125">
        <f t="shared" si="6"/>
        <v>3</v>
      </c>
      <c r="B172" s="140">
        <v>42086</v>
      </c>
      <c r="C172" s="141" t="s">
        <v>368</v>
      </c>
      <c r="D172" s="140">
        <f t="shared" si="7"/>
        <v>42086</v>
      </c>
      <c r="E172" s="142" t="s">
        <v>415</v>
      </c>
      <c r="F172" s="142"/>
      <c r="G172" s="143" t="s">
        <v>94</v>
      </c>
      <c r="H172" s="144"/>
      <c r="I172" s="144">
        <v>20000</v>
      </c>
      <c r="J172" s="145">
        <f t="shared" si="8"/>
        <v>768253278</v>
      </c>
      <c r="K172" s="145"/>
    </row>
    <row r="173" spans="1:11" s="125" customFormat="1" ht="17.25" customHeight="1">
      <c r="A173" s="125">
        <f t="shared" si="6"/>
        <v>3</v>
      </c>
      <c r="B173" s="140">
        <v>42086</v>
      </c>
      <c r="C173" s="141" t="s">
        <v>368</v>
      </c>
      <c r="D173" s="140">
        <f t="shared" si="7"/>
        <v>42086</v>
      </c>
      <c r="E173" s="142" t="s">
        <v>416</v>
      </c>
      <c r="F173" s="142"/>
      <c r="G173" s="143" t="s">
        <v>35</v>
      </c>
      <c r="H173" s="144"/>
      <c r="I173" s="144">
        <v>2000</v>
      </c>
      <c r="J173" s="145">
        <f t="shared" si="8"/>
        <v>768251278</v>
      </c>
      <c r="K173" s="145"/>
    </row>
    <row r="174" spans="1:11" s="125" customFormat="1" ht="17.25" customHeight="1">
      <c r="A174" s="125">
        <f t="shared" si="6"/>
        <v>3</v>
      </c>
      <c r="B174" s="140">
        <v>42086</v>
      </c>
      <c r="C174" s="141" t="s">
        <v>368</v>
      </c>
      <c r="D174" s="140">
        <f t="shared" si="7"/>
        <v>42086</v>
      </c>
      <c r="E174" s="142" t="s">
        <v>429</v>
      </c>
      <c r="F174" s="142"/>
      <c r="G174" s="143" t="s">
        <v>94</v>
      </c>
      <c r="H174" s="144"/>
      <c r="I174" s="144">
        <v>50000</v>
      </c>
      <c r="J174" s="145">
        <f t="shared" si="8"/>
        <v>768201278</v>
      </c>
      <c r="K174" s="145"/>
    </row>
    <row r="175" spans="1:11" s="125" customFormat="1" ht="17.25" customHeight="1">
      <c r="A175" s="125">
        <f t="shared" si="6"/>
        <v>3</v>
      </c>
      <c r="B175" s="140">
        <v>42086</v>
      </c>
      <c r="C175" s="141" t="s">
        <v>368</v>
      </c>
      <c r="D175" s="140">
        <f t="shared" si="7"/>
        <v>42086</v>
      </c>
      <c r="E175" s="142" t="s">
        <v>430</v>
      </c>
      <c r="F175" s="142"/>
      <c r="G175" s="143" t="s">
        <v>35</v>
      </c>
      <c r="H175" s="144"/>
      <c r="I175" s="144">
        <v>5000</v>
      </c>
      <c r="J175" s="145">
        <f t="shared" si="8"/>
        <v>768196278</v>
      </c>
      <c r="K175" s="145"/>
    </row>
    <row r="176" spans="1:11" s="125" customFormat="1" ht="17.25" customHeight="1">
      <c r="A176" s="125">
        <f t="shared" si="6"/>
        <v>3</v>
      </c>
      <c r="B176" s="140">
        <v>42086</v>
      </c>
      <c r="C176" s="141" t="s">
        <v>368</v>
      </c>
      <c r="D176" s="140">
        <f t="shared" si="7"/>
        <v>42086</v>
      </c>
      <c r="E176" s="142" t="s">
        <v>429</v>
      </c>
      <c r="F176" s="142"/>
      <c r="G176" s="143" t="s">
        <v>94</v>
      </c>
      <c r="H176" s="144"/>
      <c r="I176" s="144">
        <v>50000</v>
      </c>
      <c r="J176" s="145">
        <f t="shared" si="8"/>
        <v>768146278</v>
      </c>
      <c r="K176" s="145"/>
    </row>
    <row r="177" spans="1:11" s="125" customFormat="1" ht="17.25" customHeight="1">
      <c r="A177" s="125">
        <f t="shared" si="6"/>
        <v>3</v>
      </c>
      <c r="B177" s="140">
        <v>42086</v>
      </c>
      <c r="C177" s="141" t="s">
        <v>368</v>
      </c>
      <c r="D177" s="140">
        <f t="shared" si="7"/>
        <v>42086</v>
      </c>
      <c r="E177" s="142" t="s">
        <v>430</v>
      </c>
      <c r="F177" s="142"/>
      <c r="G177" s="143" t="s">
        <v>35</v>
      </c>
      <c r="H177" s="144"/>
      <c r="I177" s="144">
        <v>5000</v>
      </c>
      <c r="J177" s="145">
        <f t="shared" si="8"/>
        <v>768141278</v>
      </c>
      <c r="K177" s="145"/>
    </row>
    <row r="178" spans="1:11" s="125" customFormat="1" ht="17.25" customHeight="1">
      <c r="A178" s="125">
        <f t="shared" si="6"/>
        <v>3</v>
      </c>
      <c r="B178" s="140">
        <v>42086</v>
      </c>
      <c r="C178" s="141" t="s">
        <v>368</v>
      </c>
      <c r="D178" s="140">
        <f t="shared" si="7"/>
        <v>42086</v>
      </c>
      <c r="E178" s="142" t="s">
        <v>429</v>
      </c>
      <c r="F178" s="142"/>
      <c r="G178" s="143" t="s">
        <v>94</v>
      </c>
      <c r="H178" s="144"/>
      <c r="I178" s="144">
        <v>50000</v>
      </c>
      <c r="J178" s="145">
        <f t="shared" si="8"/>
        <v>768091278</v>
      </c>
      <c r="K178" s="145"/>
    </row>
    <row r="179" spans="1:11" s="125" customFormat="1" ht="17.25" customHeight="1">
      <c r="A179" s="125">
        <f t="shared" si="6"/>
        <v>3</v>
      </c>
      <c r="B179" s="140">
        <v>42086</v>
      </c>
      <c r="C179" s="141" t="s">
        <v>368</v>
      </c>
      <c r="D179" s="140">
        <f t="shared" si="7"/>
        <v>42086</v>
      </c>
      <c r="E179" s="142" t="s">
        <v>430</v>
      </c>
      <c r="F179" s="142"/>
      <c r="G179" s="143" t="s">
        <v>35</v>
      </c>
      <c r="H179" s="144"/>
      <c r="I179" s="144">
        <v>5000</v>
      </c>
      <c r="J179" s="145">
        <f t="shared" si="8"/>
        <v>768086278</v>
      </c>
      <c r="K179" s="145"/>
    </row>
    <row r="180" spans="1:11" s="125" customFormat="1" ht="17.25" customHeight="1">
      <c r="A180" s="125">
        <f t="shared" si="6"/>
        <v>3</v>
      </c>
      <c r="B180" s="140">
        <v>42086</v>
      </c>
      <c r="C180" s="141" t="s">
        <v>368</v>
      </c>
      <c r="D180" s="140">
        <f t="shared" si="7"/>
        <v>42086</v>
      </c>
      <c r="E180" s="142" t="s">
        <v>429</v>
      </c>
      <c r="F180" s="142"/>
      <c r="G180" s="143" t="s">
        <v>94</v>
      </c>
      <c r="H180" s="144"/>
      <c r="I180" s="144">
        <v>50000</v>
      </c>
      <c r="J180" s="145">
        <f t="shared" si="8"/>
        <v>768036278</v>
      </c>
      <c r="K180" s="145"/>
    </row>
    <row r="181" spans="1:11" s="125" customFormat="1" ht="17.25" customHeight="1">
      <c r="A181" s="125">
        <f t="shared" si="6"/>
        <v>3</v>
      </c>
      <c r="B181" s="140">
        <v>42086</v>
      </c>
      <c r="C181" s="141" t="s">
        <v>368</v>
      </c>
      <c r="D181" s="140">
        <f t="shared" si="7"/>
        <v>42086</v>
      </c>
      <c r="E181" s="142" t="s">
        <v>430</v>
      </c>
      <c r="F181" s="142"/>
      <c r="G181" s="143" t="s">
        <v>35</v>
      </c>
      <c r="H181" s="144"/>
      <c r="I181" s="144">
        <v>5000</v>
      </c>
      <c r="J181" s="145">
        <f t="shared" si="8"/>
        <v>768031278</v>
      </c>
      <c r="K181" s="145"/>
    </row>
    <row r="182" spans="1:11" s="125" customFormat="1" ht="17.25" customHeight="1">
      <c r="A182" s="125">
        <f t="shared" si="6"/>
        <v>3</v>
      </c>
      <c r="B182" s="140">
        <v>42087</v>
      </c>
      <c r="C182" s="141" t="s">
        <v>44</v>
      </c>
      <c r="D182" s="140">
        <f t="shared" si="7"/>
        <v>42087</v>
      </c>
      <c r="E182" s="142" t="s">
        <v>62</v>
      </c>
      <c r="F182" s="142"/>
      <c r="G182" s="143" t="s">
        <v>367</v>
      </c>
      <c r="H182" s="144"/>
      <c r="I182" s="144">
        <v>768000000</v>
      </c>
      <c r="J182" s="145">
        <f t="shared" si="8"/>
        <v>31278</v>
      </c>
      <c r="K182" s="145"/>
    </row>
    <row r="183" spans="1:11" s="125" customFormat="1" ht="17.25" customHeight="1">
      <c r="A183" s="125">
        <f t="shared" si="6"/>
        <v>3</v>
      </c>
      <c r="B183" s="140">
        <v>42087</v>
      </c>
      <c r="C183" s="141" t="s">
        <v>371</v>
      </c>
      <c r="D183" s="140">
        <f t="shared" si="7"/>
        <v>42087</v>
      </c>
      <c r="E183" s="142" t="s">
        <v>413</v>
      </c>
      <c r="F183" s="142"/>
      <c r="G183" s="143" t="s">
        <v>414</v>
      </c>
      <c r="H183" s="144">
        <v>100464</v>
      </c>
      <c r="I183" s="144"/>
      <c r="J183" s="145">
        <f t="shared" si="8"/>
        <v>131742</v>
      </c>
      <c r="K183" s="145"/>
    </row>
    <row r="184" spans="1:11" s="125" customFormat="1" ht="17.25" customHeight="1">
      <c r="A184" s="125">
        <f t="shared" si="6"/>
        <v>3</v>
      </c>
      <c r="B184" s="140">
        <v>42090</v>
      </c>
      <c r="C184" s="141" t="s">
        <v>371</v>
      </c>
      <c r="D184" s="140">
        <f t="shared" si="7"/>
        <v>42090</v>
      </c>
      <c r="E184" s="142" t="s">
        <v>372</v>
      </c>
      <c r="F184" s="142"/>
      <c r="G184" s="143" t="s">
        <v>370</v>
      </c>
      <c r="H184" s="144">
        <v>452130000</v>
      </c>
      <c r="I184" s="144"/>
      <c r="J184" s="145">
        <f t="shared" si="8"/>
        <v>452261742</v>
      </c>
      <c r="K184" s="145"/>
    </row>
    <row r="185" spans="1:11" s="125" customFormat="1" ht="17.25" customHeight="1">
      <c r="A185" s="125">
        <f t="shared" si="6"/>
        <v>3</v>
      </c>
      <c r="B185" s="140">
        <v>42087</v>
      </c>
      <c r="C185" s="141" t="s">
        <v>59</v>
      </c>
      <c r="D185" s="140">
        <f t="shared" si="7"/>
        <v>42087</v>
      </c>
      <c r="E185" s="142" t="s">
        <v>62</v>
      </c>
      <c r="F185" s="142"/>
      <c r="G185" s="143" t="s">
        <v>367</v>
      </c>
      <c r="H185" s="144"/>
      <c r="I185" s="144">
        <v>450000000</v>
      </c>
      <c r="J185" s="145">
        <f t="shared" si="8"/>
        <v>2261742</v>
      </c>
      <c r="K185" s="145"/>
    </row>
    <row r="186" spans="1:11" s="125" customFormat="1" ht="17.25" customHeight="1">
      <c r="A186" s="125">
        <f t="shared" si="6"/>
        <v>4</v>
      </c>
      <c r="B186" s="140">
        <v>42097</v>
      </c>
      <c r="C186" s="141" t="s">
        <v>371</v>
      </c>
      <c r="D186" s="140">
        <f t="shared" si="7"/>
        <v>42097</v>
      </c>
      <c r="E186" s="142" t="s">
        <v>372</v>
      </c>
      <c r="F186" s="142"/>
      <c r="G186" s="143" t="s">
        <v>370</v>
      </c>
      <c r="H186" s="144">
        <v>1987200000</v>
      </c>
      <c r="I186" s="144"/>
      <c r="J186" s="145">
        <f t="shared" si="8"/>
        <v>1989461742</v>
      </c>
      <c r="K186" s="145"/>
    </row>
    <row r="187" spans="1:11" s="125" customFormat="1" ht="17.25" customHeight="1">
      <c r="A187" s="125">
        <f t="shared" si="6"/>
        <v>4</v>
      </c>
      <c r="B187" s="140">
        <v>42098</v>
      </c>
      <c r="C187" s="141" t="s">
        <v>39</v>
      </c>
      <c r="D187" s="140">
        <f t="shared" si="7"/>
        <v>42098</v>
      </c>
      <c r="E187" s="142" t="s">
        <v>62</v>
      </c>
      <c r="F187" s="291"/>
      <c r="G187" s="143" t="s">
        <v>367</v>
      </c>
      <c r="H187" s="144"/>
      <c r="I187" s="144">
        <v>1700000000</v>
      </c>
      <c r="J187" s="145">
        <f t="shared" si="8"/>
        <v>289461742</v>
      </c>
      <c r="K187" s="145"/>
    </row>
    <row r="188" spans="1:11" s="125" customFormat="1" ht="17.25" customHeight="1">
      <c r="A188" s="125">
        <f t="shared" si="6"/>
        <v>4</v>
      </c>
      <c r="B188" s="140">
        <v>42098</v>
      </c>
      <c r="C188" s="141" t="s">
        <v>368</v>
      </c>
      <c r="D188" s="140">
        <f t="shared" si="7"/>
        <v>42098</v>
      </c>
      <c r="E188" s="142" t="s">
        <v>584</v>
      </c>
      <c r="F188" s="142"/>
      <c r="G188" s="143" t="s">
        <v>585</v>
      </c>
      <c r="H188" s="144"/>
      <c r="I188" s="144">
        <v>11560850</v>
      </c>
      <c r="J188" s="145">
        <f t="shared" si="8"/>
        <v>277900892</v>
      </c>
      <c r="K188" s="145"/>
    </row>
    <row r="189" spans="1:11" s="125" customFormat="1" ht="17.25" customHeight="1">
      <c r="A189" s="125">
        <f t="shared" si="6"/>
        <v>4</v>
      </c>
      <c r="B189" s="140">
        <v>42098</v>
      </c>
      <c r="C189" s="141" t="s">
        <v>368</v>
      </c>
      <c r="D189" s="140">
        <f t="shared" si="7"/>
        <v>42098</v>
      </c>
      <c r="E189" s="142" t="s">
        <v>394</v>
      </c>
      <c r="F189" s="142"/>
      <c r="G189" s="143" t="s">
        <v>94</v>
      </c>
      <c r="H189" s="144"/>
      <c r="I189" s="144">
        <v>25000</v>
      </c>
      <c r="J189" s="145">
        <f t="shared" si="8"/>
        <v>277875892</v>
      </c>
      <c r="K189" s="145"/>
    </row>
    <row r="190" spans="1:11" s="125" customFormat="1" ht="17.25" customHeight="1">
      <c r="A190" s="125">
        <f t="shared" si="6"/>
        <v>4</v>
      </c>
      <c r="B190" s="140">
        <v>42098</v>
      </c>
      <c r="C190" s="141" t="s">
        <v>368</v>
      </c>
      <c r="D190" s="140">
        <f t="shared" si="7"/>
        <v>42098</v>
      </c>
      <c r="E190" s="142" t="s">
        <v>395</v>
      </c>
      <c r="F190" s="142"/>
      <c r="G190" s="143" t="s">
        <v>35</v>
      </c>
      <c r="H190" s="144"/>
      <c r="I190" s="144">
        <v>2500</v>
      </c>
      <c r="J190" s="145">
        <f t="shared" si="8"/>
        <v>277873392</v>
      </c>
      <c r="K190" s="145"/>
    </row>
    <row r="191" spans="1:11" s="125" customFormat="1" ht="17.25" customHeight="1">
      <c r="A191" s="125">
        <f t="shared" si="6"/>
        <v>4</v>
      </c>
      <c r="B191" s="140">
        <v>42098</v>
      </c>
      <c r="C191" s="141" t="s">
        <v>368</v>
      </c>
      <c r="D191" s="140">
        <f t="shared" si="7"/>
        <v>42098</v>
      </c>
      <c r="E191" s="142" t="s">
        <v>586</v>
      </c>
      <c r="F191" s="142"/>
      <c r="G191" s="143" t="s">
        <v>34</v>
      </c>
      <c r="H191" s="144"/>
      <c r="I191" s="144">
        <v>50000000</v>
      </c>
      <c r="J191" s="145">
        <f t="shared" si="8"/>
        <v>227873392</v>
      </c>
      <c r="K191" s="145"/>
    </row>
    <row r="192" spans="1:11" s="125" customFormat="1" ht="17.25" customHeight="1">
      <c r="A192" s="125">
        <f t="shared" si="6"/>
        <v>4</v>
      </c>
      <c r="B192" s="140">
        <v>42098</v>
      </c>
      <c r="C192" s="141" t="s">
        <v>368</v>
      </c>
      <c r="D192" s="140">
        <f t="shared" si="7"/>
        <v>42098</v>
      </c>
      <c r="E192" s="142" t="s">
        <v>415</v>
      </c>
      <c r="F192" s="142"/>
      <c r="G192" s="143" t="s">
        <v>94</v>
      </c>
      <c r="H192" s="144"/>
      <c r="I192" s="144">
        <v>20000</v>
      </c>
      <c r="J192" s="145">
        <f t="shared" si="8"/>
        <v>227853392</v>
      </c>
      <c r="K192" s="145"/>
    </row>
    <row r="193" spans="1:11" s="125" customFormat="1" ht="17.25" customHeight="1">
      <c r="A193" s="125">
        <f t="shared" si="6"/>
        <v>4</v>
      </c>
      <c r="B193" s="140">
        <v>42098</v>
      </c>
      <c r="C193" s="141" t="s">
        <v>368</v>
      </c>
      <c r="D193" s="140">
        <f t="shared" si="7"/>
        <v>42098</v>
      </c>
      <c r="E193" s="142" t="s">
        <v>416</v>
      </c>
      <c r="F193" s="142"/>
      <c r="G193" s="143" t="s">
        <v>35</v>
      </c>
      <c r="H193" s="144"/>
      <c r="I193" s="144">
        <v>2000</v>
      </c>
      <c r="J193" s="145">
        <f t="shared" si="8"/>
        <v>227851392</v>
      </c>
      <c r="K193" s="145"/>
    </row>
    <row r="194" spans="1:11" s="125" customFormat="1" ht="17.25" customHeight="1">
      <c r="A194" s="125">
        <f t="shared" si="6"/>
        <v>4</v>
      </c>
      <c r="B194" s="140">
        <v>42098</v>
      </c>
      <c r="C194" s="141" t="s">
        <v>368</v>
      </c>
      <c r="D194" s="140">
        <f t="shared" si="7"/>
        <v>42098</v>
      </c>
      <c r="E194" s="142" t="s">
        <v>587</v>
      </c>
      <c r="F194" s="142"/>
      <c r="G194" s="143" t="s">
        <v>34</v>
      </c>
      <c r="H194" s="144"/>
      <c r="I194" s="144">
        <v>50000000</v>
      </c>
      <c r="J194" s="145">
        <f t="shared" si="8"/>
        <v>177851392</v>
      </c>
      <c r="K194" s="145"/>
    </row>
    <row r="195" spans="1:11" s="125" customFormat="1" ht="17.25" customHeight="1">
      <c r="A195" s="125">
        <f t="shared" si="6"/>
        <v>4</v>
      </c>
      <c r="B195" s="140">
        <v>42098</v>
      </c>
      <c r="C195" s="141" t="s">
        <v>368</v>
      </c>
      <c r="D195" s="140">
        <f t="shared" si="7"/>
        <v>42098</v>
      </c>
      <c r="E195" s="142" t="s">
        <v>415</v>
      </c>
      <c r="F195" s="142"/>
      <c r="G195" s="143" t="s">
        <v>94</v>
      </c>
      <c r="H195" s="144"/>
      <c r="I195" s="144">
        <v>25000</v>
      </c>
      <c r="J195" s="145">
        <f t="shared" si="8"/>
        <v>177826392</v>
      </c>
      <c r="K195" s="145"/>
    </row>
    <row r="196" spans="1:11" s="125" customFormat="1" ht="17.25" customHeight="1">
      <c r="A196" s="125">
        <f t="shared" si="6"/>
        <v>4</v>
      </c>
      <c r="B196" s="140">
        <v>42098</v>
      </c>
      <c r="C196" s="141" t="s">
        <v>368</v>
      </c>
      <c r="D196" s="140">
        <f t="shared" si="7"/>
        <v>42098</v>
      </c>
      <c r="E196" s="142" t="s">
        <v>416</v>
      </c>
      <c r="F196" s="142"/>
      <c r="G196" s="143" t="s">
        <v>35</v>
      </c>
      <c r="H196" s="144"/>
      <c r="I196" s="144">
        <v>2500</v>
      </c>
      <c r="J196" s="145">
        <f t="shared" si="8"/>
        <v>177823892</v>
      </c>
      <c r="K196" s="145"/>
    </row>
    <row r="197" spans="1:11" s="125" customFormat="1" ht="17.25" customHeight="1">
      <c r="A197" s="125">
        <f t="shared" si="6"/>
        <v>4</v>
      </c>
      <c r="B197" s="140">
        <v>42098</v>
      </c>
      <c r="C197" s="141" t="s">
        <v>368</v>
      </c>
      <c r="D197" s="140">
        <f t="shared" si="7"/>
        <v>42098</v>
      </c>
      <c r="E197" s="142" t="s">
        <v>588</v>
      </c>
      <c r="F197" s="142"/>
      <c r="G197" s="143" t="s">
        <v>34</v>
      </c>
      <c r="H197" s="144"/>
      <c r="I197" s="144">
        <v>70000000</v>
      </c>
      <c r="J197" s="145">
        <f t="shared" si="8"/>
        <v>107823892</v>
      </c>
      <c r="K197" s="145"/>
    </row>
    <row r="198" spans="1:11" s="125" customFormat="1" ht="17.25" customHeight="1">
      <c r="A198" s="125">
        <f t="shared" si="6"/>
        <v>4</v>
      </c>
      <c r="B198" s="140">
        <v>42098</v>
      </c>
      <c r="C198" s="141" t="s">
        <v>368</v>
      </c>
      <c r="D198" s="140">
        <f t="shared" si="7"/>
        <v>42098</v>
      </c>
      <c r="E198" s="142" t="s">
        <v>415</v>
      </c>
      <c r="F198" s="142"/>
      <c r="G198" s="143" t="s">
        <v>94</v>
      </c>
      <c r="H198" s="144"/>
      <c r="I198" s="144">
        <v>35000</v>
      </c>
      <c r="J198" s="145">
        <f t="shared" si="8"/>
        <v>107788892</v>
      </c>
      <c r="K198" s="145"/>
    </row>
    <row r="199" spans="1:11" s="125" customFormat="1" ht="17.25" customHeight="1">
      <c r="A199" s="125">
        <f t="shared" si="6"/>
        <v>4</v>
      </c>
      <c r="B199" s="140">
        <v>42098</v>
      </c>
      <c r="C199" s="141" t="s">
        <v>368</v>
      </c>
      <c r="D199" s="140">
        <f t="shared" si="7"/>
        <v>42098</v>
      </c>
      <c r="E199" s="142" t="s">
        <v>416</v>
      </c>
      <c r="F199" s="142"/>
      <c r="G199" s="143" t="s">
        <v>35</v>
      </c>
      <c r="H199" s="144"/>
      <c r="I199" s="144">
        <v>3500</v>
      </c>
      <c r="J199" s="145">
        <f t="shared" si="8"/>
        <v>107785392</v>
      </c>
      <c r="K199" s="145"/>
    </row>
    <row r="200" spans="1:11" s="125" customFormat="1" ht="17.25" customHeight="1">
      <c r="A200" s="125">
        <f t="shared" si="6"/>
        <v>4</v>
      </c>
      <c r="B200" s="140">
        <v>42098</v>
      </c>
      <c r="C200" s="141" t="s">
        <v>368</v>
      </c>
      <c r="D200" s="140">
        <f t="shared" si="7"/>
        <v>42098</v>
      </c>
      <c r="E200" s="142" t="s">
        <v>589</v>
      </c>
      <c r="F200" s="142"/>
      <c r="G200" s="143" t="s">
        <v>34</v>
      </c>
      <c r="H200" s="144"/>
      <c r="I200" s="144">
        <v>70000000</v>
      </c>
      <c r="J200" s="145">
        <f t="shared" si="8"/>
        <v>37785392</v>
      </c>
      <c r="K200" s="145"/>
    </row>
    <row r="201" spans="1:11" s="125" customFormat="1" ht="17.25" customHeight="1">
      <c r="A201" s="125">
        <f t="shared" si="6"/>
        <v>4</v>
      </c>
      <c r="B201" s="140">
        <v>42098</v>
      </c>
      <c r="C201" s="141" t="s">
        <v>368</v>
      </c>
      <c r="D201" s="140">
        <f t="shared" si="7"/>
        <v>42098</v>
      </c>
      <c r="E201" s="142" t="s">
        <v>415</v>
      </c>
      <c r="F201" s="142"/>
      <c r="G201" s="143" t="s">
        <v>94</v>
      </c>
      <c r="H201" s="144"/>
      <c r="I201" s="144">
        <v>21000</v>
      </c>
      <c r="J201" s="145">
        <f t="shared" si="8"/>
        <v>37764392</v>
      </c>
      <c r="K201" s="145"/>
    </row>
    <row r="202" spans="1:11" s="125" customFormat="1" ht="17.25" customHeight="1">
      <c r="A202" s="125">
        <f t="shared" si="6"/>
        <v>4</v>
      </c>
      <c r="B202" s="140">
        <v>42098</v>
      </c>
      <c r="C202" s="141" t="s">
        <v>368</v>
      </c>
      <c r="D202" s="140">
        <f t="shared" si="7"/>
        <v>42098</v>
      </c>
      <c r="E202" s="142" t="s">
        <v>416</v>
      </c>
      <c r="F202" s="142"/>
      <c r="G202" s="143" t="s">
        <v>35</v>
      </c>
      <c r="H202" s="144"/>
      <c r="I202" s="144">
        <v>2100</v>
      </c>
      <c r="J202" s="145">
        <f t="shared" si="8"/>
        <v>37762292</v>
      </c>
      <c r="K202" s="145"/>
    </row>
    <row r="203" spans="1:11" s="125" customFormat="1" ht="17.25" customHeight="1">
      <c r="A203" s="125">
        <f t="shared" si="6"/>
        <v>4</v>
      </c>
      <c r="B203" s="140">
        <v>42098</v>
      </c>
      <c r="C203" s="141" t="s">
        <v>368</v>
      </c>
      <c r="D203" s="140">
        <f t="shared" si="7"/>
        <v>42098</v>
      </c>
      <c r="E203" s="142" t="s">
        <v>590</v>
      </c>
      <c r="F203" s="142"/>
      <c r="G203" s="143" t="s">
        <v>34</v>
      </c>
      <c r="H203" s="144"/>
      <c r="I203" s="144">
        <v>1440000</v>
      </c>
      <c r="J203" s="145">
        <f t="shared" si="8"/>
        <v>36322292</v>
      </c>
      <c r="K203" s="145"/>
    </row>
    <row r="204" spans="1:11" s="125" customFormat="1" ht="17.25" customHeight="1">
      <c r="A204" s="125">
        <f t="shared" ref="A204:A376" si="9">IF(B204&lt;&gt;"",MONTH(B204),"")</f>
        <v>4</v>
      </c>
      <c r="B204" s="140">
        <v>42098</v>
      </c>
      <c r="C204" s="141" t="s">
        <v>368</v>
      </c>
      <c r="D204" s="140">
        <f t="shared" si="7"/>
        <v>42098</v>
      </c>
      <c r="E204" s="142" t="s">
        <v>415</v>
      </c>
      <c r="F204" s="142"/>
      <c r="G204" s="143" t="s">
        <v>94</v>
      </c>
      <c r="H204" s="144"/>
      <c r="I204" s="144">
        <v>20000</v>
      </c>
      <c r="J204" s="145">
        <f t="shared" si="8"/>
        <v>36302292</v>
      </c>
      <c r="K204" s="145"/>
    </row>
    <row r="205" spans="1:11" s="125" customFormat="1" ht="17.25" customHeight="1">
      <c r="A205" s="125">
        <f t="shared" si="9"/>
        <v>4</v>
      </c>
      <c r="B205" s="140">
        <v>42098</v>
      </c>
      <c r="C205" s="141" t="s">
        <v>368</v>
      </c>
      <c r="D205" s="140">
        <f t="shared" ref="D205:D268" si="10">IF(B205&lt;&gt;"",B205,"")</f>
        <v>42098</v>
      </c>
      <c r="E205" s="142" t="s">
        <v>416</v>
      </c>
      <c r="F205" s="142"/>
      <c r="G205" s="143" t="s">
        <v>35</v>
      </c>
      <c r="H205" s="144"/>
      <c r="I205" s="144">
        <v>2000</v>
      </c>
      <c r="J205" s="145">
        <f t="shared" ref="J205:J268" si="11">IF(B205&lt;&gt;"",J204+H205-I205,0)</f>
        <v>36300292</v>
      </c>
      <c r="K205" s="145"/>
    </row>
    <row r="206" spans="1:11" s="125" customFormat="1" ht="17.25" customHeight="1">
      <c r="A206" s="125">
        <f t="shared" si="9"/>
        <v>4</v>
      </c>
      <c r="B206" s="140">
        <v>42098</v>
      </c>
      <c r="C206" s="141" t="s">
        <v>368</v>
      </c>
      <c r="D206" s="140">
        <f t="shared" si="10"/>
        <v>42098</v>
      </c>
      <c r="E206" s="142" t="s">
        <v>590</v>
      </c>
      <c r="F206" s="142"/>
      <c r="G206" s="143" t="s">
        <v>34</v>
      </c>
      <c r="H206" s="144"/>
      <c r="I206" s="144">
        <v>2940000</v>
      </c>
      <c r="J206" s="145">
        <f t="shared" si="11"/>
        <v>33360292</v>
      </c>
      <c r="K206" s="145"/>
    </row>
    <row r="207" spans="1:11" s="125" customFormat="1" ht="17.25" customHeight="1">
      <c r="A207" s="125">
        <f t="shared" si="9"/>
        <v>4</v>
      </c>
      <c r="B207" s="140">
        <v>42098</v>
      </c>
      <c r="C207" s="141" t="s">
        <v>368</v>
      </c>
      <c r="D207" s="140">
        <f t="shared" si="10"/>
        <v>42098</v>
      </c>
      <c r="E207" s="142" t="s">
        <v>415</v>
      </c>
      <c r="F207" s="142"/>
      <c r="G207" s="143" t="s">
        <v>94</v>
      </c>
      <c r="H207" s="144"/>
      <c r="I207" s="144">
        <v>20000</v>
      </c>
      <c r="J207" s="145">
        <f t="shared" si="11"/>
        <v>33340292</v>
      </c>
      <c r="K207" s="145"/>
    </row>
    <row r="208" spans="1:11" s="125" customFormat="1" ht="17.25" customHeight="1">
      <c r="A208" s="125">
        <f t="shared" si="9"/>
        <v>4</v>
      </c>
      <c r="B208" s="140">
        <v>42098</v>
      </c>
      <c r="C208" s="141" t="s">
        <v>368</v>
      </c>
      <c r="D208" s="140">
        <f t="shared" si="10"/>
        <v>42098</v>
      </c>
      <c r="E208" s="142" t="s">
        <v>416</v>
      </c>
      <c r="F208" s="142"/>
      <c r="G208" s="143" t="s">
        <v>35</v>
      </c>
      <c r="H208" s="144"/>
      <c r="I208" s="144">
        <v>2000</v>
      </c>
      <c r="J208" s="145">
        <f t="shared" si="11"/>
        <v>33338292</v>
      </c>
      <c r="K208" s="145"/>
    </row>
    <row r="209" spans="1:11" s="125" customFormat="1" ht="17.25" customHeight="1">
      <c r="A209" s="125">
        <f t="shared" si="9"/>
        <v>4</v>
      </c>
      <c r="B209" s="140">
        <v>42098</v>
      </c>
      <c r="C209" s="141" t="s">
        <v>368</v>
      </c>
      <c r="D209" s="140">
        <f t="shared" si="10"/>
        <v>42098</v>
      </c>
      <c r="E209" s="142" t="s">
        <v>591</v>
      </c>
      <c r="F209" s="142"/>
      <c r="G209" s="143" t="s">
        <v>604</v>
      </c>
      <c r="H209" s="144"/>
      <c r="I209" s="144">
        <v>10725000</v>
      </c>
      <c r="J209" s="145">
        <f t="shared" si="11"/>
        <v>22613292</v>
      </c>
      <c r="K209" s="145"/>
    </row>
    <row r="210" spans="1:11" s="125" customFormat="1" ht="17.25" customHeight="1">
      <c r="A210" s="125">
        <f t="shared" si="9"/>
        <v>4</v>
      </c>
      <c r="B210" s="140">
        <v>42098</v>
      </c>
      <c r="C210" s="141" t="s">
        <v>368</v>
      </c>
      <c r="D210" s="140">
        <f t="shared" si="10"/>
        <v>42098</v>
      </c>
      <c r="E210" s="142" t="s">
        <v>415</v>
      </c>
      <c r="F210" s="142"/>
      <c r="G210" s="143" t="s">
        <v>94</v>
      </c>
      <c r="H210" s="144"/>
      <c r="I210" s="144">
        <v>20000</v>
      </c>
      <c r="J210" s="145">
        <f t="shared" si="11"/>
        <v>22593292</v>
      </c>
      <c r="K210" s="145"/>
    </row>
    <row r="211" spans="1:11" s="125" customFormat="1" ht="17.25" customHeight="1">
      <c r="A211" s="125">
        <f t="shared" si="9"/>
        <v>4</v>
      </c>
      <c r="B211" s="140">
        <v>42098</v>
      </c>
      <c r="C211" s="141" t="s">
        <v>368</v>
      </c>
      <c r="D211" s="140">
        <f t="shared" si="10"/>
        <v>42098</v>
      </c>
      <c r="E211" s="142" t="s">
        <v>416</v>
      </c>
      <c r="F211" s="142"/>
      <c r="G211" s="143" t="s">
        <v>35</v>
      </c>
      <c r="H211" s="144"/>
      <c r="I211" s="144">
        <v>2000</v>
      </c>
      <c r="J211" s="145">
        <f t="shared" si="11"/>
        <v>22591292</v>
      </c>
      <c r="K211" s="145"/>
    </row>
    <row r="212" spans="1:11" s="125" customFormat="1" ht="17.25" customHeight="1">
      <c r="A212" s="125">
        <f t="shared" si="9"/>
        <v>4</v>
      </c>
      <c r="B212" s="140">
        <v>42098</v>
      </c>
      <c r="C212" s="141" t="s">
        <v>368</v>
      </c>
      <c r="D212" s="140">
        <f t="shared" si="10"/>
        <v>42098</v>
      </c>
      <c r="E212" s="142" t="s">
        <v>592</v>
      </c>
      <c r="F212" s="142"/>
      <c r="G212" s="143" t="s">
        <v>34</v>
      </c>
      <c r="H212" s="144"/>
      <c r="I212" s="144">
        <v>17922520</v>
      </c>
      <c r="J212" s="145">
        <f t="shared" si="11"/>
        <v>4668772</v>
      </c>
      <c r="K212" s="145"/>
    </row>
    <row r="213" spans="1:11" s="125" customFormat="1" ht="17.25" customHeight="1">
      <c r="A213" s="125">
        <f t="shared" si="9"/>
        <v>4</v>
      </c>
      <c r="B213" s="140">
        <v>42098</v>
      </c>
      <c r="C213" s="141" t="s">
        <v>368</v>
      </c>
      <c r="D213" s="140">
        <f t="shared" si="10"/>
        <v>42098</v>
      </c>
      <c r="E213" s="142" t="s">
        <v>415</v>
      </c>
      <c r="F213" s="142"/>
      <c r="G213" s="143" t="s">
        <v>94</v>
      </c>
      <c r="H213" s="144"/>
      <c r="I213" s="144">
        <v>25000</v>
      </c>
      <c r="J213" s="145">
        <f t="shared" si="11"/>
        <v>4643772</v>
      </c>
      <c r="K213" s="145"/>
    </row>
    <row r="214" spans="1:11" s="125" customFormat="1" ht="17.25" customHeight="1">
      <c r="A214" s="125">
        <f t="shared" si="9"/>
        <v>4</v>
      </c>
      <c r="B214" s="140">
        <v>42098</v>
      </c>
      <c r="C214" s="141" t="s">
        <v>368</v>
      </c>
      <c r="D214" s="140">
        <f t="shared" si="10"/>
        <v>42098</v>
      </c>
      <c r="E214" s="142" t="s">
        <v>416</v>
      </c>
      <c r="F214" s="142"/>
      <c r="G214" s="143" t="s">
        <v>35</v>
      </c>
      <c r="H214" s="144"/>
      <c r="I214" s="144">
        <v>2500</v>
      </c>
      <c r="J214" s="145">
        <f t="shared" si="11"/>
        <v>4641272</v>
      </c>
      <c r="K214" s="145"/>
    </row>
    <row r="215" spans="1:11" s="125" customFormat="1" ht="17.25" customHeight="1">
      <c r="A215" s="125">
        <f t="shared" si="9"/>
        <v>4</v>
      </c>
      <c r="B215" s="140">
        <v>42101</v>
      </c>
      <c r="C215" s="141" t="s">
        <v>368</v>
      </c>
      <c r="D215" s="140">
        <f t="shared" si="10"/>
        <v>42101</v>
      </c>
      <c r="E215" s="142" t="s">
        <v>593</v>
      </c>
      <c r="F215" s="142"/>
      <c r="G215" s="143" t="s">
        <v>374</v>
      </c>
      <c r="H215" s="144"/>
      <c r="I215" s="144">
        <v>2341015</v>
      </c>
      <c r="J215" s="145">
        <f t="shared" si="11"/>
        <v>2300257</v>
      </c>
      <c r="K215" s="145"/>
    </row>
    <row r="216" spans="1:11" s="125" customFormat="1" ht="17.25" customHeight="1">
      <c r="A216" s="125">
        <f t="shared" si="9"/>
        <v>4</v>
      </c>
      <c r="B216" s="140">
        <v>42114</v>
      </c>
      <c r="C216" s="141" t="s">
        <v>160</v>
      </c>
      <c r="D216" s="140">
        <f t="shared" si="10"/>
        <v>42114</v>
      </c>
      <c r="E216" s="142" t="s">
        <v>51</v>
      </c>
      <c r="F216" s="142"/>
      <c r="G216" s="143" t="s">
        <v>367</v>
      </c>
      <c r="H216" s="144">
        <v>73000000</v>
      </c>
      <c r="I216" s="144"/>
      <c r="J216" s="145">
        <f t="shared" si="11"/>
        <v>75300257</v>
      </c>
      <c r="K216" s="145"/>
    </row>
    <row r="217" spans="1:11" s="125" customFormat="1" ht="17.25" customHeight="1">
      <c r="A217" s="125">
        <f t="shared" si="9"/>
        <v>4</v>
      </c>
      <c r="B217" s="140">
        <v>42114</v>
      </c>
      <c r="C217" s="141" t="s">
        <v>368</v>
      </c>
      <c r="D217" s="140">
        <f t="shared" si="10"/>
        <v>42114</v>
      </c>
      <c r="E217" s="142" t="s">
        <v>594</v>
      </c>
      <c r="F217" s="142"/>
      <c r="G217" s="143" t="s">
        <v>374</v>
      </c>
      <c r="H217" s="144"/>
      <c r="I217" s="144">
        <v>6168402</v>
      </c>
      <c r="J217" s="145">
        <f t="shared" si="11"/>
        <v>69131855</v>
      </c>
      <c r="K217" s="145"/>
    </row>
    <row r="218" spans="1:11" s="125" customFormat="1" ht="17.25" customHeight="1">
      <c r="A218" s="125">
        <f t="shared" si="9"/>
        <v>4</v>
      </c>
      <c r="B218" s="140">
        <v>42114</v>
      </c>
      <c r="C218" s="141" t="s">
        <v>368</v>
      </c>
      <c r="D218" s="140">
        <f t="shared" si="10"/>
        <v>42114</v>
      </c>
      <c r="E218" s="142" t="s">
        <v>595</v>
      </c>
      <c r="F218" s="142"/>
      <c r="G218" s="143" t="s">
        <v>374</v>
      </c>
      <c r="H218" s="144"/>
      <c r="I218" s="144">
        <v>6257909</v>
      </c>
      <c r="J218" s="145">
        <f t="shared" si="11"/>
        <v>62873946</v>
      </c>
      <c r="K218" s="145"/>
    </row>
    <row r="219" spans="1:11" s="125" customFormat="1" ht="17.25" customHeight="1">
      <c r="A219" s="125">
        <f t="shared" si="9"/>
        <v>4</v>
      </c>
      <c r="B219" s="140">
        <v>42114</v>
      </c>
      <c r="C219" s="141" t="s">
        <v>368</v>
      </c>
      <c r="D219" s="140">
        <f t="shared" si="10"/>
        <v>42114</v>
      </c>
      <c r="E219" s="142" t="s">
        <v>596</v>
      </c>
      <c r="F219" s="142"/>
      <c r="G219" s="143" t="s">
        <v>374</v>
      </c>
      <c r="H219" s="144"/>
      <c r="I219" s="144">
        <v>1743221</v>
      </c>
      <c r="J219" s="145">
        <f t="shared" si="11"/>
        <v>61130725</v>
      </c>
      <c r="K219" s="145"/>
    </row>
    <row r="220" spans="1:11" s="125" customFormat="1" ht="17.25" customHeight="1">
      <c r="A220" s="125">
        <f t="shared" si="9"/>
        <v>4</v>
      </c>
      <c r="B220" s="140">
        <v>42114</v>
      </c>
      <c r="C220" s="141" t="s">
        <v>368</v>
      </c>
      <c r="D220" s="140">
        <f t="shared" si="10"/>
        <v>42114</v>
      </c>
      <c r="E220" s="142" t="s">
        <v>597</v>
      </c>
      <c r="F220" s="142"/>
      <c r="G220" s="143" t="s">
        <v>374</v>
      </c>
      <c r="H220" s="144"/>
      <c r="I220" s="144">
        <v>3888789</v>
      </c>
      <c r="J220" s="145">
        <f t="shared" si="11"/>
        <v>57241936</v>
      </c>
      <c r="K220" s="145"/>
    </row>
    <row r="221" spans="1:11" s="125" customFormat="1" ht="17.25" customHeight="1">
      <c r="A221" s="125">
        <f t="shared" si="9"/>
        <v>4</v>
      </c>
      <c r="B221" s="140">
        <v>42114</v>
      </c>
      <c r="C221" s="141" t="s">
        <v>368</v>
      </c>
      <c r="D221" s="140">
        <f t="shared" si="10"/>
        <v>42114</v>
      </c>
      <c r="E221" s="142" t="s">
        <v>598</v>
      </c>
      <c r="F221" s="142"/>
      <c r="G221" s="143" t="s">
        <v>374</v>
      </c>
      <c r="H221" s="144"/>
      <c r="I221" s="144">
        <v>4380428</v>
      </c>
      <c r="J221" s="145">
        <f t="shared" si="11"/>
        <v>52861508</v>
      </c>
      <c r="K221" s="145"/>
    </row>
    <row r="222" spans="1:11" s="125" customFormat="1" ht="17.25" customHeight="1">
      <c r="A222" s="125">
        <f t="shared" si="9"/>
        <v>4</v>
      </c>
      <c r="B222" s="140">
        <v>42114</v>
      </c>
      <c r="C222" s="141" t="s">
        <v>368</v>
      </c>
      <c r="D222" s="140">
        <f t="shared" si="10"/>
        <v>42114</v>
      </c>
      <c r="E222" s="142" t="s">
        <v>599</v>
      </c>
      <c r="F222" s="142"/>
      <c r="G222" s="143" t="s">
        <v>374</v>
      </c>
      <c r="H222" s="144"/>
      <c r="I222" s="144">
        <v>8761073</v>
      </c>
      <c r="J222" s="145">
        <f t="shared" si="11"/>
        <v>44100435</v>
      </c>
      <c r="K222" s="145"/>
    </row>
    <row r="223" spans="1:11" s="125" customFormat="1" ht="17.25" customHeight="1">
      <c r="A223" s="125">
        <f t="shared" si="9"/>
        <v>4</v>
      </c>
      <c r="B223" s="140">
        <v>42114</v>
      </c>
      <c r="C223" s="141" t="s">
        <v>368</v>
      </c>
      <c r="D223" s="140">
        <f t="shared" si="10"/>
        <v>42114</v>
      </c>
      <c r="E223" s="142" t="s">
        <v>600</v>
      </c>
      <c r="F223" s="142"/>
      <c r="G223" s="143" t="s">
        <v>374</v>
      </c>
      <c r="H223" s="144"/>
      <c r="I223" s="144">
        <v>10989230</v>
      </c>
      <c r="J223" s="145">
        <f t="shared" si="11"/>
        <v>33111205</v>
      </c>
      <c r="K223" s="145"/>
    </row>
    <row r="224" spans="1:11" s="125" customFormat="1" ht="17.25" customHeight="1">
      <c r="A224" s="125">
        <f t="shared" si="9"/>
        <v>4</v>
      </c>
      <c r="B224" s="140">
        <v>42114</v>
      </c>
      <c r="C224" s="141" t="s">
        <v>368</v>
      </c>
      <c r="D224" s="140">
        <f t="shared" si="10"/>
        <v>42114</v>
      </c>
      <c r="E224" s="142" t="s">
        <v>601</v>
      </c>
      <c r="F224" s="142"/>
      <c r="G224" s="143" t="s">
        <v>374</v>
      </c>
      <c r="H224" s="144"/>
      <c r="I224" s="144">
        <v>8650811</v>
      </c>
      <c r="J224" s="145">
        <f t="shared" si="11"/>
        <v>24460394</v>
      </c>
      <c r="K224" s="145"/>
    </row>
    <row r="225" spans="1:11" s="125" customFormat="1" ht="17.25" customHeight="1">
      <c r="A225" s="125">
        <f t="shared" si="9"/>
        <v>4</v>
      </c>
      <c r="B225" s="140">
        <v>42115</v>
      </c>
      <c r="C225" s="141" t="s">
        <v>368</v>
      </c>
      <c r="D225" s="140">
        <f t="shared" si="10"/>
        <v>42115</v>
      </c>
      <c r="E225" s="142" t="s">
        <v>602</v>
      </c>
      <c r="F225" s="142"/>
      <c r="G225" s="143" t="s">
        <v>34</v>
      </c>
      <c r="H225" s="144"/>
      <c r="I225" s="144">
        <v>22291390</v>
      </c>
      <c r="J225" s="145">
        <f t="shared" si="11"/>
        <v>2169004</v>
      </c>
      <c r="K225" s="145"/>
    </row>
    <row r="226" spans="1:11" s="125" customFormat="1" ht="17.25" customHeight="1">
      <c r="A226" s="125">
        <f t="shared" si="9"/>
        <v>4</v>
      </c>
      <c r="B226" s="140">
        <v>42115</v>
      </c>
      <c r="C226" s="141" t="s">
        <v>368</v>
      </c>
      <c r="D226" s="140">
        <f t="shared" si="10"/>
        <v>42115</v>
      </c>
      <c r="E226" s="142" t="s">
        <v>415</v>
      </c>
      <c r="F226" s="142"/>
      <c r="G226" s="143" t="s">
        <v>94</v>
      </c>
      <c r="H226" s="144"/>
      <c r="I226" s="144">
        <v>25000</v>
      </c>
      <c r="J226" s="145">
        <f t="shared" si="11"/>
        <v>2144004</v>
      </c>
      <c r="K226" s="145"/>
    </row>
    <row r="227" spans="1:11" s="125" customFormat="1" ht="17.25" customHeight="1">
      <c r="A227" s="125">
        <f t="shared" si="9"/>
        <v>4</v>
      </c>
      <c r="B227" s="140">
        <v>42115</v>
      </c>
      <c r="C227" s="141" t="s">
        <v>368</v>
      </c>
      <c r="D227" s="140">
        <f t="shared" si="10"/>
        <v>42115</v>
      </c>
      <c r="E227" s="142" t="s">
        <v>416</v>
      </c>
      <c r="F227" s="142"/>
      <c r="G227" s="143" t="s">
        <v>35</v>
      </c>
      <c r="H227" s="144"/>
      <c r="I227" s="144">
        <v>2500</v>
      </c>
      <c r="J227" s="145">
        <f t="shared" si="11"/>
        <v>2141504</v>
      </c>
      <c r="K227" s="145"/>
    </row>
    <row r="228" spans="1:11" s="125" customFormat="1" ht="17.25" customHeight="1">
      <c r="A228" s="125">
        <f t="shared" si="9"/>
        <v>4</v>
      </c>
      <c r="B228" s="140">
        <v>42118</v>
      </c>
      <c r="C228" s="141" t="s">
        <v>371</v>
      </c>
      <c r="D228" s="140">
        <f t="shared" si="10"/>
        <v>42118</v>
      </c>
      <c r="E228" s="142" t="s">
        <v>413</v>
      </c>
      <c r="F228" s="142"/>
      <c r="G228" s="143" t="s">
        <v>414</v>
      </c>
      <c r="H228" s="144">
        <v>21103</v>
      </c>
      <c r="I228" s="144"/>
      <c r="J228" s="145">
        <f t="shared" si="11"/>
        <v>2162607</v>
      </c>
      <c r="K228" s="145"/>
    </row>
    <row r="229" spans="1:11" s="125" customFormat="1" ht="17.25" customHeight="1">
      <c r="A229" s="125">
        <f t="shared" si="9"/>
        <v>5</v>
      </c>
      <c r="B229" s="140">
        <v>42132</v>
      </c>
      <c r="C229" s="301" t="s">
        <v>417</v>
      </c>
      <c r="D229" s="140">
        <f t="shared" si="10"/>
        <v>42132</v>
      </c>
      <c r="E229" s="142" t="s">
        <v>71</v>
      </c>
      <c r="F229" s="142"/>
      <c r="G229" s="143" t="s">
        <v>367</v>
      </c>
      <c r="H229" s="144">
        <v>16000000</v>
      </c>
      <c r="I229" s="144"/>
      <c r="J229" s="145">
        <f t="shared" si="11"/>
        <v>18162607</v>
      </c>
      <c r="K229" s="145"/>
    </row>
    <row r="230" spans="1:11" s="125" customFormat="1" ht="17.25" customHeight="1">
      <c r="A230" s="125">
        <f t="shared" si="9"/>
        <v>5</v>
      </c>
      <c r="B230" s="140">
        <v>42132</v>
      </c>
      <c r="C230" s="141" t="s">
        <v>368</v>
      </c>
      <c r="D230" s="140">
        <f t="shared" si="10"/>
        <v>42132</v>
      </c>
      <c r="E230" s="142" t="s">
        <v>373</v>
      </c>
      <c r="F230" s="142"/>
      <c r="G230" s="143" t="s">
        <v>374</v>
      </c>
      <c r="H230" s="144"/>
      <c r="I230" s="144">
        <v>2274340</v>
      </c>
      <c r="J230" s="145">
        <f t="shared" si="11"/>
        <v>15888267</v>
      </c>
      <c r="K230" s="145"/>
    </row>
    <row r="231" spans="1:11" s="125" customFormat="1" ht="17.25" customHeight="1">
      <c r="A231" s="125">
        <f t="shared" si="9"/>
        <v>5</v>
      </c>
      <c r="B231" s="140">
        <v>42132</v>
      </c>
      <c r="C231" s="141" t="s">
        <v>368</v>
      </c>
      <c r="D231" s="140">
        <f t="shared" si="10"/>
        <v>42132</v>
      </c>
      <c r="E231" s="142" t="s">
        <v>375</v>
      </c>
      <c r="F231" s="142"/>
      <c r="G231" s="143" t="s">
        <v>374</v>
      </c>
      <c r="H231" s="144"/>
      <c r="I231" s="144">
        <v>5394067</v>
      </c>
      <c r="J231" s="145">
        <f t="shared" si="11"/>
        <v>10494200</v>
      </c>
      <c r="K231" s="145"/>
    </row>
    <row r="232" spans="1:11" s="125" customFormat="1" ht="17.25" customHeight="1">
      <c r="A232" s="125">
        <f t="shared" si="9"/>
        <v>5</v>
      </c>
      <c r="B232" s="140">
        <v>42132</v>
      </c>
      <c r="C232" s="141" t="s">
        <v>368</v>
      </c>
      <c r="D232" s="140">
        <f t="shared" si="10"/>
        <v>42132</v>
      </c>
      <c r="E232" s="142" t="s">
        <v>376</v>
      </c>
      <c r="F232" s="142"/>
      <c r="G232" s="143" t="s">
        <v>374</v>
      </c>
      <c r="H232" s="144"/>
      <c r="I232" s="144">
        <v>3353327</v>
      </c>
      <c r="J232" s="145">
        <f t="shared" si="11"/>
        <v>7140873</v>
      </c>
      <c r="K232" s="145"/>
    </row>
    <row r="233" spans="1:11" s="125" customFormat="1" ht="17.25" customHeight="1">
      <c r="A233" s="125">
        <f t="shared" si="9"/>
        <v>5</v>
      </c>
      <c r="B233" s="140">
        <v>42132</v>
      </c>
      <c r="C233" s="141" t="s">
        <v>368</v>
      </c>
      <c r="D233" s="140">
        <f t="shared" si="10"/>
        <v>42132</v>
      </c>
      <c r="E233" s="142" t="s">
        <v>377</v>
      </c>
      <c r="F233" s="142"/>
      <c r="G233" s="143" t="s">
        <v>374</v>
      </c>
      <c r="H233" s="144"/>
      <c r="I233" s="144">
        <v>4694570</v>
      </c>
      <c r="J233" s="145">
        <f t="shared" si="11"/>
        <v>2446303</v>
      </c>
      <c r="K233" s="145"/>
    </row>
    <row r="234" spans="1:11" s="125" customFormat="1" ht="17.25" customHeight="1">
      <c r="A234" s="125">
        <f t="shared" si="9"/>
        <v>5</v>
      </c>
      <c r="B234" s="140">
        <v>42136</v>
      </c>
      <c r="C234" s="301" t="s">
        <v>417</v>
      </c>
      <c r="D234" s="140">
        <f t="shared" si="10"/>
        <v>42136</v>
      </c>
      <c r="E234" s="142" t="s">
        <v>71</v>
      </c>
      <c r="F234" s="142"/>
      <c r="G234" s="143" t="s">
        <v>367</v>
      </c>
      <c r="H234" s="144">
        <v>25000000</v>
      </c>
      <c r="I234" s="144"/>
      <c r="J234" s="145">
        <f t="shared" si="11"/>
        <v>27446303</v>
      </c>
      <c r="K234" s="145"/>
    </row>
    <row r="235" spans="1:11" s="125" customFormat="1" ht="17.25" customHeight="1">
      <c r="A235" s="125">
        <f t="shared" si="9"/>
        <v>5</v>
      </c>
      <c r="B235" s="140">
        <v>42137</v>
      </c>
      <c r="C235" s="141" t="s">
        <v>368</v>
      </c>
      <c r="D235" s="140">
        <f t="shared" si="10"/>
        <v>42137</v>
      </c>
      <c r="E235" s="142" t="s">
        <v>701</v>
      </c>
      <c r="F235" s="142"/>
      <c r="G235" s="143" t="s">
        <v>34</v>
      </c>
      <c r="H235" s="144"/>
      <c r="I235" s="144">
        <v>22477840</v>
      </c>
      <c r="J235" s="145">
        <f t="shared" si="11"/>
        <v>4968463</v>
      </c>
      <c r="K235" s="145"/>
    </row>
    <row r="236" spans="1:11" s="125" customFormat="1" ht="17.25" customHeight="1">
      <c r="A236" s="125">
        <f t="shared" si="9"/>
        <v>5</v>
      </c>
      <c r="B236" s="140">
        <v>42137</v>
      </c>
      <c r="C236" s="141" t="s">
        <v>368</v>
      </c>
      <c r="D236" s="140">
        <f t="shared" si="10"/>
        <v>42137</v>
      </c>
      <c r="E236" s="142" t="s">
        <v>415</v>
      </c>
      <c r="F236" s="142"/>
      <c r="G236" s="143" t="s">
        <v>94</v>
      </c>
      <c r="H236" s="144"/>
      <c r="I236" s="144">
        <v>25000</v>
      </c>
      <c r="J236" s="145">
        <f t="shared" si="11"/>
        <v>4943463</v>
      </c>
      <c r="K236" s="145"/>
    </row>
    <row r="237" spans="1:11" s="125" customFormat="1" ht="17.25" customHeight="1">
      <c r="A237" s="125">
        <f t="shared" si="9"/>
        <v>5</v>
      </c>
      <c r="B237" s="140">
        <v>42137</v>
      </c>
      <c r="C237" s="141" t="s">
        <v>368</v>
      </c>
      <c r="D237" s="140">
        <f t="shared" si="10"/>
        <v>42137</v>
      </c>
      <c r="E237" s="142" t="s">
        <v>416</v>
      </c>
      <c r="F237" s="142"/>
      <c r="G237" s="143" t="s">
        <v>35</v>
      </c>
      <c r="H237" s="144"/>
      <c r="I237" s="144">
        <v>2500</v>
      </c>
      <c r="J237" s="145">
        <f t="shared" si="11"/>
        <v>4940963</v>
      </c>
      <c r="K237" s="145"/>
    </row>
    <row r="238" spans="1:11" s="125" customFormat="1" ht="17.25" customHeight="1">
      <c r="A238" s="125">
        <f t="shared" si="9"/>
        <v>5</v>
      </c>
      <c r="B238" s="140">
        <v>42140</v>
      </c>
      <c r="C238" s="141" t="s">
        <v>368</v>
      </c>
      <c r="D238" s="140">
        <f t="shared" si="10"/>
        <v>42140</v>
      </c>
      <c r="E238" s="142" t="s">
        <v>461</v>
      </c>
      <c r="F238" s="142"/>
      <c r="G238" s="143" t="s">
        <v>94</v>
      </c>
      <c r="H238" s="144"/>
      <c r="I238" s="144">
        <v>325950</v>
      </c>
      <c r="J238" s="145">
        <f t="shared" si="11"/>
        <v>4615013</v>
      </c>
      <c r="K238" s="145"/>
    </row>
    <row r="239" spans="1:11" s="125" customFormat="1" ht="17.25" customHeight="1">
      <c r="A239" s="125">
        <f t="shared" si="9"/>
        <v>5</v>
      </c>
      <c r="B239" s="140">
        <v>42140</v>
      </c>
      <c r="C239" s="141" t="s">
        <v>368</v>
      </c>
      <c r="D239" s="140">
        <f t="shared" si="10"/>
        <v>42140</v>
      </c>
      <c r="E239" s="142" t="s">
        <v>462</v>
      </c>
      <c r="F239" s="142"/>
      <c r="G239" s="143" t="s">
        <v>35</v>
      </c>
      <c r="H239" s="144"/>
      <c r="I239" s="144">
        <v>32595</v>
      </c>
      <c r="J239" s="145">
        <f t="shared" si="11"/>
        <v>4582418</v>
      </c>
      <c r="K239" s="145"/>
    </row>
    <row r="240" spans="1:11" s="125" customFormat="1" ht="17.25" customHeight="1">
      <c r="A240" s="125">
        <f t="shared" si="9"/>
        <v>5</v>
      </c>
      <c r="B240" s="140">
        <v>42143</v>
      </c>
      <c r="C240" s="301" t="s">
        <v>417</v>
      </c>
      <c r="D240" s="140">
        <f t="shared" si="10"/>
        <v>42143</v>
      </c>
      <c r="E240" s="142" t="s">
        <v>71</v>
      </c>
      <c r="F240" s="142"/>
      <c r="G240" s="143" t="s">
        <v>367</v>
      </c>
      <c r="H240" s="144">
        <v>6000000</v>
      </c>
      <c r="I240" s="144"/>
      <c r="J240" s="145">
        <f t="shared" si="11"/>
        <v>10582418</v>
      </c>
      <c r="K240" s="145"/>
    </row>
    <row r="241" spans="1:11" s="125" customFormat="1" ht="17.25" customHeight="1">
      <c r="A241" s="125">
        <f t="shared" si="9"/>
        <v>5</v>
      </c>
      <c r="B241" s="140">
        <v>42143</v>
      </c>
      <c r="C241" s="141" t="s">
        <v>368</v>
      </c>
      <c r="D241" s="140">
        <f t="shared" si="10"/>
        <v>42143</v>
      </c>
      <c r="E241" s="142" t="s">
        <v>590</v>
      </c>
      <c r="F241" s="142"/>
      <c r="G241" s="143" t="s">
        <v>34</v>
      </c>
      <c r="H241" s="144"/>
      <c r="I241" s="144">
        <v>240000</v>
      </c>
      <c r="J241" s="145">
        <f t="shared" si="11"/>
        <v>10342418</v>
      </c>
      <c r="K241" s="145"/>
    </row>
    <row r="242" spans="1:11" s="125" customFormat="1" ht="17.25" customHeight="1">
      <c r="A242" s="125">
        <f t="shared" si="9"/>
        <v>5</v>
      </c>
      <c r="B242" s="140">
        <v>42143</v>
      </c>
      <c r="C242" s="141" t="s">
        <v>368</v>
      </c>
      <c r="D242" s="140">
        <f t="shared" si="10"/>
        <v>42143</v>
      </c>
      <c r="E242" s="142" t="s">
        <v>415</v>
      </c>
      <c r="F242" s="142"/>
      <c r="G242" s="143" t="s">
        <v>94</v>
      </c>
      <c r="H242" s="144"/>
      <c r="I242" s="144">
        <v>20000</v>
      </c>
      <c r="J242" s="145">
        <f t="shared" si="11"/>
        <v>10322418</v>
      </c>
      <c r="K242" s="145"/>
    </row>
    <row r="243" spans="1:11" s="125" customFormat="1" ht="17.25" customHeight="1">
      <c r="A243" s="125">
        <f t="shared" si="9"/>
        <v>5</v>
      </c>
      <c r="B243" s="140">
        <v>42143</v>
      </c>
      <c r="C243" s="141" t="s">
        <v>368</v>
      </c>
      <c r="D243" s="140">
        <f t="shared" si="10"/>
        <v>42143</v>
      </c>
      <c r="E243" s="142" t="s">
        <v>416</v>
      </c>
      <c r="F243" s="142"/>
      <c r="G243" s="143" t="s">
        <v>35</v>
      </c>
      <c r="H243" s="144"/>
      <c r="I243" s="144">
        <v>2000</v>
      </c>
      <c r="J243" s="145">
        <f t="shared" si="11"/>
        <v>10320418</v>
      </c>
      <c r="K243" s="145"/>
    </row>
    <row r="244" spans="1:11" s="125" customFormat="1" ht="17.25" customHeight="1">
      <c r="A244" s="125">
        <f t="shared" si="9"/>
        <v>5</v>
      </c>
      <c r="B244" s="140">
        <v>42143</v>
      </c>
      <c r="C244" s="141" t="s">
        <v>368</v>
      </c>
      <c r="D244" s="140">
        <f t="shared" si="10"/>
        <v>42143</v>
      </c>
      <c r="E244" s="142" t="s">
        <v>702</v>
      </c>
      <c r="F244" s="142"/>
      <c r="G244" s="143" t="s">
        <v>34</v>
      </c>
      <c r="H244" s="144"/>
      <c r="I244" s="144">
        <v>5703434</v>
      </c>
      <c r="J244" s="145">
        <f t="shared" si="11"/>
        <v>4616984</v>
      </c>
      <c r="K244" s="145"/>
    </row>
    <row r="245" spans="1:11" s="125" customFormat="1" ht="17.25" customHeight="1">
      <c r="A245" s="125">
        <f t="shared" si="9"/>
        <v>5</v>
      </c>
      <c r="B245" s="140">
        <v>42143</v>
      </c>
      <c r="C245" s="141" t="s">
        <v>368</v>
      </c>
      <c r="D245" s="140">
        <f t="shared" si="10"/>
        <v>42143</v>
      </c>
      <c r="E245" s="142" t="s">
        <v>415</v>
      </c>
      <c r="F245" s="142"/>
      <c r="G245" s="143" t="s">
        <v>94</v>
      </c>
      <c r="H245" s="144"/>
      <c r="I245" s="144">
        <v>40000</v>
      </c>
      <c r="J245" s="145">
        <f t="shared" si="11"/>
        <v>4576984</v>
      </c>
      <c r="K245" s="145"/>
    </row>
    <row r="246" spans="1:11" s="125" customFormat="1" ht="17.25" customHeight="1">
      <c r="A246" s="125">
        <f t="shared" si="9"/>
        <v>5</v>
      </c>
      <c r="B246" s="140">
        <v>42143</v>
      </c>
      <c r="C246" s="141" t="s">
        <v>368</v>
      </c>
      <c r="D246" s="140">
        <f t="shared" si="10"/>
        <v>42143</v>
      </c>
      <c r="E246" s="142" t="s">
        <v>416</v>
      </c>
      <c r="F246" s="142"/>
      <c r="G246" s="143" t="s">
        <v>35</v>
      </c>
      <c r="H246" s="144"/>
      <c r="I246" s="144">
        <v>4000</v>
      </c>
      <c r="J246" s="145">
        <f t="shared" si="11"/>
        <v>4572984</v>
      </c>
      <c r="K246" s="145"/>
    </row>
    <row r="247" spans="1:11" s="125" customFormat="1" ht="17.25" customHeight="1">
      <c r="A247" s="125">
        <f t="shared" si="9"/>
        <v>5</v>
      </c>
      <c r="B247" s="140">
        <v>42143</v>
      </c>
      <c r="C247" s="141" t="s">
        <v>368</v>
      </c>
      <c r="D247" s="140">
        <f t="shared" si="10"/>
        <v>42143</v>
      </c>
      <c r="E247" s="142" t="s">
        <v>590</v>
      </c>
      <c r="F247" s="142"/>
      <c r="G247" s="143" t="s">
        <v>34</v>
      </c>
      <c r="H247" s="144"/>
      <c r="I247" s="144">
        <v>2060000</v>
      </c>
      <c r="J247" s="145">
        <f t="shared" si="11"/>
        <v>2512984</v>
      </c>
      <c r="K247" s="145"/>
    </row>
    <row r="248" spans="1:11" s="125" customFormat="1" ht="17.25" customHeight="1">
      <c r="A248" s="125">
        <f t="shared" si="9"/>
        <v>5</v>
      </c>
      <c r="B248" s="140">
        <v>42143</v>
      </c>
      <c r="C248" s="141" t="s">
        <v>368</v>
      </c>
      <c r="D248" s="140">
        <f t="shared" si="10"/>
        <v>42143</v>
      </c>
      <c r="E248" s="142" t="s">
        <v>415</v>
      </c>
      <c r="F248" s="142"/>
      <c r="G248" s="143" t="s">
        <v>94</v>
      </c>
      <c r="H248" s="144"/>
      <c r="I248" s="144">
        <v>40000</v>
      </c>
      <c r="J248" s="145">
        <f t="shared" si="11"/>
        <v>2472984</v>
      </c>
      <c r="K248" s="145"/>
    </row>
    <row r="249" spans="1:11" s="125" customFormat="1" ht="17.25" customHeight="1">
      <c r="A249" s="125">
        <f t="shared" si="9"/>
        <v>5</v>
      </c>
      <c r="B249" s="140">
        <v>42143</v>
      </c>
      <c r="C249" s="141" t="s">
        <v>368</v>
      </c>
      <c r="D249" s="140">
        <f t="shared" si="10"/>
        <v>42143</v>
      </c>
      <c r="E249" s="142" t="s">
        <v>416</v>
      </c>
      <c r="F249" s="142"/>
      <c r="G249" s="143" t="s">
        <v>35</v>
      </c>
      <c r="H249" s="144"/>
      <c r="I249" s="144">
        <v>4000</v>
      </c>
      <c r="J249" s="145">
        <f t="shared" si="11"/>
        <v>2468984</v>
      </c>
      <c r="K249" s="145"/>
    </row>
    <row r="250" spans="1:11" s="125" customFormat="1" ht="17.25" customHeight="1">
      <c r="A250" s="125">
        <f t="shared" si="9"/>
        <v>5</v>
      </c>
      <c r="B250" s="140">
        <v>42143</v>
      </c>
      <c r="C250" s="141" t="s">
        <v>368</v>
      </c>
      <c r="D250" s="140">
        <f t="shared" si="10"/>
        <v>42143</v>
      </c>
      <c r="E250" s="142" t="s">
        <v>722</v>
      </c>
      <c r="F250" s="142"/>
      <c r="G250" s="143" t="s">
        <v>34</v>
      </c>
      <c r="H250" s="144"/>
      <c r="I250" s="144">
        <v>1000000</v>
      </c>
      <c r="J250" s="145">
        <f t="shared" si="11"/>
        <v>1468984</v>
      </c>
      <c r="K250" s="145"/>
    </row>
    <row r="251" spans="1:11" s="125" customFormat="1" ht="17.25" customHeight="1">
      <c r="A251" s="125">
        <f t="shared" si="9"/>
        <v>5</v>
      </c>
      <c r="B251" s="140">
        <v>42143</v>
      </c>
      <c r="C251" s="141" t="s">
        <v>368</v>
      </c>
      <c r="D251" s="140">
        <f t="shared" si="10"/>
        <v>42143</v>
      </c>
      <c r="E251" s="142" t="s">
        <v>415</v>
      </c>
      <c r="F251" s="142"/>
      <c r="G251" s="143" t="s">
        <v>94</v>
      </c>
      <c r="H251" s="144"/>
      <c r="I251" s="144">
        <v>40000</v>
      </c>
      <c r="J251" s="145">
        <f t="shared" si="11"/>
        <v>1428984</v>
      </c>
      <c r="K251" s="145"/>
    </row>
    <row r="252" spans="1:11" s="125" customFormat="1" ht="17.25" customHeight="1">
      <c r="A252" s="125">
        <f t="shared" si="9"/>
        <v>5</v>
      </c>
      <c r="B252" s="140">
        <v>42143</v>
      </c>
      <c r="C252" s="141" t="s">
        <v>368</v>
      </c>
      <c r="D252" s="140">
        <f t="shared" si="10"/>
        <v>42143</v>
      </c>
      <c r="E252" s="142" t="s">
        <v>416</v>
      </c>
      <c r="F252" s="142"/>
      <c r="G252" s="143" t="s">
        <v>35</v>
      </c>
      <c r="H252" s="144"/>
      <c r="I252" s="144">
        <v>4000</v>
      </c>
      <c r="J252" s="145">
        <f t="shared" si="11"/>
        <v>1424984</v>
      </c>
      <c r="K252" s="145"/>
    </row>
    <row r="253" spans="1:11" s="125" customFormat="1" ht="17.25" customHeight="1">
      <c r="A253" s="125">
        <f t="shared" si="9"/>
        <v>5</v>
      </c>
      <c r="B253" s="140">
        <v>42143</v>
      </c>
      <c r="C253" s="141" t="s">
        <v>368</v>
      </c>
      <c r="D253" s="140">
        <f t="shared" si="10"/>
        <v>42143</v>
      </c>
      <c r="E253" s="142" t="s">
        <v>703</v>
      </c>
      <c r="F253" s="142"/>
      <c r="G253" s="143" t="s">
        <v>704</v>
      </c>
      <c r="H253" s="144"/>
      <c r="I253" s="144">
        <v>34570</v>
      </c>
      <c r="J253" s="145">
        <f t="shared" si="11"/>
        <v>1390414</v>
      </c>
      <c r="K253" s="145"/>
    </row>
    <row r="254" spans="1:11" s="125" customFormat="1" ht="17.25" customHeight="1">
      <c r="A254" s="125">
        <f t="shared" si="9"/>
        <v>5</v>
      </c>
      <c r="B254" s="140">
        <v>42143</v>
      </c>
      <c r="C254" s="141" t="s">
        <v>368</v>
      </c>
      <c r="D254" s="140">
        <f t="shared" si="10"/>
        <v>42143</v>
      </c>
      <c r="E254" s="142" t="s">
        <v>415</v>
      </c>
      <c r="F254" s="142"/>
      <c r="G254" s="143" t="s">
        <v>94</v>
      </c>
      <c r="H254" s="144"/>
      <c r="I254" s="144">
        <v>40000</v>
      </c>
      <c r="J254" s="145">
        <f t="shared" si="11"/>
        <v>1350414</v>
      </c>
      <c r="K254" s="145"/>
    </row>
    <row r="255" spans="1:11" s="125" customFormat="1" ht="17.25" customHeight="1">
      <c r="A255" s="125">
        <f t="shared" si="9"/>
        <v>5</v>
      </c>
      <c r="B255" s="140">
        <v>42143</v>
      </c>
      <c r="C255" s="141" t="s">
        <v>368</v>
      </c>
      <c r="D255" s="140">
        <f t="shared" si="10"/>
        <v>42143</v>
      </c>
      <c r="E255" s="142" t="s">
        <v>416</v>
      </c>
      <c r="F255" s="142"/>
      <c r="G255" s="143" t="s">
        <v>35</v>
      </c>
      <c r="H255" s="144"/>
      <c r="I255" s="144">
        <v>4000</v>
      </c>
      <c r="J255" s="145">
        <f t="shared" si="11"/>
        <v>1346414</v>
      </c>
      <c r="K255" s="145"/>
    </row>
    <row r="256" spans="1:11" s="125" customFormat="1" ht="17.25" customHeight="1">
      <c r="A256" s="125">
        <f t="shared" si="9"/>
        <v>5</v>
      </c>
      <c r="B256" s="140">
        <v>42145</v>
      </c>
      <c r="C256" s="141" t="s">
        <v>368</v>
      </c>
      <c r="D256" s="140">
        <f t="shared" si="10"/>
        <v>42145</v>
      </c>
      <c r="E256" s="142" t="s">
        <v>71</v>
      </c>
      <c r="F256" s="142"/>
      <c r="G256" s="143" t="s">
        <v>367</v>
      </c>
      <c r="H256" s="144">
        <v>470000000</v>
      </c>
      <c r="I256" s="144"/>
      <c r="J256" s="145">
        <f t="shared" si="11"/>
        <v>471346414</v>
      </c>
      <c r="K256" s="145"/>
    </row>
    <row r="257" spans="1:11" s="125" customFormat="1" ht="17.25" customHeight="1">
      <c r="A257" s="125">
        <f t="shared" si="9"/>
        <v>5</v>
      </c>
      <c r="B257" s="140">
        <v>42145</v>
      </c>
      <c r="C257" s="141" t="s">
        <v>368</v>
      </c>
      <c r="D257" s="140">
        <f t="shared" si="10"/>
        <v>42145</v>
      </c>
      <c r="E257" s="142" t="s">
        <v>677</v>
      </c>
      <c r="F257" s="142"/>
      <c r="G257" s="143" t="s">
        <v>370</v>
      </c>
      <c r="H257" s="144"/>
      <c r="I257" s="144">
        <v>386125500</v>
      </c>
      <c r="J257" s="145">
        <f t="shared" si="11"/>
        <v>85220914</v>
      </c>
      <c r="K257" s="145"/>
    </row>
    <row r="258" spans="1:11" s="125" customFormat="1" ht="17.25" customHeight="1">
      <c r="A258" s="125">
        <f t="shared" si="9"/>
        <v>5</v>
      </c>
      <c r="B258" s="140">
        <v>42145</v>
      </c>
      <c r="C258" s="141" t="s">
        <v>368</v>
      </c>
      <c r="D258" s="140">
        <f t="shared" si="10"/>
        <v>42145</v>
      </c>
      <c r="E258" s="142" t="s">
        <v>423</v>
      </c>
      <c r="F258" s="142"/>
      <c r="G258" s="143" t="s">
        <v>374</v>
      </c>
      <c r="H258" s="144"/>
      <c r="I258" s="144">
        <v>7133607</v>
      </c>
      <c r="J258" s="145">
        <f t="shared" si="11"/>
        <v>78087307</v>
      </c>
      <c r="K258" s="145"/>
    </row>
    <row r="259" spans="1:11" s="125" customFormat="1" ht="17.25" customHeight="1">
      <c r="A259" s="125">
        <f t="shared" si="9"/>
        <v>5</v>
      </c>
      <c r="B259" s="140">
        <v>42145</v>
      </c>
      <c r="C259" s="141" t="s">
        <v>368</v>
      </c>
      <c r="D259" s="140">
        <f t="shared" si="10"/>
        <v>42145</v>
      </c>
      <c r="E259" s="142" t="s">
        <v>424</v>
      </c>
      <c r="F259" s="142"/>
      <c r="G259" s="143" t="s">
        <v>374</v>
      </c>
      <c r="H259" s="144"/>
      <c r="I259" s="144">
        <v>6116111</v>
      </c>
      <c r="J259" s="145">
        <f t="shared" si="11"/>
        <v>71971196</v>
      </c>
      <c r="K259" s="145"/>
    </row>
    <row r="260" spans="1:11" s="125" customFormat="1" ht="17.25" customHeight="1">
      <c r="A260" s="125">
        <f t="shared" si="9"/>
        <v>5</v>
      </c>
      <c r="B260" s="140">
        <v>42145</v>
      </c>
      <c r="C260" s="141" t="s">
        <v>368</v>
      </c>
      <c r="D260" s="140">
        <f t="shared" si="10"/>
        <v>42145</v>
      </c>
      <c r="E260" s="142" t="s">
        <v>425</v>
      </c>
      <c r="F260" s="142"/>
      <c r="G260" s="143" t="s">
        <v>374</v>
      </c>
      <c r="H260" s="144"/>
      <c r="I260" s="144">
        <v>1703832</v>
      </c>
      <c r="J260" s="145">
        <f t="shared" si="11"/>
        <v>70267364</v>
      </c>
      <c r="K260" s="145"/>
    </row>
    <row r="261" spans="1:11" s="125" customFormat="1" ht="17.25" customHeight="1">
      <c r="A261" s="125">
        <f t="shared" si="9"/>
        <v>5</v>
      </c>
      <c r="B261" s="140">
        <v>42145</v>
      </c>
      <c r="C261" s="141" t="s">
        <v>368</v>
      </c>
      <c r="D261" s="140">
        <f t="shared" si="10"/>
        <v>42145</v>
      </c>
      <c r="E261" s="142" t="s">
        <v>426</v>
      </c>
      <c r="F261" s="142"/>
      <c r="G261" s="143" t="s">
        <v>374</v>
      </c>
      <c r="H261" s="144"/>
      <c r="I261" s="144">
        <v>3800603</v>
      </c>
      <c r="J261" s="145">
        <f t="shared" si="11"/>
        <v>66466761</v>
      </c>
      <c r="K261" s="145"/>
    </row>
    <row r="262" spans="1:11" s="125" customFormat="1" ht="17.25" customHeight="1">
      <c r="A262" s="125">
        <f t="shared" si="9"/>
        <v>5</v>
      </c>
      <c r="B262" s="140">
        <v>42145</v>
      </c>
      <c r="C262" s="141" t="s">
        <v>368</v>
      </c>
      <c r="D262" s="140">
        <f t="shared" si="10"/>
        <v>42145</v>
      </c>
      <c r="E262" s="142" t="s">
        <v>427</v>
      </c>
      <c r="F262" s="142"/>
      <c r="G262" s="143" t="s">
        <v>374</v>
      </c>
      <c r="H262" s="144"/>
      <c r="I262" s="144">
        <v>4281300</v>
      </c>
      <c r="J262" s="145">
        <f t="shared" si="11"/>
        <v>62185461</v>
      </c>
      <c r="K262" s="145"/>
    </row>
    <row r="263" spans="1:11" s="125" customFormat="1" ht="17.25" customHeight="1">
      <c r="A263" s="125">
        <f t="shared" si="9"/>
        <v>5</v>
      </c>
      <c r="B263" s="140">
        <v>42145</v>
      </c>
      <c r="C263" s="141" t="s">
        <v>368</v>
      </c>
      <c r="D263" s="140">
        <f t="shared" si="10"/>
        <v>42145</v>
      </c>
      <c r="E263" s="142" t="s">
        <v>705</v>
      </c>
      <c r="F263" s="142"/>
      <c r="G263" s="143" t="s">
        <v>374</v>
      </c>
      <c r="H263" s="144"/>
      <c r="I263" s="144">
        <v>8562599</v>
      </c>
      <c r="J263" s="145">
        <f t="shared" si="11"/>
        <v>53622862</v>
      </c>
      <c r="K263" s="145"/>
    </row>
    <row r="264" spans="1:11" s="125" customFormat="1" ht="17.25" customHeight="1">
      <c r="A264" s="125">
        <f t="shared" si="9"/>
        <v>5</v>
      </c>
      <c r="B264" s="140">
        <v>42145</v>
      </c>
      <c r="C264" s="141" t="s">
        <v>368</v>
      </c>
      <c r="D264" s="140">
        <f t="shared" si="10"/>
        <v>42145</v>
      </c>
      <c r="E264" s="142" t="s">
        <v>706</v>
      </c>
      <c r="F264" s="142"/>
      <c r="G264" s="143" t="s">
        <v>34</v>
      </c>
      <c r="H264" s="144"/>
      <c r="I264" s="144">
        <v>20000000</v>
      </c>
      <c r="J264" s="145">
        <f t="shared" si="11"/>
        <v>33622862</v>
      </c>
      <c r="K264" s="145"/>
    </row>
    <row r="265" spans="1:11" s="125" customFormat="1" ht="17.25" customHeight="1">
      <c r="A265" s="125">
        <f t="shared" si="9"/>
        <v>5</v>
      </c>
      <c r="B265" s="140">
        <v>42145</v>
      </c>
      <c r="C265" s="141" t="s">
        <v>368</v>
      </c>
      <c r="D265" s="140">
        <f t="shared" si="10"/>
        <v>42145</v>
      </c>
      <c r="E265" s="142" t="s">
        <v>415</v>
      </c>
      <c r="F265" s="142"/>
      <c r="G265" s="143" t="s">
        <v>94</v>
      </c>
      <c r="H265" s="144"/>
      <c r="I265" s="144">
        <v>40000</v>
      </c>
      <c r="J265" s="145">
        <f t="shared" si="11"/>
        <v>33582862</v>
      </c>
      <c r="K265" s="145"/>
    </row>
    <row r="266" spans="1:11" s="125" customFormat="1" ht="17.25" customHeight="1">
      <c r="A266" s="125">
        <f t="shared" si="9"/>
        <v>5</v>
      </c>
      <c r="B266" s="140">
        <v>42145</v>
      </c>
      <c r="C266" s="141" t="s">
        <v>368</v>
      </c>
      <c r="D266" s="140">
        <f t="shared" si="10"/>
        <v>42145</v>
      </c>
      <c r="E266" s="142" t="s">
        <v>416</v>
      </c>
      <c r="F266" s="142"/>
      <c r="G266" s="143" t="s">
        <v>35</v>
      </c>
      <c r="H266" s="144"/>
      <c r="I266" s="144">
        <v>4000</v>
      </c>
      <c r="J266" s="145">
        <f t="shared" si="11"/>
        <v>33578862</v>
      </c>
      <c r="K266" s="145"/>
    </row>
    <row r="267" spans="1:11" s="125" customFormat="1" ht="17.25" customHeight="1">
      <c r="A267" s="125">
        <f t="shared" si="9"/>
        <v>5</v>
      </c>
      <c r="B267" s="140">
        <v>42145</v>
      </c>
      <c r="C267" s="141" t="s">
        <v>368</v>
      </c>
      <c r="D267" s="140">
        <f t="shared" si="10"/>
        <v>42145</v>
      </c>
      <c r="E267" s="142" t="s">
        <v>707</v>
      </c>
      <c r="F267" s="142"/>
      <c r="G267" s="143" t="s">
        <v>374</v>
      </c>
      <c r="H267" s="144"/>
      <c r="I267" s="144">
        <v>7083617</v>
      </c>
      <c r="J267" s="145">
        <f t="shared" si="11"/>
        <v>26495245</v>
      </c>
      <c r="K267" s="145"/>
    </row>
    <row r="268" spans="1:11" s="125" customFormat="1" ht="17.25" customHeight="1">
      <c r="A268" s="125">
        <f t="shared" si="9"/>
        <v>5</v>
      </c>
      <c r="B268" s="140">
        <v>42145</v>
      </c>
      <c r="C268" s="141" t="s">
        <v>368</v>
      </c>
      <c r="D268" s="140">
        <f t="shared" si="10"/>
        <v>42145</v>
      </c>
      <c r="E268" s="142" t="s">
        <v>708</v>
      </c>
      <c r="F268" s="142"/>
      <c r="G268" s="143" t="s">
        <v>374</v>
      </c>
      <c r="H268" s="144"/>
      <c r="I268" s="144">
        <v>6552275</v>
      </c>
      <c r="J268" s="145">
        <f t="shared" si="11"/>
        <v>19942970</v>
      </c>
      <c r="K268" s="145"/>
    </row>
    <row r="269" spans="1:11" s="125" customFormat="1" ht="17.25" customHeight="1">
      <c r="A269" s="125">
        <f t="shared" si="9"/>
        <v>5</v>
      </c>
      <c r="B269" s="140">
        <v>42145</v>
      </c>
      <c r="C269" s="141" t="s">
        <v>368</v>
      </c>
      <c r="D269" s="140">
        <f t="shared" ref="D269:D334" si="12">IF(B269&lt;&gt;"",B269,"")</f>
        <v>42145</v>
      </c>
      <c r="E269" s="142" t="s">
        <v>709</v>
      </c>
      <c r="F269" s="142"/>
      <c r="G269" s="143" t="s">
        <v>374</v>
      </c>
      <c r="H269" s="144"/>
      <c r="I269" s="144">
        <v>9773728</v>
      </c>
      <c r="J269" s="145">
        <f t="shared" ref="J269:J334" si="13">IF(B269&lt;&gt;"",J268+H269-I269,0)</f>
        <v>10169242</v>
      </c>
      <c r="K269" s="145"/>
    </row>
    <row r="270" spans="1:11" s="125" customFormat="1" ht="17.25" customHeight="1">
      <c r="A270" s="125">
        <f t="shared" si="9"/>
        <v>5</v>
      </c>
      <c r="B270" s="140">
        <v>42145</v>
      </c>
      <c r="C270" s="141" t="s">
        <v>371</v>
      </c>
      <c r="D270" s="140">
        <f t="shared" si="12"/>
        <v>42145</v>
      </c>
      <c r="E270" s="142" t="s">
        <v>372</v>
      </c>
      <c r="F270" s="142"/>
      <c r="G270" s="143" t="s">
        <v>370</v>
      </c>
      <c r="H270" s="144">
        <v>1341315000</v>
      </c>
      <c r="I270" s="144"/>
      <c r="J270" s="145">
        <f t="shared" si="13"/>
        <v>1351484242</v>
      </c>
      <c r="K270" s="145"/>
    </row>
    <row r="271" spans="1:11" s="125" customFormat="1" ht="17.25" customHeight="1">
      <c r="A271" s="125">
        <f t="shared" si="9"/>
        <v>5</v>
      </c>
      <c r="B271" s="140">
        <v>42145</v>
      </c>
      <c r="C271" s="301" t="s">
        <v>710</v>
      </c>
      <c r="D271" s="140">
        <f t="shared" si="12"/>
        <v>42145</v>
      </c>
      <c r="E271" s="142" t="s">
        <v>62</v>
      </c>
      <c r="F271" s="142"/>
      <c r="G271" s="143" t="s">
        <v>367</v>
      </c>
      <c r="H271" s="144"/>
      <c r="I271" s="144">
        <v>1350000000</v>
      </c>
      <c r="J271" s="145">
        <f t="shared" si="13"/>
        <v>1484242</v>
      </c>
      <c r="K271" s="145"/>
    </row>
    <row r="272" spans="1:11" s="125" customFormat="1" ht="17.25" customHeight="1">
      <c r="A272" s="125">
        <f t="shared" si="9"/>
        <v>5</v>
      </c>
      <c r="B272" s="140">
        <v>42145</v>
      </c>
      <c r="C272" s="301" t="s">
        <v>417</v>
      </c>
      <c r="D272" s="140">
        <f t="shared" si="12"/>
        <v>42145</v>
      </c>
      <c r="E272" s="142" t="s">
        <v>71</v>
      </c>
      <c r="F272" s="142"/>
      <c r="G272" s="143" t="s">
        <v>367</v>
      </c>
      <c r="H272" s="144">
        <v>330000000</v>
      </c>
      <c r="I272" s="144"/>
      <c r="J272" s="145">
        <f t="shared" si="13"/>
        <v>331484242</v>
      </c>
      <c r="K272" s="145"/>
    </row>
    <row r="273" spans="1:11" s="125" customFormat="1" ht="17.25" customHeight="1">
      <c r="A273" s="125">
        <f t="shared" si="9"/>
        <v>5</v>
      </c>
      <c r="B273" s="140">
        <v>42146</v>
      </c>
      <c r="C273" s="141" t="s">
        <v>368</v>
      </c>
      <c r="D273" s="140">
        <f t="shared" si="12"/>
        <v>42146</v>
      </c>
      <c r="E273" s="142" t="s">
        <v>711</v>
      </c>
      <c r="F273" s="142"/>
      <c r="G273" s="143" t="s">
        <v>34</v>
      </c>
      <c r="H273" s="144"/>
      <c r="I273" s="144">
        <v>50000000</v>
      </c>
      <c r="J273" s="145">
        <f t="shared" si="13"/>
        <v>281484242</v>
      </c>
      <c r="K273" s="145"/>
    </row>
    <row r="274" spans="1:11" s="125" customFormat="1" ht="17.25" customHeight="1">
      <c r="A274" s="125">
        <f t="shared" si="9"/>
        <v>5</v>
      </c>
      <c r="B274" s="140">
        <v>42146</v>
      </c>
      <c r="C274" s="141" t="s">
        <v>368</v>
      </c>
      <c r="D274" s="140">
        <f t="shared" si="12"/>
        <v>42146</v>
      </c>
      <c r="E274" s="142" t="s">
        <v>415</v>
      </c>
      <c r="F274" s="142"/>
      <c r="G274" s="143" t="s">
        <v>94</v>
      </c>
      <c r="H274" s="144"/>
      <c r="I274" s="144">
        <v>25000</v>
      </c>
      <c r="J274" s="145">
        <f t="shared" si="13"/>
        <v>281459242</v>
      </c>
      <c r="K274" s="145"/>
    </row>
    <row r="275" spans="1:11" s="125" customFormat="1" ht="17.25" customHeight="1">
      <c r="A275" s="125">
        <f t="shared" si="9"/>
        <v>5</v>
      </c>
      <c r="B275" s="140">
        <v>42146</v>
      </c>
      <c r="C275" s="141" t="s">
        <v>368</v>
      </c>
      <c r="D275" s="140">
        <f t="shared" si="12"/>
        <v>42146</v>
      </c>
      <c r="E275" s="142" t="s">
        <v>416</v>
      </c>
      <c r="F275" s="142"/>
      <c r="G275" s="143" t="s">
        <v>35</v>
      </c>
      <c r="H275" s="144"/>
      <c r="I275" s="144">
        <v>2500</v>
      </c>
      <c r="J275" s="145">
        <f t="shared" si="13"/>
        <v>281456742</v>
      </c>
      <c r="K275" s="145"/>
    </row>
    <row r="276" spans="1:11" s="125" customFormat="1" ht="27.75" customHeight="1">
      <c r="A276" s="125">
        <f t="shared" si="9"/>
        <v>5</v>
      </c>
      <c r="B276" s="140">
        <v>42146</v>
      </c>
      <c r="C276" s="141" t="s">
        <v>368</v>
      </c>
      <c r="D276" s="140">
        <f t="shared" si="12"/>
        <v>42146</v>
      </c>
      <c r="E276" s="142" t="s">
        <v>712</v>
      </c>
      <c r="F276" s="142"/>
      <c r="G276" s="143" t="s">
        <v>34</v>
      </c>
      <c r="H276" s="144"/>
      <c r="I276" s="144">
        <v>23971528</v>
      </c>
      <c r="J276" s="145">
        <f t="shared" si="13"/>
        <v>257485214</v>
      </c>
      <c r="K276" s="145"/>
    </row>
    <row r="277" spans="1:11" s="125" customFormat="1" ht="17.25" customHeight="1">
      <c r="A277" s="125">
        <f t="shared" si="9"/>
        <v>5</v>
      </c>
      <c r="B277" s="140">
        <v>42146</v>
      </c>
      <c r="C277" s="141" t="s">
        <v>368</v>
      </c>
      <c r="D277" s="140">
        <f t="shared" si="12"/>
        <v>42146</v>
      </c>
      <c r="E277" s="142" t="s">
        <v>415</v>
      </c>
      <c r="F277" s="142"/>
      <c r="G277" s="143" t="s">
        <v>94</v>
      </c>
      <c r="H277" s="144"/>
      <c r="I277" s="144">
        <v>20000</v>
      </c>
      <c r="J277" s="145">
        <f t="shared" si="13"/>
        <v>257465214</v>
      </c>
      <c r="K277" s="145"/>
    </row>
    <row r="278" spans="1:11" s="125" customFormat="1" ht="17.25" customHeight="1">
      <c r="A278" s="125">
        <f t="shared" si="9"/>
        <v>5</v>
      </c>
      <c r="B278" s="140">
        <v>42146</v>
      </c>
      <c r="C278" s="141" t="s">
        <v>368</v>
      </c>
      <c r="D278" s="140">
        <f t="shared" si="12"/>
        <v>42146</v>
      </c>
      <c r="E278" s="142" t="s">
        <v>416</v>
      </c>
      <c r="F278" s="142"/>
      <c r="G278" s="143" t="s">
        <v>35</v>
      </c>
      <c r="H278" s="144"/>
      <c r="I278" s="144">
        <v>2000</v>
      </c>
      <c r="J278" s="145">
        <f t="shared" si="13"/>
        <v>257463214</v>
      </c>
      <c r="K278" s="145"/>
    </row>
    <row r="279" spans="1:11" s="125" customFormat="1" ht="17.25" customHeight="1">
      <c r="A279" s="125">
        <f t="shared" si="9"/>
        <v>5</v>
      </c>
      <c r="B279" s="140">
        <v>42146</v>
      </c>
      <c r="C279" s="141" t="s">
        <v>368</v>
      </c>
      <c r="D279" s="140">
        <f t="shared" si="12"/>
        <v>42146</v>
      </c>
      <c r="E279" s="142" t="s">
        <v>713</v>
      </c>
      <c r="F279" s="142"/>
      <c r="G279" s="143" t="s">
        <v>34</v>
      </c>
      <c r="H279" s="144"/>
      <c r="I279" s="144">
        <v>18877600</v>
      </c>
      <c r="J279" s="145">
        <f t="shared" si="13"/>
        <v>238585614</v>
      </c>
      <c r="K279" s="145"/>
    </row>
    <row r="280" spans="1:11" s="125" customFormat="1" ht="17.25" customHeight="1">
      <c r="A280" s="125">
        <f t="shared" si="9"/>
        <v>5</v>
      </c>
      <c r="B280" s="140">
        <v>42146</v>
      </c>
      <c r="C280" s="141" t="s">
        <v>368</v>
      </c>
      <c r="D280" s="140">
        <f t="shared" si="12"/>
        <v>42146</v>
      </c>
      <c r="E280" s="142" t="s">
        <v>415</v>
      </c>
      <c r="F280" s="142"/>
      <c r="G280" s="143" t="s">
        <v>94</v>
      </c>
      <c r="H280" s="144"/>
      <c r="I280" s="144">
        <v>20000</v>
      </c>
      <c r="J280" s="145">
        <f t="shared" si="13"/>
        <v>238565614</v>
      </c>
      <c r="K280" s="145"/>
    </row>
    <row r="281" spans="1:11" s="125" customFormat="1" ht="17.25" customHeight="1">
      <c r="A281" s="125">
        <f t="shared" si="9"/>
        <v>5</v>
      </c>
      <c r="B281" s="140">
        <v>42146</v>
      </c>
      <c r="C281" s="141" t="s">
        <v>368</v>
      </c>
      <c r="D281" s="140">
        <f t="shared" si="12"/>
        <v>42146</v>
      </c>
      <c r="E281" s="142" t="s">
        <v>416</v>
      </c>
      <c r="F281" s="142"/>
      <c r="G281" s="143" t="s">
        <v>35</v>
      </c>
      <c r="H281" s="144"/>
      <c r="I281" s="144">
        <v>2000</v>
      </c>
      <c r="J281" s="145">
        <f t="shared" si="13"/>
        <v>238563614</v>
      </c>
      <c r="K281" s="145"/>
    </row>
    <row r="282" spans="1:11" s="125" customFormat="1" ht="27" customHeight="1">
      <c r="A282" s="125">
        <f t="shared" si="9"/>
        <v>5</v>
      </c>
      <c r="B282" s="140">
        <v>42146</v>
      </c>
      <c r="C282" s="141" t="s">
        <v>368</v>
      </c>
      <c r="D282" s="140">
        <f t="shared" si="12"/>
        <v>42146</v>
      </c>
      <c r="E282" s="142" t="s">
        <v>714</v>
      </c>
      <c r="F282" s="142"/>
      <c r="G282" s="143" t="s">
        <v>34</v>
      </c>
      <c r="H282" s="144"/>
      <c r="I282" s="144">
        <v>100000000</v>
      </c>
      <c r="J282" s="145">
        <f t="shared" si="13"/>
        <v>138563614</v>
      </c>
      <c r="K282" s="145"/>
    </row>
    <row r="283" spans="1:11" s="125" customFormat="1" ht="17.25" customHeight="1">
      <c r="A283" s="125">
        <f t="shared" si="9"/>
        <v>5</v>
      </c>
      <c r="B283" s="140">
        <v>42146</v>
      </c>
      <c r="C283" s="141" t="s">
        <v>368</v>
      </c>
      <c r="D283" s="140">
        <f t="shared" si="12"/>
        <v>42146</v>
      </c>
      <c r="E283" s="142" t="s">
        <v>415</v>
      </c>
      <c r="F283" s="142"/>
      <c r="G283" s="143" t="s">
        <v>94</v>
      </c>
      <c r="H283" s="144"/>
      <c r="I283" s="144">
        <v>30000</v>
      </c>
      <c r="J283" s="145">
        <f t="shared" si="13"/>
        <v>138533614</v>
      </c>
      <c r="K283" s="145"/>
    </row>
    <row r="284" spans="1:11" s="125" customFormat="1" ht="17.25" customHeight="1">
      <c r="A284" s="125">
        <f t="shared" si="9"/>
        <v>5</v>
      </c>
      <c r="B284" s="140">
        <v>42146</v>
      </c>
      <c r="C284" s="141" t="s">
        <v>368</v>
      </c>
      <c r="D284" s="140">
        <f t="shared" si="12"/>
        <v>42146</v>
      </c>
      <c r="E284" s="142" t="s">
        <v>416</v>
      </c>
      <c r="F284" s="142"/>
      <c r="G284" s="143" t="s">
        <v>35</v>
      </c>
      <c r="H284" s="144"/>
      <c r="I284" s="144">
        <v>3000</v>
      </c>
      <c r="J284" s="145">
        <f t="shared" si="13"/>
        <v>138530614</v>
      </c>
      <c r="K284" s="145"/>
    </row>
    <row r="285" spans="1:11" s="125" customFormat="1" ht="17.25" customHeight="1">
      <c r="A285" s="125">
        <f t="shared" si="9"/>
        <v>5</v>
      </c>
      <c r="B285" s="140">
        <v>42146</v>
      </c>
      <c r="C285" s="141" t="s">
        <v>368</v>
      </c>
      <c r="D285" s="140">
        <f t="shared" si="12"/>
        <v>42146</v>
      </c>
      <c r="E285" s="142" t="s">
        <v>716</v>
      </c>
      <c r="F285" s="142"/>
      <c r="G285" s="143" t="s">
        <v>34</v>
      </c>
      <c r="H285" s="144"/>
      <c r="I285" s="144">
        <v>4072660</v>
      </c>
      <c r="J285" s="145">
        <f t="shared" si="13"/>
        <v>134457954</v>
      </c>
      <c r="K285" s="145"/>
    </row>
    <row r="286" spans="1:11" s="125" customFormat="1" ht="17.25" customHeight="1">
      <c r="A286" s="125">
        <f t="shared" si="9"/>
        <v>5</v>
      </c>
      <c r="B286" s="140">
        <v>42146</v>
      </c>
      <c r="C286" s="141" t="s">
        <v>368</v>
      </c>
      <c r="D286" s="140">
        <f t="shared" si="12"/>
        <v>42146</v>
      </c>
      <c r="E286" s="142" t="s">
        <v>415</v>
      </c>
      <c r="F286" s="142"/>
      <c r="G286" s="143" t="s">
        <v>94</v>
      </c>
      <c r="H286" s="144"/>
      <c r="I286" s="144">
        <v>25000</v>
      </c>
      <c r="J286" s="145">
        <f t="shared" si="13"/>
        <v>134432954</v>
      </c>
      <c r="K286" s="145"/>
    </row>
    <row r="287" spans="1:11" s="125" customFormat="1" ht="17.25" customHeight="1">
      <c r="A287" s="125">
        <f t="shared" si="9"/>
        <v>5</v>
      </c>
      <c r="B287" s="140">
        <v>42146</v>
      </c>
      <c r="C287" s="141" t="s">
        <v>368</v>
      </c>
      <c r="D287" s="140">
        <f t="shared" si="12"/>
        <v>42146</v>
      </c>
      <c r="E287" s="142" t="s">
        <v>416</v>
      </c>
      <c r="F287" s="142"/>
      <c r="G287" s="143" t="s">
        <v>35</v>
      </c>
      <c r="H287" s="144"/>
      <c r="I287" s="144">
        <v>2500</v>
      </c>
      <c r="J287" s="145">
        <f t="shared" si="13"/>
        <v>134430454</v>
      </c>
      <c r="K287" s="145"/>
    </row>
    <row r="288" spans="1:11" s="125" customFormat="1" ht="17.25" customHeight="1">
      <c r="A288" s="125">
        <f t="shared" si="9"/>
        <v>5</v>
      </c>
      <c r="B288" s="140">
        <v>42146</v>
      </c>
      <c r="C288" s="141" t="s">
        <v>368</v>
      </c>
      <c r="D288" s="140">
        <f t="shared" si="12"/>
        <v>42146</v>
      </c>
      <c r="E288" s="142" t="s">
        <v>715</v>
      </c>
      <c r="F288" s="142"/>
      <c r="G288" s="143" t="s">
        <v>34</v>
      </c>
      <c r="H288" s="144"/>
      <c r="I288" s="144">
        <v>24139610</v>
      </c>
      <c r="J288" s="145">
        <f t="shared" si="13"/>
        <v>110290844</v>
      </c>
      <c r="K288" s="145"/>
    </row>
    <row r="289" spans="1:12" s="125" customFormat="1" ht="17.25" customHeight="1">
      <c r="A289" s="125">
        <f t="shared" si="9"/>
        <v>5</v>
      </c>
      <c r="B289" s="140">
        <v>42146</v>
      </c>
      <c r="C289" s="141" t="s">
        <v>368</v>
      </c>
      <c r="D289" s="140">
        <f t="shared" si="12"/>
        <v>42146</v>
      </c>
      <c r="E289" s="142" t="s">
        <v>415</v>
      </c>
      <c r="F289" s="142"/>
      <c r="G289" s="143" t="s">
        <v>94</v>
      </c>
      <c r="H289" s="144"/>
      <c r="I289" s="144">
        <v>25000</v>
      </c>
      <c r="J289" s="145">
        <f t="shared" si="13"/>
        <v>110265844</v>
      </c>
      <c r="K289" s="145"/>
    </row>
    <row r="290" spans="1:12" s="125" customFormat="1" ht="17.25" customHeight="1">
      <c r="A290" s="125">
        <f t="shared" si="9"/>
        <v>5</v>
      </c>
      <c r="B290" s="140">
        <v>42146</v>
      </c>
      <c r="C290" s="141" t="s">
        <v>368</v>
      </c>
      <c r="D290" s="140">
        <f t="shared" si="12"/>
        <v>42146</v>
      </c>
      <c r="E290" s="142" t="s">
        <v>416</v>
      </c>
      <c r="F290" s="142"/>
      <c r="G290" s="143" t="s">
        <v>35</v>
      </c>
      <c r="H290" s="144"/>
      <c r="I290" s="144">
        <v>2500</v>
      </c>
      <c r="J290" s="145">
        <f t="shared" si="13"/>
        <v>110263344</v>
      </c>
      <c r="K290" s="145"/>
    </row>
    <row r="291" spans="1:12" s="302" customFormat="1" ht="17.25" customHeight="1">
      <c r="A291" s="302">
        <f t="shared" si="9"/>
        <v>5</v>
      </c>
      <c r="B291" s="303">
        <v>42146</v>
      </c>
      <c r="C291" s="301" t="s">
        <v>368</v>
      </c>
      <c r="D291" s="303">
        <f t="shared" si="12"/>
        <v>42146</v>
      </c>
      <c r="E291" s="291" t="s">
        <v>403</v>
      </c>
      <c r="F291" s="291"/>
      <c r="G291" s="304" t="s">
        <v>38</v>
      </c>
      <c r="H291" s="305"/>
      <c r="I291" s="343">
        <v>79364918</v>
      </c>
      <c r="J291" s="306">
        <f t="shared" si="13"/>
        <v>30898426</v>
      </c>
      <c r="K291" s="306"/>
    </row>
    <row r="292" spans="1:12" s="302" customFormat="1" ht="17.25" customHeight="1">
      <c r="A292" s="302">
        <f t="shared" ref="A292:A293" si="14">IF(B292&lt;&gt;"",MONTH(B292),"")</f>
        <v>5</v>
      </c>
      <c r="B292" s="303">
        <v>42146</v>
      </c>
      <c r="C292" s="301" t="s">
        <v>368</v>
      </c>
      <c r="D292" s="303">
        <f t="shared" ref="D292:D293" si="15">IF(B292&lt;&gt;"",B292,"")</f>
        <v>42146</v>
      </c>
      <c r="E292" s="291" t="s">
        <v>405</v>
      </c>
      <c r="F292" s="291"/>
      <c r="G292" s="304" t="s">
        <v>406</v>
      </c>
      <c r="H292" s="305"/>
      <c r="I292" s="343">
        <f>14363325+56913</f>
        <v>14420238</v>
      </c>
      <c r="J292" s="306">
        <f t="shared" si="13"/>
        <v>16478188</v>
      </c>
      <c r="K292" s="306"/>
    </row>
    <row r="293" spans="1:12" s="302" customFormat="1" ht="17.25" customHeight="1">
      <c r="A293" s="302">
        <f t="shared" si="14"/>
        <v>5</v>
      </c>
      <c r="B293" s="303">
        <v>42146</v>
      </c>
      <c r="C293" s="301" t="s">
        <v>368</v>
      </c>
      <c r="D293" s="303">
        <f t="shared" si="15"/>
        <v>42146</v>
      </c>
      <c r="E293" s="291" t="s">
        <v>408</v>
      </c>
      <c r="F293" s="291"/>
      <c r="G293" s="304" t="s">
        <v>409</v>
      </c>
      <c r="H293" s="305"/>
      <c r="I293" s="343">
        <f>6193720+21124</f>
        <v>6214844</v>
      </c>
      <c r="J293" s="306">
        <f t="shared" si="13"/>
        <v>10263344</v>
      </c>
      <c r="K293" s="306"/>
    </row>
    <row r="294" spans="1:12" s="125" customFormat="1" ht="17.25" customHeight="1">
      <c r="A294" s="125">
        <f t="shared" si="9"/>
        <v>5</v>
      </c>
      <c r="B294" s="140">
        <v>42146</v>
      </c>
      <c r="C294" s="141" t="s">
        <v>368</v>
      </c>
      <c r="D294" s="140">
        <f t="shared" si="12"/>
        <v>42146</v>
      </c>
      <c r="E294" s="142" t="s">
        <v>723</v>
      </c>
      <c r="F294" s="142"/>
      <c r="G294" s="143" t="s">
        <v>94</v>
      </c>
      <c r="H294" s="144"/>
      <c r="I294" s="144">
        <v>50000</v>
      </c>
      <c r="J294" s="145">
        <f t="shared" si="13"/>
        <v>10213344</v>
      </c>
      <c r="K294" s="145"/>
    </row>
    <row r="295" spans="1:12" s="125" customFormat="1" ht="17.25" customHeight="1">
      <c r="A295" s="125">
        <f t="shared" si="9"/>
        <v>5</v>
      </c>
      <c r="B295" s="140">
        <v>42146</v>
      </c>
      <c r="C295" s="141" t="s">
        <v>368</v>
      </c>
      <c r="D295" s="140">
        <f t="shared" si="12"/>
        <v>42146</v>
      </c>
      <c r="E295" s="142" t="s">
        <v>416</v>
      </c>
      <c r="F295" s="142"/>
      <c r="G295" s="143" t="s">
        <v>35</v>
      </c>
      <c r="H295" s="144"/>
      <c r="I295" s="144">
        <v>5000</v>
      </c>
      <c r="J295" s="145">
        <f t="shared" si="13"/>
        <v>10208344</v>
      </c>
      <c r="K295" s="145"/>
    </row>
    <row r="296" spans="1:12" s="125" customFormat="1" ht="17.25" customHeight="1">
      <c r="A296" s="125">
        <f t="shared" si="9"/>
        <v>5</v>
      </c>
      <c r="B296" s="140">
        <v>42153</v>
      </c>
      <c r="C296" s="141" t="s">
        <v>371</v>
      </c>
      <c r="D296" s="140">
        <f t="shared" si="12"/>
        <v>42153</v>
      </c>
      <c r="E296" s="142" t="s">
        <v>372</v>
      </c>
      <c r="F296" s="142"/>
      <c r="G296" s="143" t="s">
        <v>370</v>
      </c>
      <c r="H296" s="144">
        <v>218100000</v>
      </c>
      <c r="I296" s="144"/>
      <c r="J296" s="145">
        <f t="shared" si="13"/>
        <v>228308344</v>
      </c>
      <c r="K296" s="145"/>
    </row>
    <row r="297" spans="1:12" s="125" customFormat="1" ht="17.25" customHeight="1">
      <c r="A297" s="125">
        <f t="shared" si="9"/>
        <v>5</v>
      </c>
      <c r="B297" s="140">
        <v>42154</v>
      </c>
      <c r="C297" s="141" t="s">
        <v>368</v>
      </c>
      <c r="D297" s="140">
        <f t="shared" si="12"/>
        <v>42154</v>
      </c>
      <c r="E297" s="142" t="s">
        <v>62</v>
      </c>
      <c r="F297" s="142"/>
      <c r="G297" s="143" t="s">
        <v>367</v>
      </c>
      <c r="H297" s="144"/>
      <c r="I297" s="144">
        <v>220000000</v>
      </c>
      <c r="J297" s="145">
        <f t="shared" si="13"/>
        <v>8308344</v>
      </c>
      <c r="K297" s="145"/>
      <c r="L297" s="138">
        <f>J297+'Q4-VND'!J49</f>
        <v>33844632</v>
      </c>
    </row>
    <row r="298" spans="1:12" s="125" customFormat="1" ht="17.25" customHeight="1">
      <c r="A298" s="125">
        <f t="shared" si="9"/>
        <v>6</v>
      </c>
      <c r="B298" s="140">
        <v>42156</v>
      </c>
      <c r="C298" s="141" t="s">
        <v>371</v>
      </c>
      <c r="D298" s="140">
        <f t="shared" si="12"/>
        <v>42156</v>
      </c>
      <c r="E298" s="142" t="s">
        <v>372</v>
      </c>
      <c r="F298" s="142"/>
      <c r="G298" s="143" t="s">
        <v>370</v>
      </c>
      <c r="H298" s="144">
        <v>1952442500</v>
      </c>
      <c r="I298" s="144"/>
      <c r="J298" s="145">
        <f t="shared" si="13"/>
        <v>1960750844</v>
      </c>
      <c r="K298" s="145"/>
    </row>
    <row r="299" spans="1:12" s="125" customFormat="1" ht="17.25" customHeight="1">
      <c r="A299" s="125">
        <f t="shared" si="9"/>
        <v>6</v>
      </c>
      <c r="B299" s="140">
        <v>42156</v>
      </c>
      <c r="C299" s="141" t="s">
        <v>368</v>
      </c>
      <c r="D299" s="140">
        <f t="shared" si="12"/>
        <v>42156</v>
      </c>
      <c r="E299" s="142" t="s">
        <v>62</v>
      </c>
      <c r="F299" s="142"/>
      <c r="G299" s="143" t="s">
        <v>367</v>
      </c>
      <c r="H299" s="144"/>
      <c r="I299" s="144">
        <v>1950000000</v>
      </c>
      <c r="J299" s="145">
        <f t="shared" si="13"/>
        <v>10750844</v>
      </c>
      <c r="K299" s="145"/>
    </row>
    <row r="300" spans="1:12" s="125" customFormat="1" ht="17.25" customHeight="1">
      <c r="A300" s="125">
        <f t="shared" si="9"/>
        <v>6</v>
      </c>
      <c r="B300" s="140">
        <v>42157</v>
      </c>
      <c r="C300" s="141" t="s">
        <v>368</v>
      </c>
      <c r="D300" s="140">
        <f t="shared" si="12"/>
        <v>42157</v>
      </c>
      <c r="E300" s="142" t="s">
        <v>420</v>
      </c>
      <c r="F300" s="142"/>
      <c r="G300" s="143" t="s">
        <v>36</v>
      </c>
      <c r="H300" s="144"/>
      <c r="I300" s="144">
        <v>10000000</v>
      </c>
      <c r="J300" s="145">
        <f t="shared" si="13"/>
        <v>750844</v>
      </c>
      <c r="K300" s="145"/>
    </row>
    <row r="301" spans="1:12" s="125" customFormat="1" ht="17.25" customHeight="1">
      <c r="A301" s="125">
        <f t="shared" si="9"/>
        <v>6</v>
      </c>
      <c r="B301" s="140">
        <v>42158</v>
      </c>
      <c r="C301" s="141" t="s">
        <v>371</v>
      </c>
      <c r="D301" s="140">
        <f t="shared" si="12"/>
        <v>42158</v>
      </c>
      <c r="E301" s="142" t="s">
        <v>71</v>
      </c>
      <c r="F301" s="142"/>
      <c r="G301" s="143" t="s">
        <v>367</v>
      </c>
      <c r="H301" s="144">
        <v>270000000</v>
      </c>
      <c r="I301" s="144"/>
      <c r="J301" s="145">
        <f t="shared" si="13"/>
        <v>270750844</v>
      </c>
      <c r="K301" s="145"/>
    </row>
    <row r="302" spans="1:12" s="125" customFormat="1" ht="17.25" customHeight="1">
      <c r="A302" s="125">
        <f t="shared" si="9"/>
        <v>6</v>
      </c>
      <c r="B302" s="140">
        <v>42159</v>
      </c>
      <c r="C302" s="141" t="s">
        <v>368</v>
      </c>
      <c r="D302" s="140">
        <f t="shared" si="12"/>
        <v>42159</v>
      </c>
      <c r="E302" s="142" t="s">
        <v>804</v>
      </c>
      <c r="F302" s="142"/>
      <c r="G302" s="143" t="s">
        <v>34</v>
      </c>
      <c r="H302" s="144"/>
      <c r="I302" s="144">
        <v>74430690</v>
      </c>
      <c r="J302" s="145">
        <f t="shared" si="13"/>
        <v>196320154</v>
      </c>
      <c r="K302" s="145"/>
    </row>
    <row r="303" spans="1:12" s="125" customFormat="1" ht="17.25" customHeight="1">
      <c r="A303" s="125">
        <f t="shared" si="9"/>
        <v>6</v>
      </c>
      <c r="B303" s="140">
        <v>42159</v>
      </c>
      <c r="C303" s="141" t="s">
        <v>368</v>
      </c>
      <c r="D303" s="140">
        <f t="shared" si="12"/>
        <v>42159</v>
      </c>
      <c r="E303" s="142" t="s">
        <v>415</v>
      </c>
      <c r="F303" s="142"/>
      <c r="G303" s="143" t="s">
        <v>94</v>
      </c>
      <c r="H303" s="144"/>
      <c r="I303" s="144">
        <v>22329</v>
      </c>
      <c r="J303" s="145">
        <f t="shared" si="13"/>
        <v>196297825</v>
      </c>
      <c r="K303" s="145"/>
    </row>
    <row r="304" spans="1:12" s="125" customFormat="1" ht="17.25" customHeight="1">
      <c r="A304" s="125">
        <f t="shared" si="9"/>
        <v>6</v>
      </c>
      <c r="B304" s="140">
        <v>42159</v>
      </c>
      <c r="C304" s="141" t="s">
        <v>368</v>
      </c>
      <c r="D304" s="140">
        <f t="shared" si="12"/>
        <v>42159</v>
      </c>
      <c r="E304" s="142" t="s">
        <v>416</v>
      </c>
      <c r="F304" s="142"/>
      <c r="G304" s="143" t="s">
        <v>35</v>
      </c>
      <c r="H304" s="144"/>
      <c r="I304" s="144">
        <v>2233</v>
      </c>
      <c r="J304" s="145">
        <f t="shared" si="13"/>
        <v>196295592</v>
      </c>
      <c r="K304" s="145"/>
    </row>
    <row r="305" spans="1:11" s="125" customFormat="1" ht="17.25" customHeight="1">
      <c r="A305" s="125">
        <f t="shared" si="9"/>
        <v>6</v>
      </c>
      <c r="B305" s="140">
        <v>42159</v>
      </c>
      <c r="C305" s="141" t="s">
        <v>368</v>
      </c>
      <c r="D305" s="140">
        <f t="shared" si="12"/>
        <v>42159</v>
      </c>
      <c r="E305" s="142" t="s">
        <v>806</v>
      </c>
      <c r="F305" s="142"/>
      <c r="G305" s="143" t="s">
        <v>34</v>
      </c>
      <c r="H305" s="144"/>
      <c r="I305" s="144">
        <v>12000000</v>
      </c>
      <c r="J305" s="145">
        <f t="shared" si="13"/>
        <v>184295592</v>
      </c>
      <c r="K305" s="145"/>
    </row>
    <row r="306" spans="1:11" s="125" customFormat="1" ht="17.25" customHeight="1">
      <c r="A306" s="125">
        <f t="shared" si="9"/>
        <v>6</v>
      </c>
      <c r="B306" s="140">
        <v>42159</v>
      </c>
      <c r="C306" s="141" t="s">
        <v>368</v>
      </c>
      <c r="D306" s="140">
        <f t="shared" si="12"/>
        <v>42159</v>
      </c>
      <c r="E306" s="142" t="s">
        <v>415</v>
      </c>
      <c r="F306" s="142"/>
      <c r="G306" s="143" t="s">
        <v>94</v>
      </c>
      <c r="H306" s="144"/>
      <c r="I306" s="144">
        <v>20000</v>
      </c>
      <c r="J306" s="145">
        <f t="shared" si="13"/>
        <v>184275592</v>
      </c>
      <c r="K306" s="145"/>
    </row>
    <row r="307" spans="1:11" s="125" customFormat="1" ht="17.25" customHeight="1">
      <c r="A307" s="125">
        <f t="shared" si="9"/>
        <v>6</v>
      </c>
      <c r="B307" s="140">
        <v>42159</v>
      </c>
      <c r="C307" s="141" t="s">
        <v>368</v>
      </c>
      <c r="D307" s="140">
        <f t="shared" si="12"/>
        <v>42159</v>
      </c>
      <c r="E307" s="142" t="s">
        <v>416</v>
      </c>
      <c r="F307" s="142"/>
      <c r="G307" s="143" t="s">
        <v>35</v>
      </c>
      <c r="H307" s="144"/>
      <c r="I307" s="144">
        <v>2000</v>
      </c>
      <c r="J307" s="145">
        <f t="shared" si="13"/>
        <v>184273592</v>
      </c>
      <c r="K307" s="145"/>
    </row>
    <row r="308" spans="1:11" s="125" customFormat="1" ht="17.25" customHeight="1">
      <c r="A308" s="125">
        <f t="shared" si="9"/>
        <v>6</v>
      </c>
      <c r="B308" s="140">
        <v>42159</v>
      </c>
      <c r="C308" s="141" t="s">
        <v>368</v>
      </c>
      <c r="D308" s="140">
        <f t="shared" si="12"/>
        <v>42159</v>
      </c>
      <c r="E308" s="142" t="s">
        <v>805</v>
      </c>
      <c r="F308" s="142"/>
      <c r="G308" s="143" t="s">
        <v>34</v>
      </c>
      <c r="H308" s="144"/>
      <c r="I308" s="144">
        <v>100000000</v>
      </c>
      <c r="J308" s="145">
        <f t="shared" si="13"/>
        <v>84273592</v>
      </c>
      <c r="K308" s="145"/>
    </row>
    <row r="309" spans="1:11" s="125" customFormat="1" ht="17.25" customHeight="1">
      <c r="A309" s="125">
        <f t="shared" si="9"/>
        <v>6</v>
      </c>
      <c r="B309" s="140">
        <v>42159</v>
      </c>
      <c r="C309" s="141" t="s">
        <v>368</v>
      </c>
      <c r="D309" s="140">
        <f t="shared" si="12"/>
        <v>42159</v>
      </c>
      <c r="E309" s="142" t="s">
        <v>415</v>
      </c>
      <c r="F309" s="142"/>
      <c r="G309" s="143" t="s">
        <v>94</v>
      </c>
      <c r="H309" s="144"/>
      <c r="I309" s="144">
        <v>50000</v>
      </c>
      <c r="J309" s="145">
        <f t="shared" si="13"/>
        <v>84223592</v>
      </c>
      <c r="K309" s="145"/>
    </row>
    <row r="310" spans="1:11" s="125" customFormat="1" ht="17.25" customHeight="1">
      <c r="A310" s="125">
        <f t="shared" si="9"/>
        <v>6</v>
      </c>
      <c r="B310" s="140">
        <v>42159</v>
      </c>
      <c r="C310" s="141" t="s">
        <v>368</v>
      </c>
      <c r="D310" s="140">
        <f t="shared" si="12"/>
        <v>42159</v>
      </c>
      <c r="E310" s="142" t="s">
        <v>416</v>
      </c>
      <c r="F310" s="142"/>
      <c r="G310" s="143" t="s">
        <v>35</v>
      </c>
      <c r="H310" s="144"/>
      <c r="I310" s="144">
        <v>5000</v>
      </c>
      <c r="J310" s="145">
        <f t="shared" si="13"/>
        <v>84218592</v>
      </c>
      <c r="K310" s="145"/>
    </row>
    <row r="311" spans="1:11" s="125" customFormat="1" ht="17.25" customHeight="1">
      <c r="A311" s="125">
        <f t="shared" si="9"/>
        <v>6</v>
      </c>
      <c r="B311" s="140">
        <v>42159</v>
      </c>
      <c r="C311" s="141" t="s">
        <v>368</v>
      </c>
      <c r="D311" s="140">
        <f t="shared" si="12"/>
        <v>42159</v>
      </c>
      <c r="E311" s="142" t="s">
        <v>807</v>
      </c>
      <c r="F311" s="142"/>
      <c r="G311" s="143" t="s">
        <v>34</v>
      </c>
      <c r="H311" s="144"/>
      <c r="I311" s="144">
        <v>42286860</v>
      </c>
      <c r="J311" s="145">
        <f t="shared" si="13"/>
        <v>41931732</v>
      </c>
      <c r="K311" s="145"/>
    </row>
    <row r="312" spans="1:11" s="125" customFormat="1" ht="17.25" customHeight="1">
      <c r="A312" s="125">
        <f t="shared" si="9"/>
        <v>6</v>
      </c>
      <c r="B312" s="140">
        <v>42159</v>
      </c>
      <c r="C312" s="141" t="s">
        <v>368</v>
      </c>
      <c r="D312" s="140">
        <f t="shared" si="12"/>
        <v>42159</v>
      </c>
      <c r="E312" s="142" t="s">
        <v>415</v>
      </c>
      <c r="F312" s="142"/>
      <c r="G312" s="143" t="s">
        <v>94</v>
      </c>
      <c r="H312" s="144"/>
      <c r="I312" s="144">
        <v>25000</v>
      </c>
      <c r="J312" s="145">
        <f t="shared" si="13"/>
        <v>41906732</v>
      </c>
      <c r="K312" s="145"/>
    </row>
    <row r="313" spans="1:11" s="125" customFormat="1" ht="17.25" customHeight="1">
      <c r="A313" s="125">
        <f t="shared" si="9"/>
        <v>6</v>
      </c>
      <c r="B313" s="140">
        <v>42159</v>
      </c>
      <c r="C313" s="141" t="s">
        <v>368</v>
      </c>
      <c r="D313" s="140">
        <f t="shared" si="12"/>
        <v>42159</v>
      </c>
      <c r="E313" s="142" t="s">
        <v>416</v>
      </c>
      <c r="F313" s="142"/>
      <c r="G313" s="143" t="s">
        <v>35</v>
      </c>
      <c r="H313" s="144"/>
      <c r="I313" s="144">
        <v>2500</v>
      </c>
      <c r="J313" s="145">
        <f t="shared" si="13"/>
        <v>41904232</v>
      </c>
      <c r="K313" s="145"/>
    </row>
    <row r="314" spans="1:11" s="125" customFormat="1" ht="17.25" customHeight="1">
      <c r="A314" s="125">
        <f t="shared" si="9"/>
        <v>6</v>
      </c>
      <c r="B314" s="140">
        <v>42170</v>
      </c>
      <c r="C314" s="141" t="s">
        <v>371</v>
      </c>
      <c r="D314" s="140">
        <f t="shared" si="12"/>
        <v>42170</v>
      </c>
      <c r="E314" s="142" t="s">
        <v>372</v>
      </c>
      <c r="F314" s="142"/>
      <c r="G314" s="143" t="s">
        <v>370</v>
      </c>
      <c r="H314" s="144">
        <v>374960000</v>
      </c>
      <c r="I314" s="144"/>
      <c r="J314" s="145">
        <f t="shared" si="13"/>
        <v>416864232</v>
      </c>
      <c r="K314" s="145"/>
    </row>
    <row r="315" spans="1:11" s="125" customFormat="1" ht="17.25" customHeight="1">
      <c r="A315" s="125">
        <f t="shared" si="9"/>
        <v>6</v>
      </c>
      <c r="B315" s="140">
        <v>42170</v>
      </c>
      <c r="C315" s="141" t="s">
        <v>368</v>
      </c>
      <c r="D315" s="140">
        <f t="shared" si="12"/>
        <v>42170</v>
      </c>
      <c r="E315" s="142" t="s">
        <v>805</v>
      </c>
      <c r="F315" s="142"/>
      <c r="G315" s="143" t="s">
        <v>34</v>
      </c>
      <c r="H315" s="144"/>
      <c r="I315" s="144">
        <v>100000000</v>
      </c>
      <c r="J315" s="145">
        <f t="shared" si="13"/>
        <v>316864232</v>
      </c>
      <c r="K315" s="145"/>
    </row>
    <row r="316" spans="1:11" s="125" customFormat="1" ht="17.25" customHeight="1">
      <c r="A316" s="125">
        <f t="shared" si="9"/>
        <v>6</v>
      </c>
      <c r="B316" s="140">
        <v>42170</v>
      </c>
      <c r="C316" s="141" t="s">
        <v>368</v>
      </c>
      <c r="D316" s="140">
        <f t="shared" si="12"/>
        <v>42170</v>
      </c>
      <c r="E316" s="142" t="s">
        <v>415</v>
      </c>
      <c r="F316" s="142"/>
      <c r="G316" s="143" t="s">
        <v>94</v>
      </c>
      <c r="H316" s="144"/>
      <c r="I316" s="144">
        <v>50000</v>
      </c>
      <c r="J316" s="145">
        <f t="shared" si="13"/>
        <v>316814232</v>
      </c>
      <c r="K316" s="145"/>
    </row>
    <row r="317" spans="1:11" s="125" customFormat="1" ht="17.25" customHeight="1">
      <c r="A317" s="125">
        <f t="shared" si="9"/>
        <v>6</v>
      </c>
      <c r="B317" s="140">
        <v>42170</v>
      </c>
      <c r="C317" s="141" t="s">
        <v>368</v>
      </c>
      <c r="D317" s="140">
        <f t="shared" si="12"/>
        <v>42170</v>
      </c>
      <c r="E317" s="142" t="s">
        <v>416</v>
      </c>
      <c r="F317" s="142"/>
      <c r="G317" s="143" t="s">
        <v>35</v>
      </c>
      <c r="H317" s="144"/>
      <c r="I317" s="144">
        <v>5000</v>
      </c>
      <c r="J317" s="145">
        <f t="shared" si="13"/>
        <v>316809232</v>
      </c>
      <c r="K317" s="145"/>
    </row>
    <row r="318" spans="1:11" s="125" customFormat="1" ht="17.25" customHeight="1">
      <c r="A318" s="125">
        <f t="shared" si="9"/>
        <v>6</v>
      </c>
      <c r="B318" s="140">
        <v>42170</v>
      </c>
      <c r="C318" s="141" t="s">
        <v>368</v>
      </c>
      <c r="D318" s="140">
        <f t="shared" si="12"/>
        <v>42170</v>
      </c>
      <c r="E318" s="142" t="s">
        <v>808</v>
      </c>
      <c r="F318" s="142"/>
      <c r="G318" s="143" t="s">
        <v>34</v>
      </c>
      <c r="H318" s="144"/>
      <c r="I318" s="144">
        <v>24012450</v>
      </c>
      <c r="J318" s="145">
        <f t="shared" si="13"/>
        <v>292796782</v>
      </c>
      <c r="K318" s="145"/>
    </row>
    <row r="319" spans="1:11" s="125" customFormat="1" ht="17.25" customHeight="1">
      <c r="A319" s="125">
        <f t="shared" si="9"/>
        <v>6</v>
      </c>
      <c r="B319" s="140">
        <v>42170</v>
      </c>
      <c r="C319" s="141" t="s">
        <v>368</v>
      </c>
      <c r="D319" s="140">
        <f t="shared" si="12"/>
        <v>42170</v>
      </c>
      <c r="E319" s="142" t="s">
        <v>415</v>
      </c>
      <c r="F319" s="142"/>
      <c r="G319" s="143" t="s">
        <v>94</v>
      </c>
      <c r="H319" s="144"/>
      <c r="I319" s="144">
        <v>25000</v>
      </c>
      <c r="J319" s="145">
        <f t="shared" si="13"/>
        <v>292771782</v>
      </c>
      <c r="K319" s="145"/>
    </row>
    <row r="320" spans="1:11" s="125" customFormat="1" ht="17.25" customHeight="1">
      <c r="A320" s="125">
        <f t="shared" si="9"/>
        <v>6</v>
      </c>
      <c r="B320" s="140">
        <v>42170</v>
      </c>
      <c r="C320" s="141" t="s">
        <v>368</v>
      </c>
      <c r="D320" s="140">
        <f t="shared" si="12"/>
        <v>42170</v>
      </c>
      <c r="E320" s="142" t="s">
        <v>416</v>
      </c>
      <c r="F320" s="142"/>
      <c r="G320" s="143" t="s">
        <v>35</v>
      </c>
      <c r="H320" s="144"/>
      <c r="I320" s="144">
        <v>2500</v>
      </c>
      <c r="J320" s="145">
        <f t="shared" si="13"/>
        <v>292769282</v>
      </c>
      <c r="K320" s="145"/>
    </row>
    <row r="321" spans="1:11" s="125" customFormat="1" ht="17.25" customHeight="1">
      <c r="A321" s="125">
        <f t="shared" si="9"/>
        <v>6</v>
      </c>
      <c r="B321" s="140">
        <v>42171</v>
      </c>
      <c r="C321" s="141" t="s">
        <v>368</v>
      </c>
      <c r="D321" s="140">
        <f t="shared" si="12"/>
        <v>42171</v>
      </c>
      <c r="E321" s="142" t="s">
        <v>62</v>
      </c>
      <c r="F321" s="142"/>
      <c r="G321" s="143" t="s">
        <v>367</v>
      </c>
      <c r="H321" s="144"/>
      <c r="I321" s="144">
        <v>290000000</v>
      </c>
      <c r="J321" s="145">
        <f t="shared" si="13"/>
        <v>2769282</v>
      </c>
      <c r="K321" s="145"/>
    </row>
    <row r="322" spans="1:11" s="125" customFormat="1" ht="17.25" customHeight="1">
      <c r="A322" s="125">
        <f t="shared" si="9"/>
        <v>6</v>
      </c>
      <c r="B322" s="140">
        <v>42178</v>
      </c>
      <c r="C322" s="141" t="s">
        <v>368</v>
      </c>
      <c r="D322" s="140">
        <f t="shared" si="12"/>
        <v>42178</v>
      </c>
      <c r="E322" s="142" t="s">
        <v>469</v>
      </c>
      <c r="F322" s="142"/>
      <c r="G322" s="143" t="s">
        <v>94</v>
      </c>
      <c r="H322" s="144"/>
      <c r="I322" s="144">
        <v>50000</v>
      </c>
      <c r="J322" s="145">
        <f t="shared" si="13"/>
        <v>2719282</v>
      </c>
      <c r="K322" s="145"/>
    </row>
    <row r="323" spans="1:11" s="125" customFormat="1" ht="17.25" customHeight="1">
      <c r="A323" s="125">
        <f t="shared" si="9"/>
        <v>6</v>
      </c>
      <c r="B323" s="140">
        <v>42178</v>
      </c>
      <c r="C323" s="141" t="s">
        <v>368</v>
      </c>
      <c r="D323" s="140">
        <f t="shared" si="12"/>
        <v>42178</v>
      </c>
      <c r="E323" s="142" t="s">
        <v>809</v>
      </c>
      <c r="F323" s="142"/>
      <c r="G323" s="143" t="s">
        <v>35</v>
      </c>
      <c r="H323" s="144"/>
      <c r="I323" s="144">
        <v>5000</v>
      </c>
      <c r="J323" s="145">
        <f t="shared" si="13"/>
        <v>2714282</v>
      </c>
      <c r="K323" s="145"/>
    </row>
    <row r="324" spans="1:11" s="125" customFormat="1" ht="17.25" customHeight="1">
      <c r="A324" s="125">
        <f t="shared" si="9"/>
        <v>6</v>
      </c>
      <c r="B324" s="140">
        <v>42178</v>
      </c>
      <c r="C324" s="141" t="s">
        <v>368</v>
      </c>
      <c r="D324" s="140">
        <f t="shared" si="12"/>
        <v>42178</v>
      </c>
      <c r="E324" s="142" t="s">
        <v>469</v>
      </c>
      <c r="F324" s="142"/>
      <c r="G324" s="143" t="s">
        <v>94</v>
      </c>
      <c r="H324" s="144"/>
      <c r="I324" s="144">
        <v>50000</v>
      </c>
      <c r="J324" s="145">
        <f t="shared" si="13"/>
        <v>2664282</v>
      </c>
      <c r="K324" s="145"/>
    </row>
    <row r="325" spans="1:11" s="125" customFormat="1" ht="17.25" customHeight="1">
      <c r="A325" s="125">
        <f t="shared" si="9"/>
        <v>6</v>
      </c>
      <c r="B325" s="140">
        <v>42178</v>
      </c>
      <c r="C325" s="141" t="s">
        <v>368</v>
      </c>
      <c r="D325" s="140">
        <f t="shared" si="12"/>
        <v>42178</v>
      </c>
      <c r="E325" s="142" t="s">
        <v>809</v>
      </c>
      <c r="F325" s="142"/>
      <c r="G325" s="143" t="s">
        <v>35</v>
      </c>
      <c r="H325" s="144"/>
      <c r="I325" s="144">
        <v>5000</v>
      </c>
      <c r="J325" s="145">
        <f t="shared" si="13"/>
        <v>2659282</v>
      </c>
      <c r="K325" s="145"/>
    </row>
    <row r="326" spans="1:11" s="125" customFormat="1" ht="17.25" customHeight="1">
      <c r="A326" s="125">
        <f t="shared" si="9"/>
        <v>6</v>
      </c>
      <c r="B326" s="140">
        <v>42178</v>
      </c>
      <c r="C326" s="141" t="s">
        <v>368</v>
      </c>
      <c r="D326" s="140">
        <f t="shared" si="12"/>
        <v>42178</v>
      </c>
      <c r="E326" s="142" t="s">
        <v>469</v>
      </c>
      <c r="F326" s="142"/>
      <c r="G326" s="143" t="s">
        <v>94</v>
      </c>
      <c r="H326" s="144"/>
      <c r="I326" s="144">
        <v>50000</v>
      </c>
      <c r="J326" s="145">
        <f t="shared" si="13"/>
        <v>2609282</v>
      </c>
      <c r="K326" s="145"/>
    </row>
    <row r="327" spans="1:11" s="125" customFormat="1" ht="17.25" customHeight="1">
      <c r="A327" s="125">
        <f t="shared" si="9"/>
        <v>6</v>
      </c>
      <c r="B327" s="140">
        <v>42178</v>
      </c>
      <c r="C327" s="141" t="s">
        <v>368</v>
      </c>
      <c r="D327" s="140">
        <f t="shared" si="12"/>
        <v>42178</v>
      </c>
      <c r="E327" s="142" t="s">
        <v>809</v>
      </c>
      <c r="F327" s="142"/>
      <c r="G327" s="143" t="s">
        <v>35</v>
      </c>
      <c r="H327" s="144"/>
      <c r="I327" s="144">
        <v>5000</v>
      </c>
      <c r="J327" s="145">
        <f t="shared" si="13"/>
        <v>2604282</v>
      </c>
      <c r="K327" s="145"/>
    </row>
    <row r="328" spans="1:11" s="125" customFormat="1" ht="17.25" customHeight="1">
      <c r="A328" s="125">
        <f t="shared" si="9"/>
        <v>6</v>
      </c>
      <c r="B328" s="140">
        <v>42178</v>
      </c>
      <c r="C328" s="141" t="s">
        <v>368</v>
      </c>
      <c r="D328" s="140">
        <f t="shared" si="12"/>
        <v>42178</v>
      </c>
      <c r="E328" s="142" t="s">
        <v>469</v>
      </c>
      <c r="F328" s="142"/>
      <c r="G328" s="143" t="s">
        <v>94</v>
      </c>
      <c r="H328" s="144"/>
      <c r="I328" s="144">
        <v>50000</v>
      </c>
      <c r="J328" s="145">
        <f t="shared" si="13"/>
        <v>2554282</v>
      </c>
      <c r="K328" s="145"/>
    </row>
    <row r="329" spans="1:11" s="125" customFormat="1" ht="17.25" customHeight="1">
      <c r="A329" s="125">
        <f t="shared" si="9"/>
        <v>6</v>
      </c>
      <c r="B329" s="140">
        <v>42178</v>
      </c>
      <c r="C329" s="141" t="s">
        <v>368</v>
      </c>
      <c r="D329" s="140">
        <f t="shared" si="12"/>
        <v>42178</v>
      </c>
      <c r="E329" s="142" t="s">
        <v>809</v>
      </c>
      <c r="F329" s="142"/>
      <c r="G329" s="143" t="s">
        <v>35</v>
      </c>
      <c r="H329" s="144"/>
      <c r="I329" s="144">
        <v>5000</v>
      </c>
      <c r="J329" s="145">
        <f t="shared" si="13"/>
        <v>2549282</v>
      </c>
      <c r="K329" s="145"/>
    </row>
    <row r="330" spans="1:11" s="125" customFormat="1" ht="17.25" customHeight="1">
      <c r="A330" s="125">
        <f t="shared" si="9"/>
        <v>6</v>
      </c>
      <c r="B330" s="140">
        <v>42179</v>
      </c>
      <c r="C330" s="141" t="s">
        <v>371</v>
      </c>
      <c r="D330" s="140">
        <f t="shared" si="12"/>
        <v>42179</v>
      </c>
      <c r="E330" s="142" t="s">
        <v>413</v>
      </c>
      <c r="F330" s="142"/>
      <c r="G330" s="143" t="s">
        <v>414</v>
      </c>
      <c r="H330" s="144">
        <v>11303</v>
      </c>
      <c r="I330" s="144"/>
      <c r="J330" s="145">
        <f t="shared" si="13"/>
        <v>2560585</v>
      </c>
      <c r="K330" s="145"/>
    </row>
    <row r="331" spans="1:11" s="125" customFormat="1" ht="17.25" customHeight="1">
      <c r="A331" s="125">
        <f t="shared" si="9"/>
        <v>6</v>
      </c>
      <c r="B331" s="140">
        <v>42180</v>
      </c>
      <c r="C331" s="141" t="s">
        <v>371</v>
      </c>
      <c r="D331" s="140">
        <f t="shared" si="12"/>
        <v>42180</v>
      </c>
      <c r="E331" s="142" t="s">
        <v>372</v>
      </c>
      <c r="F331" s="142"/>
      <c r="G331" s="143" t="s">
        <v>370</v>
      </c>
      <c r="H331" s="144">
        <v>1526840000</v>
      </c>
      <c r="I331" s="144"/>
      <c r="J331" s="145">
        <f t="shared" si="13"/>
        <v>1529400585</v>
      </c>
      <c r="K331" s="145"/>
    </row>
    <row r="332" spans="1:11" s="125" customFormat="1" ht="17.25" customHeight="1">
      <c r="A332" s="125">
        <f t="shared" si="9"/>
        <v>6</v>
      </c>
      <c r="B332" s="140">
        <v>42180</v>
      </c>
      <c r="C332" s="141" t="s">
        <v>368</v>
      </c>
      <c r="D332" s="140">
        <f t="shared" si="12"/>
        <v>42180</v>
      </c>
      <c r="E332" s="142" t="s">
        <v>62</v>
      </c>
      <c r="F332" s="142"/>
      <c r="G332" s="143" t="s">
        <v>367</v>
      </c>
      <c r="H332" s="144"/>
      <c r="I332" s="144">
        <v>1500000000</v>
      </c>
      <c r="J332" s="145">
        <f t="shared" si="13"/>
        <v>29400585</v>
      </c>
      <c r="K332" s="145"/>
    </row>
    <row r="333" spans="1:11" s="125" customFormat="1" ht="17.25" customHeight="1">
      <c r="A333" s="125">
        <f t="shared" si="9"/>
        <v>6</v>
      </c>
      <c r="B333" s="140">
        <v>42181</v>
      </c>
      <c r="C333" s="141" t="s">
        <v>371</v>
      </c>
      <c r="D333" s="140">
        <f t="shared" si="12"/>
        <v>42181</v>
      </c>
      <c r="E333" s="142" t="s">
        <v>71</v>
      </c>
      <c r="F333" s="142"/>
      <c r="G333" s="143" t="s">
        <v>367</v>
      </c>
      <c r="H333" s="144">
        <v>400000000</v>
      </c>
      <c r="I333" s="144"/>
      <c r="J333" s="145">
        <f t="shared" si="13"/>
        <v>429400585</v>
      </c>
      <c r="K333" s="145"/>
    </row>
    <row r="334" spans="1:11" s="125" customFormat="1" ht="17.25" customHeight="1">
      <c r="A334" s="125">
        <f t="shared" si="9"/>
        <v>6</v>
      </c>
      <c r="B334" s="140">
        <v>42182</v>
      </c>
      <c r="C334" s="141" t="s">
        <v>368</v>
      </c>
      <c r="D334" s="140">
        <f t="shared" si="12"/>
        <v>42182</v>
      </c>
      <c r="E334" s="142" t="s">
        <v>677</v>
      </c>
      <c r="F334" s="142"/>
      <c r="G334" s="143" t="s">
        <v>370</v>
      </c>
      <c r="H334" s="144"/>
      <c r="I334" s="144">
        <v>399397500</v>
      </c>
      <c r="J334" s="145">
        <f t="shared" si="13"/>
        <v>30003085</v>
      </c>
      <c r="K334" s="145"/>
    </row>
    <row r="335" spans="1:11" s="125" customFormat="1" ht="17.25" customHeight="1">
      <c r="A335" s="125">
        <f t="shared" si="9"/>
        <v>6</v>
      </c>
      <c r="B335" s="140">
        <v>42184</v>
      </c>
      <c r="C335" s="141" t="s">
        <v>371</v>
      </c>
      <c r="D335" s="140">
        <f t="shared" ref="D335:D397" si="16">IF(B335&lt;&gt;"",B335,"")</f>
        <v>42184</v>
      </c>
      <c r="E335" s="142" t="s">
        <v>372</v>
      </c>
      <c r="F335" s="142"/>
      <c r="G335" s="143" t="s">
        <v>370</v>
      </c>
      <c r="H335" s="144">
        <v>458073000</v>
      </c>
      <c r="I335" s="144"/>
      <c r="J335" s="145">
        <f t="shared" ref="J335:J402" si="17">IF(B335&lt;&gt;"",J334+H335-I335,0)</f>
        <v>488076085</v>
      </c>
      <c r="K335" s="145"/>
    </row>
    <row r="336" spans="1:11" s="125" customFormat="1" ht="17.25" customHeight="1">
      <c r="A336" s="125">
        <f t="shared" si="9"/>
        <v>6</v>
      </c>
      <c r="B336" s="140">
        <v>42184</v>
      </c>
      <c r="C336" s="141" t="s">
        <v>368</v>
      </c>
      <c r="D336" s="140">
        <f t="shared" si="16"/>
        <v>42184</v>
      </c>
      <c r="E336" s="142" t="s">
        <v>810</v>
      </c>
      <c r="F336" s="142"/>
      <c r="G336" s="143" t="s">
        <v>34</v>
      </c>
      <c r="H336" s="144"/>
      <c r="I336" s="144">
        <v>20068950</v>
      </c>
      <c r="J336" s="145">
        <f t="shared" si="17"/>
        <v>468007135</v>
      </c>
      <c r="K336" s="145"/>
    </row>
    <row r="337" spans="1:11" s="125" customFormat="1" ht="17.25" customHeight="1">
      <c r="A337" s="125">
        <f t="shared" si="9"/>
        <v>6</v>
      </c>
      <c r="B337" s="140">
        <v>42184</v>
      </c>
      <c r="C337" s="141" t="s">
        <v>368</v>
      </c>
      <c r="D337" s="140">
        <f t="shared" si="16"/>
        <v>42184</v>
      </c>
      <c r="E337" s="142" t="s">
        <v>415</v>
      </c>
      <c r="F337" s="142"/>
      <c r="G337" s="143" t="s">
        <v>94</v>
      </c>
      <c r="H337" s="144"/>
      <c r="I337" s="144">
        <v>25000</v>
      </c>
      <c r="J337" s="145">
        <f t="shared" si="17"/>
        <v>467982135</v>
      </c>
      <c r="K337" s="145"/>
    </row>
    <row r="338" spans="1:11" s="125" customFormat="1" ht="17.25" customHeight="1">
      <c r="A338" s="125">
        <f t="shared" si="9"/>
        <v>6</v>
      </c>
      <c r="B338" s="140">
        <v>42184</v>
      </c>
      <c r="C338" s="141" t="s">
        <v>368</v>
      </c>
      <c r="D338" s="140">
        <f t="shared" si="16"/>
        <v>42184</v>
      </c>
      <c r="E338" s="142" t="s">
        <v>416</v>
      </c>
      <c r="F338" s="142"/>
      <c r="G338" s="143" t="s">
        <v>35</v>
      </c>
      <c r="H338" s="144"/>
      <c r="I338" s="144">
        <v>2500</v>
      </c>
      <c r="J338" s="145">
        <f t="shared" si="17"/>
        <v>467979635</v>
      </c>
      <c r="K338" s="145"/>
    </row>
    <row r="339" spans="1:11" s="125" customFormat="1" ht="17.25" customHeight="1">
      <c r="A339" s="125">
        <f t="shared" si="9"/>
        <v>6</v>
      </c>
      <c r="B339" s="140">
        <v>42184</v>
      </c>
      <c r="C339" s="141" t="s">
        <v>368</v>
      </c>
      <c r="D339" s="140">
        <f t="shared" si="16"/>
        <v>42184</v>
      </c>
      <c r="E339" s="142" t="s">
        <v>811</v>
      </c>
      <c r="F339" s="142"/>
      <c r="G339" s="143" t="s">
        <v>34</v>
      </c>
      <c r="H339" s="144"/>
      <c r="I339" s="144">
        <v>1020000</v>
      </c>
      <c r="J339" s="145">
        <f t="shared" si="17"/>
        <v>466959635</v>
      </c>
      <c r="K339" s="145"/>
    </row>
    <row r="340" spans="1:11" s="125" customFormat="1" ht="17.25" customHeight="1">
      <c r="A340" s="125">
        <f t="shared" si="9"/>
        <v>6</v>
      </c>
      <c r="B340" s="140">
        <v>42184</v>
      </c>
      <c r="C340" s="141" t="s">
        <v>368</v>
      </c>
      <c r="D340" s="140">
        <f t="shared" si="16"/>
        <v>42184</v>
      </c>
      <c r="E340" s="142" t="s">
        <v>415</v>
      </c>
      <c r="F340" s="142"/>
      <c r="G340" s="143" t="s">
        <v>94</v>
      </c>
      <c r="H340" s="144"/>
      <c r="I340" s="144">
        <v>20000</v>
      </c>
      <c r="J340" s="145">
        <f t="shared" si="17"/>
        <v>466939635</v>
      </c>
      <c r="K340" s="145"/>
    </row>
    <row r="341" spans="1:11" s="125" customFormat="1" ht="17.25" customHeight="1">
      <c r="A341" s="125">
        <f t="shared" si="9"/>
        <v>6</v>
      </c>
      <c r="B341" s="140">
        <v>42184</v>
      </c>
      <c r="C341" s="141" t="s">
        <v>368</v>
      </c>
      <c r="D341" s="140">
        <f t="shared" si="16"/>
        <v>42184</v>
      </c>
      <c r="E341" s="142" t="s">
        <v>416</v>
      </c>
      <c r="F341" s="142"/>
      <c r="G341" s="143" t="s">
        <v>35</v>
      </c>
      <c r="H341" s="144"/>
      <c r="I341" s="144">
        <v>2000</v>
      </c>
      <c r="J341" s="145">
        <f t="shared" si="17"/>
        <v>466937635</v>
      </c>
      <c r="K341" s="145"/>
    </row>
    <row r="342" spans="1:11" s="125" customFormat="1" ht="17.25" customHeight="1">
      <c r="A342" s="125">
        <f t="shared" si="9"/>
        <v>6</v>
      </c>
      <c r="B342" s="140">
        <v>42184</v>
      </c>
      <c r="C342" s="141" t="s">
        <v>368</v>
      </c>
      <c r="D342" s="140">
        <f t="shared" si="16"/>
        <v>42184</v>
      </c>
      <c r="E342" s="142" t="s">
        <v>714</v>
      </c>
      <c r="F342" s="142"/>
      <c r="G342" s="143" t="s">
        <v>34</v>
      </c>
      <c r="H342" s="144"/>
      <c r="I342" s="144">
        <v>20000000</v>
      </c>
      <c r="J342" s="145">
        <f t="shared" si="17"/>
        <v>446937635</v>
      </c>
      <c r="K342" s="145"/>
    </row>
    <row r="343" spans="1:11" s="125" customFormat="1" ht="17.25" customHeight="1">
      <c r="A343" s="125">
        <f t="shared" si="9"/>
        <v>6</v>
      </c>
      <c r="B343" s="140">
        <v>42184</v>
      </c>
      <c r="C343" s="141" t="s">
        <v>368</v>
      </c>
      <c r="D343" s="140">
        <f t="shared" si="16"/>
        <v>42184</v>
      </c>
      <c r="E343" s="142" t="s">
        <v>415</v>
      </c>
      <c r="F343" s="142"/>
      <c r="G343" s="143" t="s">
        <v>94</v>
      </c>
      <c r="H343" s="144"/>
      <c r="I343" s="144">
        <v>20000</v>
      </c>
      <c r="J343" s="145">
        <f t="shared" si="17"/>
        <v>446917635</v>
      </c>
      <c r="K343" s="145"/>
    </row>
    <row r="344" spans="1:11" s="125" customFormat="1" ht="17.25" customHeight="1">
      <c r="A344" s="125">
        <f t="shared" si="9"/>
        <v>6</v>
      </c>
      <c r="B344" s="140">
        <v>42184</v>
      </c>
      <c r="C344" s="141" t="s">
        <v>368</v>
      </c>
      <c r="D344" s="140">
        <f t="shared" si="16"/>
        <v>42184</v>
      </c>
      <c r="E344" s="142" t="s">
        <v>416</v>
      </c>
      <c r="F344" s="142"/>
      <c r="G344" s="143" t="s">
        <v>35</v>
      </c>
      <c r="H344" s="144"/>
      <c r="I344" s="144">
        <v>2000</v>
      </c>
      <c r="J344" s="145">
        <f t="shared" si="17"/>
        <v>446915635</v>
      </c>
      <c r="K344" s="145"/>
    </row>
    <row r="345" spans="1:11" s="125" customFormat="1" ht="17.25" customHeight="1">
      <c r="A345" s="125">
        <f t="shared" si="9"/>
        <v>6</v>
      </c>
      <c r="B345" s="140">
        <v>42184</v>
      </c>
      <c r="C345" s="141" t="s">
        <v>368</v>
      </c>
      <c r="D345" s="140">
        <f t="shared" si="16"/>
        <v>42184</v>
      </c>
      <c r="E345" s="142" t="s">
        <v>812</v>
      </c>
      <c r="F345" s="142"/>
      <c r="G345" s="143" t="s">
        <v>34</v>
      </c>
      <c r="H345" s="144"/>
      <c r="I345" s="144">
        <v>50000000</v>
      </c>
      <c r="J345" s="145">
        <f t="shared" si="17"/>
        <v>396915635</v>
      </c>
      <c r="K345" s="145"/>
    </row>
    <row r="346" spans="1:11" s="125" customFormat="1" ht="17.25" customHeight="1">
      <c r="A346" s="125">
        <f t="shared" si="9"/>
        <v>6</v>
      </c>
      <c r="B346" s="140">
        <v>42184</v>
      </c>
      <c r="C346" s="141" t="s">
        <v>368</v>
      </c>
      <c r="D346" s="140">
        <f t="shared" si="16"/>
        <v>42184</v>
      </c>
      <c r="E346" s="142" t="s">
        <v>415</v>
      </c>
      <c r="F346" s="142"/>
      <c r="G346" s="143" t="s">
        <v>94</v>
      </c>
      <c r="H346" s="144"/>
      <c r="I346" s="144">
        <v>25000</v>
      </c>
      <c r="J346" s="145">
        <f t="shared" si="17"/>
        <v>396890635</v>
      </c>
      <c r="K346" s="145"/>
    </row>
    <row r="347" spans="1:11" s="125" customFormat="1" ht="17.25" customHeight="1">
      <c r="A347" s="125">
        <f t="shared" si="9"/>
        <v>6</v>
      </c>
      <c r="B347" s="140">
        <v>42184</v>
      </c>
      <c r="C347" s="141" t="s">
        <v>368</v>
      </c>
      <c r="D347" s="140">
        <f t="shared" si="16"/>
        <v>42184</v>
      </c>
      <c r="E347" s="142" t="s">
        <v>416</v>
      </c>
      <c r="F347" s="142"/>
      <c r="G347" s="143" t="s">
        <v>35</v>
      </c>
      <c r="H347" s="144"/>
      <c r="I347" s="144">
        <v>2500</v>
      </c>
      <c r="J347" s="145">
        <f t="shared" si="17"/>
        <v>396888135</v>
      </c>
      <c r="K347" s="145"/>
    </row>
    <row r="348" spans="1:11" s="125" customFormat="1" ht="17.25" customHeight="1">
      <c r="A348" s="125">
        <f t="shared" si="9"/>
        <v>6</v>
      </c>
      <c r="B348" s="140">
        <v>42184</v>
      </c>
      <c r="C348" s="141" t="s">
        <v>368</v>
      </c>
      <c r="D348" s="140">
        <f t="shared" si="16"/>
        <v>42184</v>
      </c>
      <c r="E348" s="142" t="s">
        <v>811</v>
      </c>
      <c r="F348" s="142"/>
      <c r="G348" s="143" t="s">
        <v>34</v>
      </c>
      <c r="H348" s="144"/>
      <c r="I348" s="144">
        <v>2700000</v>
      </c>
      <c r="J348" s="145">
        <f t="shared" si="17"/>
        <v>394188135</v>
      </c>
      <c r="K348" s="145"/>
    </row>
    <row r="349" spans="1:11" s="125" customFormat="1" ht="17.25" customHeight="1">
      <c r="A349" s="125">
        <f t="shared" si="9"/>
        <v>6</v>
      </c>
      <c r="B349" s="140">
        <v>42184</v>
      </c>
      <c r="C349" s="141" t="s">
        <v>368</v>
      </c>
      <c r="D349" s="140">
        <f t="shared" si="16"/>
        <v>42184</v>
      </c>
      <c r="E349" s="142" t="s">
        <v>415</v>
      </c>
      <c r="F349" s="142"/>
      <c r="G349" s="143" t="s">
        <v>94</v>
      </c>
      <c r="H349" s="144"/>
      <c r="I349" s="144">
        <v>20000</v>
      </c>
      <c r="J349" s="145">
        <f t="shared" si="17"/>
        <v>394168135</v>
      </c>
      <c r="K349" s="145"/>
    </row>
    <row r="350" spans="1:11" s="125" customFormat="1" ht="17.25" customHeight="1">
      <c r="A350" s="125">
        <f t="shared" si="9"/>
        <v>6</v>
      </c>
      <c r="B350" s="140">
        <v>42184</v>
      </c>
      <c r="C350" s="141" t="s">
        <v>368</v>
      </c>
      <c r="D350" s="140">
        <f t="shared" si="16"/>
        <v>42184</v>
      </c>
      <c r="E350" s="142" t="s">
        <v>416</v>
      </c>
      <c r="F350" s="142"/>
      <c r="G350" s="143" t="s">
        <v>35</v>
      </c>
      <c r="H350" s="144"/>
      <c r="I350" s="144">
        <v>2000</v>
      </c>
      <c r="J350" s="145">
        <f t="shared" si="17"/>
        <v>394166135</v>
      </c>
      <c r="K350" s="145"/>
    </row>
    <row r="351" spans="1:11" s="125" customFormat="1" ht="17.25" customHeight="1">
      <c r="A351" s="125">
        <f t="shared" si="9"/>
        <v>6</v>
      </c>
      <c r="B351" s="140">
        <v>42184</v>
      </c>
      <c r="C351" s="141" t="s">
        <v>368</v>
      </c>
      <c r="D351" s="140">
        <f t="shared" si="16"/>
        <v>42184</v>
      </c>
      <c r="E351" s="142" t="s">
        <v>813</v>
      </c>
      <c r="F351" s="142"/>
      <c r="G351" s="143" t="s">
        <v>34</v>
      </c>
      <c r="H351" s="144"/>
      <c r="I351" s="144">
        <v>1310755</v>
      </c>
      <c r="J351" s="145">
        <f t="shared" si="17"/>
        <v>392855380</v>
      </c>
      <c r="K351" s="145"/>
    </row>
    <row r="352" spans="1:11" s="125" customFormat="1" ht="17.25" customHeight="1">
      <c r="A352" s="125">
        <f t="shared" si="9"/>
        <v>6</v>
      </c>
      <c r="B352" s="140">
        <v>42184</v>
      </c>
      <c r="C352" s="141" t="s">
        <v>368</v>
      </c>
      <c r="D352" s="140">
        <f t="shared" si="16"/>
        <v>42184</v>
      </c>
      <c r="E352" s="142" t="s">
        <v>415</v>
      </c>
      <c r="F352" s="142"/>
      <c r="G352" s="143" t="s">
        <v>94</v>
      </c>
      <c r="H352" s="144"/>
      <c r="I352" s="325">
        <v>21000</v>
      </c>
      <c r="J352" s="145">
        <f t="shared" si="17"/>
        <v>392834380</v>
      </c>
      <c r="K352" s="145"/>
    </row>
    <row r="353" spans="1:11" s="125" customFormat="1" ht="17.25" customHeight="1">
      <c r="A353" s="125">
        <f t="shared" si="9"/>
        <v>6</v>
      </c>
      <c r="B353" s="140">
        <v>42184</v>
      </c>
      <c r="C353" s="141" t="s">
        <v>368</v>
      </c>
      <c r="D353" s="140">
        <f t="shared" si="16"/>
        <v>42184</v>
      </c>
      <c r="E353" s="142" t="s">
        <v>416</v>
      </c>
      <c r="F353" s="142"/>
      <c r="G353" s="143" t="s">
        <v>35</v>
      </c>
      <c r="H353" s="144"/>
      <c r="I353" s="325">
        <v>1000</v>
      </c>
      <c r="J353" s="145">
        <f t="shared" si="17"/>
        <v>392833380</v>
      </c>
      <c r="K353" s="145"/>
    </row>
    <row r="354" spans="1:11" s="125" customFormat="1" ht="17.25" customHeight="1">
      <c r="A354" s="125">
        <f t="shared" si="9"/>
        <v>6</v>
      </c>
      <c r="B354" s="140">
        <v>42184</v>
      </c>
      <c r="C354" s="141" t="s">
        <v>368</v>
      </c>
      <c r="D354" s="140">
        <f t="shared" si="16"/>
        <v>42184</v>
      </c>
      <c r="E354" s="316" t="s">
        <v>403</v>
      </c>
      <c r="F354" s="142"/>
      <c r="G354" s="143" t="s">
        <v>38</v>
      </c>
      <c r="H354" s="144"/>
      <c r="I354" s="144">
        <v>140431150</v>
      </c>
      <c r="J354" s="145">
        <f t="shared" si="17"/>
        <v>252402230</v>
      </c>
      <c r="K354" s="145"/>
    </row>
    <row r="355" spans="1:11" s="125" customFormat="1" ht="17.25" customHeight="1">
      <c r="A355" s="125">
        <f t="shared" ref="A355:A356" si="18">IF(B355&lt;&gt;"",MONTH(B355),"")</f>
        <v>6</v>
      </c>
      <c r="B355" s="140">
        <v>42184</v>
      </c>
      <c r="C355" s="141" t="s">
        <v>368</v>
      </c>
      <c r="D355" s="140">
        <f t="shared" ref="D355:D356" si="19">IF(B355&lt;&gt;"",B355,"")</f>
        <v>42184</v>
      </c>
      <c r="E355" s="316" t="s">
        <v>405</v>
      </c>
      <c r="F355" s="142"/>
      <c r="G355" s="143" t="s">
        <v>406</v>
      </c>
      <c r="H355" s="144"/>
      <c r="I355" s="144">
        <v>13551621</v>
      </c>
      <c r="J355" s="145">
        <f t="shared" si="17"/>
        <v>238850609</v>
      </c>
      <c r="K355" s="145"/>
    </row>
    <row r="356" spans="1:11" s="125" customFormat="1" ht="17.25" customHeight="1">
      <c r="A356" s="125">
        <f t="shared" si="18"/>
        <v>6</v>
      </c>
      <c r="B356" s="140">
        <v>42184</v>
      </c>
      <c r="C356" s="141" t="s">
        <v>368</v>
      </c>
      <c r="D356" s="140">
        <f t="shared" si="19"/>
        <v>42184</v>
      </c>
      <c r="E356" s="316" t="s">
        <v>408</v>
      </c>
      <c r="F356" s="142"/>
      <c r="G356" s="143" t="s">
        <v>409</v>
      </c>
      <c r="H356" s="144"/>
      <c r="I356" s="144">
        <v>6017229</v>
      </c>
      <c r="J356" s="145">
        <f t="shared" si="17"/>
        <v>232833380</v>
      </c>
      <c r="K356" s="145"/>
    </row>
    <row r="357" spans="1:11" s="125" customFormat="1" ht="17.25" customHeight="1">
      <c r="A357" s="125">
        <f t="shared" si="9"/>
        <v>6</v>
      </c>
      <c r="B357" s="140">
        <v>42184</v>
      </c>
      <c r="C357" s="141" t="s">
        <v>368</v>
      </c>
      <c r="D357" s="140">
        <f t="shared" si="16"/>
        <v>42184</v>
      </c>
      <c r="E357" s="142" t="s">
        <v>415</v>
      </c>
      <c r="F357" s="142"/>
      <c r="G357" s="143" t="s">
        <v>94</v>
      </c>
      <c r="H357" s="144"/>
      <c r="I357" s="144">
        <v>80000</v>
      </c>
      <c r="J357" s="145">
        <f t="shared" si="17"/>
        <v>232753380</v>
      </c>
      <c r="K357" s="145"/>
    </row>
    <row r="358" spans="1:11" s="125" customFormat="1" ht="17.25" customHeight="1">
      <c r="A358" s="125">
        <f t="shared" si="9"/>
        <v>6</v>
      </c>
      <c r="B358" s="140">
        <v>42184</v>
      </c>
      <c r="C358" s="141" t="s">
        <v>368</v>
      </c>
      <c r="D358" s="140">
        <f t="shared" si="16"/>
        <v>42184</v>
      </c>
      <c r="E358" s="142" t="s">
        <v>416</v>
      </c>
      <c r="F358" s="142"/>
      <c r="G358" s="143" t="s">
        <v>35</v>
      </c>
      <c r="H358" s="144"/>
      <c r="I358" s="144">
        <v>8000</v>
      </c>
      <c r="J358" s="145">
        <f t="shared" si="17"/>
        <v>232745380</v>
      </c>
      <c r="K358" s="145"/>
    </row>
    <row r="359" spans="1:11" s="125" customFormat="1" ht="17.25" customHeight="1">
      <c r="A359" s="125">
        <f t="shared" si="9"/>
        <v>6</v>
      </c>
      <c r="B359" s="140">
        <v>42184</v>
      </c>
      <c r="C359" s="141" t="s">
        <v>368</v>
      </c>
      <c r="D359" s="140">
        <f t="shared" si="16"/>
        <v>42184</v>
      </c>
      <c r="E359" s="142" t="s">
        <v>878</v>
      </c>
      <c r="F359" s="142"/>
      <c r="G359" s="143" t="s">
        <v>34</v>
      </c>
      <c r="H359" s="144"/>
      <c r="I359" s="144">
        <v>50050000</v>
      </c>
      <c r="J359" s="145">
        <f t="shared" si="17"/>
        <v>182695380</v>
      </c>
      <c r="K359" s="145"/>
    </row>
    <row r="360" spans="1:11" s="125" customFormat="1" ht="17.25" customHeight="1">
      <c r="A360" s="125">
        <f t="shared" si="9"/>
        <v>6</v>
      </c>
      <c r="B360" s="140">
        <v>42184</v>
      </c>
      <c r="C360" s="141" t="s">
        <v>368</v>
      </c>
      <c r="D360" s="140">
        <f t="shared" si="16"/>
        <v>42184</v>
      </c>
      <c r="E360" s="142" t="s">
        <v>415</v>
      </c>
      <c r="F360" s="142"/>
      <c r="G360" s="143" t="s">
        <v>94</v>
      </c>
      <c r="H360" s="144"/>
      <c r="I360" s="144">
        <v>20000</v>
      </c>
      <c r="J360" s="145">
        <f t="shared" si="17"/>
        <v>182675380</v>
      </c>
      <c r="K360" s="145"/>
    </row>
    <row r="361" spans="1:11" s="125" customFormat="1" ht="17.25" customHeight="1">
      <c r="A361" s="125">
        <f t="shared" si="9"/>
        <v>6</v>
      </c>
      <c r="B361" s="140">
        <v>42184</v>
      </c>
      <c r="C361" s="141" t="s">
        <v>368</v>
      </c>
      <c r="D361" s="140">
        <f t="shared" si="16"/>
        <v>42184</v>
      </c>
      <c r="E361" s="142" t="s">
        <v>416</v>
      </c>
      <c r="F361" s="142"/>
      <c r="G361" s="143" t="s">
        <v>35</v>
      </c>
      <c r="H361" s="144"/>
      <c r="I361" s="144">
        <v>2000</v>
      </c>
      <c r="J361" s="145">
        <f t="shared" si="17"/>
        <v>182673380</v>
      </c>
      <c r="K361" s="145"/>
    </row>
    <row r="362" spans="1:11" s="125" customFormat="1" ht="17.25" customHeight="1">
      <c r="A362" s="125">
        <f t="shared" si="9"/>
        <v>7</v>
      </c>
      <c r="B362" s="140">
        <v>42186</v>
      </c>
      <c r="C362" s="141" t="s">
        <v>368</v>
      </c>
      <c r="D362" s="140">
        <f t="shared" si="16"/>
        <v>42186</v>
      </c>
      <c r="E362" s="142" t="s">
        <v>62</v>
      </c>
      <c r="F362" s="142"/>
      <c r="G362" s="143" t="s">
        <v>367</v>
      </c>
      <c r="H362" s="144"/>
      <c r="I362" s="144">
        <v>160000000</v>
      </c>
      <c r="J362" s="145">
        <f t="shared" si="17"/>
        <v>22673380</v>
      </c>
      <c r="K362" s="145"/>
    </row>
    <row r="363" spans="1:11" s="125" customFormat="1" ht="17.25" customHeight="1">
      <c r="A363" s="125">
        <f t="shared" si="9"/>
        <v>7</v>
      </c>
      <c r="B363" s="140">
        <v>42186</v>
      </c>
      <c r="C363" s="141" t="s">
        <v>368</v>
      </c>
      <c r="D363" s="140">
        <f t="shared" si="16"/>
        <v>42186</v>
      </c>
      <c r="E363" s="142" t="s">
        <v>394</v>
      </c>
      <c r="F363" s="142"/>
      <c r="G363" s="143" t="s">
        <v>94</v>
      </c>
      <c r="H363" s="144"/>
      <c r="I363" s="144">
        <v>100000</v>
      </c>
      <c r="J363" s="145">
        <f t="shared" si="17"/>
        <v>22573380</v>
      </c>
      <c r="K363" s="145"/>
    </row>
    <row r="364" spans="1:11" s="125" customFormat="1" ht="17.25" customHeight="1">
      <c r="A364" s="125">
        <f t="shared" si="9"/>
        <v>7</v>
      </c>
      <c r="B364" s="140">
        <v>42186</v>
      </c>
      <c r="C364" s="141" t="s">
        <v>368</v>
      </c>
      <c r="D364" s="140">
        <f t="shared" ref="D364" si="20">IF(B364&lt;&gt;"",B364,"")</f>
        <v>42186</v>
      </c>
      <c r="E364" s="142" t="s">
        <v>395</v>
      </c>
      <c r="F364" s="142"/>
      <c r="G364" s="143" t="s">
        <v>35</v>
      </c>
      <c r="H364" s="144"/>
      <c r="I364" s="144">
        <v>10000</v>
      </c>
      <c r="J364" s="145">
        <f t="shared" si="17"/>
        <v>22563380</v>
      </c>
      <c r="K364" s="145"/>
    </row>
    <row r="365" spans="1:11" s="125" customFormat="1" ht="17.25" customHeight="1">
      <c r="A365" s="125">
        <f t="shared" si="9"/>
        <v>7</v>
      </c>
      <c r="B365" s="140">
        <v>42192</v>
      </c>
      <c r="C365" s="141" t="s">
        <v>371</v>
      </c>
      <c r="D365" s="140">
        <f t="shared" si="16"/>
        <v>42192</v>
      </c>
      <c r="E365" s="142" t="s">
        <v>71</v>
      </c>
      <c r="F365" s="142"/>
      <c r="G365" s="143" t="s">
        <v>367</v>
      </c>
      <c r="H365" s="144">
        <v>10000000</v>
      </c>
      <c r="I365" s="144"/>
      <c r="J365" s="145">
        <f t="shared" si="17"/>
        <v>32563380</v>
      </c>
      <c r="K365" s="145"/>
    </row>
    <row r="366" spans="1:11" s="125" customFormat="1" ht="17.25" customHeight="1">
      <c r="A366" s="125">
        <f t="shared" si="9"/>
        <v>7</v>
      </c>
      <c r="B366" s="140">
        <v>42192</v>
      </c>
      <c r="C366" s="141" t="s">
        <v>368</v>
      </c>
      <c r="D366" s="140">
        <f t="shared" si="16"/>
        <v>42192</v>
      </c>
      <c r="E366" s="142" t="s">
        <v>851</v>
      </c>
      <c r="F366" s="142"/>
      <c r="G366" s="143" t="s">
        <v>34</v>
      </c>
      <c r="H366" s="144"/>
      <c r="I366" s="144">
        <v>30196210</v>
      </c>
      <c r="J366" s="145">
        <f t="shared" si="17"/>
        <v>2367170</v>
      </c>
      <c r="K366" s="145"/>
    </row>
    <row r="367" spans="1:11" s="125" customFormat="1" ht="17.25" customHeight="1">
      <c r="A367" s="125">
        <f t="shared" ref="A367:A368" si="21">IF(B367&lt;&gt;"",MONTH(B367),"")</f>
        <v>7</v>
      </c>
      <c r="B367" s="140">
        <v>42192</v>
      </c>
      <c r="C367" s="141" t="s">
        <v>368</v>
      </c>
      <c r="D367" s="140">
        <f t="shared" ref="D367:D368" si="22">IF(B367&lt;&gt;"",B367,"")</f>
        <v>42192</v>
      </c>
      <c r="E367" s="142" t="s">
        <v>857</v>
      </c>
      <c r="F367" s="142"/>
      <c r="G367" s="143" t="s">
        <v>94</v>
      </c>
      <c r="H367" s="144"/>
      <c r="I367" s="144">
        <v>45000</v>
      </c>
      <c r="J367" s="145">
        <f t="shared" si="17"/>
        <v>2322170</v>
      </c>
      <c r="K367" s="145"/>
    </row>
    <row r="368" spans="1:11" s="125" customFormat="1" ht="17.25" customHeight="1">
      <c r="A368" s="125">
        <f t="shared" si="21"/>
        <v>7</v>
      </c>
      <c r="B368" s="140">
        <v>42192</v>
      </c>
      <c r="C368" s="141" t="s">
        <v>368</v>
      </c>
      <c r="D368" s="140">
        <f t="shared" si="22"/>
        <v>42192</v>
      </c>
      <c r="E368" s="142" t="s">
        <v>858</v>
      </c>
      <c r="F368" s="142"/>
      <c r="G368" s="143">
        <v>1331</v>
      </c>
      <c r="H368" s="144"/>
      <c r="I368" s="144">
        <v>4500</v>
      </c>
      <c r="J368" s="145">
        <f t="shared" si="17"/>
        <v>2317670</v>
      </c>
      <c r="K368" s="145"/>
    </row>
    <row r="369" spans="1:11" s="125" customFormat="1" ht="17.25" customHeight="1">
      <c r="A369" s="125">
        <f t="shared" si="9"/>
        <v>7</v>
      </c>
      <c r="B369" s="140">
        <v>42193</v>
      </c>
      <c r="C369" s="141" t="s">
        <v>371</v>
      </c>
      <c r="D369" s="140">
        <f t="shared" si="16"/>
        <v>42193</v>
      </c>
      <c r="E369" s="142" t="s">
        <v>372</v>
      </c>
      <c r="F369" s="142"/>
      <c r="G369" s="143" t="s">
        <v>370</v>
      </c>
      <c r="H369" s="144">
        <v>811332000</v>
      </c>
      <c r="I369" s="144"/>
      <c r="J369" s="145">
        <f t="shared" si="17"/>
        <v>813649670</v>
      </c>
      <c r="K369" s="145"/>
    </row>
    <row r="370" spans="1:11" s="125" customFormat="1" ht="17.25" customHeight="1">
      <c r="A370" s="125">
        <f t="shared" si="9"/>
        <v>7</v>
      </c>
      <c r="B370" s="140">
        <v>42194</v>
      </c>
      <c r="C370" s="141" t="s">
        <v>368</v>
      </c>
      <c r="D370" s="140">
        <f t="shared" si="16"/>
        <v>42194</v>
      </c>
      <c r="E370" s="142" t="s">
        <v>62</v>
      </c>
      <c r="F370" s="142"/>
      <c r="G370" s="143" t="s">
        <v>367</v>
      </c>
      <c r="H370" s="144"/>
      <c r="I370" s="144">
        <v>800000000</v>
      </c>
      <c r="J370" s="145">
        <f t="shared" si="17"/>
        <v>13649670</v>
      </c>
      <c r="K370" s="145"/>
    </row>
    <row r="371" spans="1:11" s="125" customFormat="1" ht="17.25" customHeight="1">
      <c r="A371" s="125">
        <f t="shared" si="9"/>
        <v>7</v>
      </c>
      <c r="B371" s="140">
        <v>42202</v>
      </c>
      <c r="C371" s="141" t="s">
        <v>371</v>
      </c>
      <c r="D371" s="140">
        <f t="shared" si="16"/>
        <v>42202</v>
      </c>
      <c r="E371" s="142" t="s">
        <v>71</v>
      </c>
      <c r="F371" s="142"/>
      <c r="G371" s="143" t="s">
        <v>367</v>
      </c>
      <c r="H371" s="144">
        <v>500000000</v>
      </c>
      <c r="I371" s="144"/>
      <c r="J371" s="145">
        <f t="shared" si="17"/>
        <v>513649670</v>
      </c>
      <c r="K371" s="145"/>
    </row>
    <row r="372" spans="1:11" s="125" customFormat="1" ht="17.25" customHeight="1">
      <c r="A372" s="125">
        <f t="shared" si="9"/>
        <v>7</v>
      </c>
      <c r="B372" s="140">
        <v>42202</v>
      </c>
      <c r="C372" s="141" t="s">
        <v>371</v>
      </c>
      <c r="D372" s="140">
        <f t="shared" ref="D372" si="23">IF(B372&lt;&gt;"",B372,"")</f>
        <v>42202</v>
      </c>
      <c r="E372" s="142" t="s">
        <v>71</v>
      </c>
      <c r="F372" s="142"/>
      <c r="G372" s="143" t="s">
        <v>367</v>
      </c>
      <c r="H372" s="305">
        <v>1000000000</v>
      </c>
      <c r="I372" s="144"/>
      <c r="J372" s="145">
        <f t="shared" si="17"/>
        <v>1513649670</v>
      </c>
      <c r="K372" s="145"/>
    </row>
    <row r="373" spans="1:11" s="125" customFormat="1" ht="17.25" customHeight="1">
      <c r="A373" s="125">
        <f t="shared" si="9"/>
        <v>7</v>
      </c>
      <c r="B373" s="140">
        <v>42203</v>
      </c>
      <c r="C373" s="141" t="s">
        <v>368</v>
      </c>
      <c r="D373" s="140">
        <f t="shared" si="16"/>
        <v>42203</v>
      </c>
      <c r="E373" s="142" t="s">
        <v>463</v>
      </c>
      <c r="F373" s="142"/>
      <c r="G373" s="143" t="s">
        <v>374</v>
      </c>
      <c r="H373" s="144"/>
      <c r="I373" s="144">
        <v>8559320</v>
      </c>
      <c r="J373" s="145">
        <f t="shared" si="17"/>
        <v>1505090350</v>
      </c>
      <c r="K373" s="145"/>
    </row>
    <row r="374" spans="1:11" s="125" customFormat="1" ht="17.25" customHeight="1">
      <c r="A374" s="125">
        <f t="shared" si="9"/>
        <v>7</v>
      </c>
      <c r="B374" s="140">
        <v>42203</v>
      </c>
      <c r="C374" s="141" t="s">
        <v>368</v>
      </c>
      <c r="D374" s="140">
        <f t="shared" ref="D374:D378" si="24">IF(B374&lt;&gt;"",B374,"")</f>
        <v>42203</v>
      </c>
      <c r="E374" s="142" t="s">
        <v>707</v>
      </c>
      <c r="F374" s="142"/>
      <c r="G374" s="143" t="s">
        <v>374</v>
      </c>
      <c r="H374" s="144"/>
      <c r="I374" s="144">
        <v>7081746</v>
      </c>
      <c r="J374" s="145">
        <f t="shared" si="17"/>
        <v>1498008604</v>
      </c>
      <c r="K374" s="145"/>
    </row>
    <row r="375" spans="1:11" s="125" customFormat="1" ht="17.25" customHeight="1">
      <c r="A375" s="125">
        <f t="shared" si="9"/>
        <v>7</v>
      </c>
      <c r="B375" s="140">
        <v>42203</v>
      </c>
      <c r="C375" s="141" t="s">
        <v>368</v>
      </c>
      <c r="D375" s="140">
        <f t="shared" si="24"/>
        <v>42203</v>
      </c>
      <c r="E375" s="142" t="s">
        <v>818</v>
      </c>
      <c r="F375" s="142"/>
      <c r="G375" s="143" t="s">
        <v>374</v>
      </c>
      <c r="H375" s="144"/>
      <c r="I375" s="144">
        <v>6550500</v>
      </c>
      <c r="J375" s="145">
        <f t="shared" si="17"/>
        <v>1491458104</v>
      </c>
      <c r="K375" s="145"/>
    </row>
    <row r="376" spans="1:11" s="125" customFormat="1" ht="17.25" customHeight="1">
      <c r="A376" s="125">
        <f t="shared" si="9"/>
        <v>7</v>
      </c>
      <c r="B376" s="140">
        <v>42203</v>
      </c>
      <c r="C376" s="141" t="s">
        <v>368</v>
      </c>
      <c r="D376" s="140">
        <f t="shared" si="24"/>
        <v>42203</v>
      </c>
      <c r="E376" s="142" t="s">
        <v>709</v>
      </c>
      <c r="F376" s="142"/>
      <c r="G376" s="143" t="s">
        <v>374</v>
      </c>
      <c r="H376" s="144"/>
      <c r="I376" s="144">
        <v>6514036</v>
      </c>
      <c r="J376" s="145">
        <f t="shared" si="17"/>
        <v>1484944068</v>
      </c>
      <c r="K376" s="145"/>
    </row>
    <row r="377" spans="1:11" s="125" customFormat="1" ht="17.25" customHeight="1">
      <c r="A377" s="125">
        <f t="shared" ref="A377:A443" si="25">IF(B377&lt;&gt;"",MONTH(B377),"")</f>
        <v>7</v>
      </c>
      <c r="B377" s="140">
        <v>42203</v>
      </c>
      <c r="C377" s="141" t="s">
        <v>368</v>
      </c>
      <c r="D377" s="140">
        <f t="shared" si="24"/>
        <v>42203</v>
      </c>
      <c r="E377" s="142" t="s">
        <v>852</v>
      </c>
      <c r="F377" s="142"/>
      <c r="G377" s="143" t="s">
        <v>374</v>
      </c>
      <c r="H377" s="144"/>
      <c r="I377" s="144">
        <v>8653866</v>
      </c>
      <c r="J377" s="145">
        <f t="shared" si="17"/>
        <v>1476290202</v>
      </c>
      <c r="K377" s="145"/>
    </row>
    <row r="378" spans="1:11" s="125" customFormat="1" ht="17.25" customHeight="1">
      <c r="A378" s="125">
        <f t="shared" si="25"/>
        <v>7</v>
      </c>
      <c r="B378" s="140">
        <v>42203</v>
      </c>
      <c r="C378" s="141" t="s">
        <v>368</v>
      </c>
      <c r="D378" s="140">
        <f t="shared" si="24"/>
        <v>42203</v>
      </c>
      <c r="E378" s="142" t="s">
        <v>853</v>
      </c>
      <c r="F378" s="142"/>
      <c r="G378" s="143" t="s">
        <v>374</v>
      </c>
      <c r="H378" s="144"/>
      <c r="I378" s="144">
        <v>10205461</v>
      </c>
      <c r="J378" s="145">
        <f t="shared" si="17"/>
        <v>1466084741</v>
      </c>
      <c r="K378" s="145"/>
    </row>
    <row r="379" spans="1:11" s="125" customFormat="1" ht="17.25" customHeight="1">
      <c r="A379" s="125">
        <f t="shared" si="25"/>
        <v>7</v>
      </c>
      <c r="B379" s="140">
        <v>42205</v>
      </c>
      <c r="C379" s="141" t="s">
        <v>371</v>
      </c>
      <c r="D379" s="140">
        <f t="shared" si="16"/>
        <v>42205</v>
      </c>
      <c r="E379" s="142" t="s">
        <v>71</v>
      </c>
      <c r="F379" s="142"/>
      <c r="G379" s="143" t="s">
        <v>367</v>
      </c>
      <c r="H379" s="305">
        <v>200000000</v>
      </c>
      <c r="I379" s="144"/>
      <c r="J379" s="145">
        <f t="shared" si="17"/>
        <v>1666084741</v>
      </c>
      <c r="K379" s="145"/>
    </row>
    <row r="380" spans="1:11" s="125" customFormat="1" ht="17.25" customHeight="1">
      <c r="A380" s="125">
        <f t="shared" si="25"/>
        <v>7</v>
      </c>
      <c r="B380" s="140">
        <v>42205</v>
      </c>
      <c r="C380" s="141" t="s">
        <v>371</v>
      </c>
      <c r="D380" s="140">
        <f t="shared" ref="D380" si="26">IF(B380&lt;&gt;"",B380,"")</f>
        <v>42205</v>
      </c>
      <c r="E380" s="142" t="s">
        <v>71</v>
      </c>
      <c r="F380" s="142"/>
      <c r="G380" s="143" t="s">
        <v>367</v>
      </c>
      <c r="H380" s="144">
        <v>500000000</v>
      </c>
      <c r="I380" s="144"/>
      <c r="J380" s="145">
        <f t="shared" si="17"/>
        <v>2166084741</v>
      </c>
      <c r="K380" s="145"/>
    </row>
    <row r="381" spans="1:11" s="125" customFormat="1" ht="17.25" customHeight="1">
      <c r="A381" s="125">
        <f t="shared" si="25"/>
        <v>7</v>
      </c>
      <c r="B381" s="140">
        <v>42205</v>
      </c>
      <c r="C381" s="141" t="s">
        <v>368</v>
      </c>
      <c r="D381" s="140">
        <f t="shared" si="16"/>
        <v>42205</v>
      </c>
      <c r="E381" s="142" t="s">
        <v>677</v>
      </c>
      <c r="F381" s="142"/>
      <c r="G381" s="143" t="s">
        <v>370</v>
      </c>
      <c r="H381" s="144"/>
      <c r="I381" s="144">
        <v>2138850000</v>
      </c>
      <c r="J381" s="145">
        <f t="shared" si="17"/>
        <v>27234741</v>
      </c>
      <c r="K381" s="145"/>
    </row>
    <row r="382" spans="1:11" s="125" customFormat="1" ht="17.25" customHeight="1">
      <c r="A382" s="125">
        <f t="shared" si="25"/>
        <v>7</v>
      </c>
      <c r="B382" s="140">
        <v>42205</v>
      </c>
      <c r="C382" s="141" t="s">
        <v>368</v>
      </c>
      <c r="D382" s="140">
        <f t="shared" si="16"/>
        <v>42205</v>
      </c>
      <c r="E382" s="142" t="s">
        <v>854</v>
      </c>
      <c r="F382" s="142"/>
      <c r="G382" s="143" t="s">
        <v>374</v>
      </c>
      <c r="H382" s="144"/>
      <c r="I382" s="144">
        <v>570679</v>
      </c>
      <c r="J382" s="145">
        <f t="shared" si="17"/>
        <v>26664062</v>
      </c>
      <c r="K382" s="145"/>
    </row>
    <row r="383" spans="1:11" s="125" customFormat="1" ht="17.25" customHeight="1">
      <c r="A383" s="125">
        <f t="shared" si="25"/>
        <v>7</v>
      </c>
      <c r="B383" s="140">
        <v>42205</v>
      </c>
      <c r="C383" s="141" t="s">
        <v>371</v>
      </c>
      <c r="D383" s="140">
        <f t="shared" si="16"/>
        <v>42205</v>
      </c>
      <c r="E383" s="142" t="s">
        <v>372</v>
      </c>
      <c r="F383" s="142"/>
      <c r="G383" s="143" t="s">
        <v>370</v>
      </c>
      <c r="H383" s="144">
        <v>2116540000</v>
      </c>
      <c r="I383" s="144"/>
      <c r="J383" s="145">
        <f t="shared" si="17"/>
        <v>2143204062</v>
      </c>
      <c r="K383" s="145"/>
    </row>
    <row r="384" spans="1:11" s="125" customFormat="1" ht="17.25" customHeight="1">
      <c r="A384" s="125">
        <f t="shared" si="25"/>
        <v>7</v>
      </c>
      <c r="B384" s="140">
        <v>42205</v>
      </c>
      <c r="C384" s="141" t="s">
        <v>368</v>
      </c>
      <c r="D384" s="140">
        <f t="shared" si="16"/>
        <v>42205</v>
      </c>
      <c r="E384" s="142" t="s">
        <v>62</v>
      </c>
      <c r="F384" s="142"/>
      <c r="G384" s="143" t="s">
        <v>367</v>
      </c>
      <c r="H384" s="144"/>
      <c r="I384" s="144">
        <v>2100000000</v>
      </c>
      <c r="J384" s="145">
        <f t="shared" si="17"/>
        <v>43204062</v>
      </c>
      <c r="K384" s="145"/>
    </row>
    <row r="385" spans="1:11" s="125" customFormat="1" ht="17.25" customHeight="1">
      <c r="A385" s="125">
        <f t="shared" si="25"/>
        <v>7</v>
      </c>
      <c r="B385" s="140">
        <v>42206</v>
      </c>
      <c r="C385" s="141" t="s">
        <v>368</v>
      </c>
      <c r="D385" s="140">
        <f t="shared" si="16"/>
        <v>42206</v>
      </c>
      <c r="E385" s="142" t="s">
        <v>420</v>
      </c>
      <c r="F385" s="142"/>
      <c r="G385" s="143" t="s">
        <v>36</v>
      </c>
      <c r="H385" s="144"/>
      <c r="I385" s="144">
        <v>20000000</v>
      </c>
      <c r="J385" s="145">
        <f t="shared" si="17"/>
        <v>23204062</v>
      </c>
      <c r="K385" s="145"/>
    </row>
    <row r="386" spans="1:11" s="125" customFormat="1" ht="17.25" customHeight="1">
      <c r="A386" s="125">
        <f t="shared" si="25"/>
        <v>7</v>
      </c>
      <c r="B386" s="140">
        <v>42208</v>
      </c>
      <c r="C386" s="141" t="s">
        <v>371</v>
      </c>
      <c r="D386" s="140">
        <f t="shared" si="16"/>
        <v>42208</v>
      </c>
      <c r="E386" s="142" t="s">
        <v>71</v>
      </c>
      <c r="F386" s="142"/>
      <c r="G386" s="143" t="s">
        <v>367</v>
      </c>
      <c r="H386" s="144">
        <v>20000000</v>
      </c>
      <c r="I386" s="144"/>
      <c r="J386" s="145">
        <f t="shared" si="17"/>
        <v>43204062</v>
      </c>
      <c r="K386" s="145"/>
    </row>
    <row r="387" spans="1:11" s="125" customFormat="1" ht="17.25" customHeight="1">
      <c r="A387" s="125">
        <f t="shared" si="25"/>
        <v>7</v>
      </c>
      <c r="B387" s="140">
        <v>42208</v>
      </c>
      <c r="C387" s="141" t="s">
        <v>368</v>
      </c>
      <c r="D387" s="140">
        <f t="shared" si="16"/>
        <v>42208</v>
      </c>
      <c r="E387" s="142" t="s">
        <v>855</v>
      </c>
      <c r="F387" s="142"/>
      <c r="G387" s="143" t="s">
        <v>34</v>
      </c>
      <c r="H387" s="144"/>
      <c r="I387" s="144">
        <v>31774160</v>
      </c>
      <c r="J387" s="145">
        <f t="shared" si="17"/>
        <v>11429902</v>
      </c>
      <c r="K387" s="145"/>
    </row>
    <row r="388" spans="1:11" s="125" customFormat="1" ht="17.25" customHeight="1">
      <c r="A388" s="125">
        <f t="shared" ref="A388:A389" si="27">IF(B388&lt;&gt;"",MONTH(B388),"")</f>
        <v>7</v>
      </c>
      <c r="B388" s="140">
        <v>42208</v>
      </c>
      <c r="C388" s="141" t="s">
        <v>368</v>
      </c>
      <c r="D388" s="140">
        <f t="shared" ref="D388:D389" si="28">IF(B388&lt;&gt;"",B388,"")</f>
        <v>42208</v>
      </c>
      <c r="E388" s="142" t="s">
        <v>857</v>
      </c>
      <c r="F388" s="142"/>
      <c r="G388" s="143" t="s">
        <v>94</v>
      </c>
      <c r="H388" s="144"/>
      <c r="I388" s="144">
        <v>45000</v>
      </c>
      <c r="J388" s="145">
        <f t="shared" si="17"/>
        <v>11384902</v>
      </c>
      <c r="K388" s="145"/>
    </row>
    <row r="389" spans="1:11" s="125" customFormat="1" ht="17.25" customHeight="1">
      <c r="A389" s="125">
        <f t="shared" si="27"/>
        <v>7</v>
      </c>
      <c r="B389" s="140">
        <v>42208</v>
      </c>
      <c r="C389" s="141" t="s">
        <v>368</v>
      </c>
      <c r="D389" s="140">
        <f t="shared" si="28"/>
        <v>42208</v>
      </c>
      <c r="E389" s="142" t="s">
        <v>858</v>
      </c>
      <c r="F389" s="142"/>
      <c r="G389" s="143" t="s">
        <v>35</v>
      </c>
      <c r="H389" s="144"/>
      <c r="I389" s="144">
        <v>4500</v>
      </c>
      <c r="J389" s="145">
        <f t="shared" si="17"/>
        <v>11380402</v>
      </c>
      <c r="K389" s="145"/>
    </row>
    <row r="390" spans="1:11" s="125" customFormat="1" ht="17.25" customHeight="1">
      <c r="A390" s="125">
        <f t="shared" si="25"/>
        <v>7</v>
      </c>
      <c r="B390" s="140">
        <v>42209</v>
      </c>
      <c r="C390" s="141" t="s">
        <v>371</v>
      </c>
      <c r="D390" s="140">
        <f t="shared" si="16"/>
        <v>42209</v>
      </c>
      <c r="E390" s="142" t="s">
        <v>412</v>
      </c>
      <c r="F390" s="142"/>
      <c r="G390" s="143" t="s">
        <v>38</v>
      </c>
      <c r="H390" s="144">
        <v>19644900</v>
      </c>
      <c r="I390" s="144"/>
      <c r="J390" s="145">
        <f t="shared" si="17"/>
        <v>31025302</v>
      </c>
      <c r="K390" s="145"/>
    </row>
    <row r="391" spans="1:11" s="125" customFormat="1" ht="17.25" customHeight="1">
      <c r="A391" s="125">
        <f t="shared" si="25"/>
        <v>7</v>
      </c>
      <c r="B391" s="140">
        <v>42209</v>
      </c>
      <c r="C391" s="141" t="s">
        <v>371</v>
      </c>
      <c r="D391" s="140">
        <f t="shared" si="16"/>
        <v>42209</v>
      </c>
      <c r="E391" s="142" t="s">
        <v>413</v>
      </c>
      <c r="F391" s="142"/>
      <c r="G391" s="143" t="s">
        <v>414</v>
      </c>
      <c r="H391" s="144">
        <v>54354</v>
      </c>
      <c r="I391" s="144"/>
      <c r="J391" s="145">
        <f t="shared" si="17"/>
        <v>31079656</v>
      </c>
      <c r="K391" s="145"/>
    </row>
    <row r="392" spans="1:11" s="125" customFormat="1" ht="17.25" customHeight="1">
      <c r="A392" s="125">
        <f t="shared" si="25"/>
        <v>7</v>
      </c>
      <c r="B392" s="140">
        <v>42212</v>
      </c>
      <c r="C392" s="141" t="s">
        <v>371</v>
      </c>
      <c r="D392" s="140">
        <f t="shared" si="16"/>
        <v>42212</v>
      </c>
      <c r="E392" s="142" t="s">
        <v>372</v>
      </c>
      <c r="F392" s="142"/>
      <c r="G392" s="143" t="s">
        <v>370</v>
      </c>
      <c r="H392" s="144">
        <v>1389742900</v>
      </c>
      <c r="I392" s="144"/>
      <c r="J392" s="145">
        <f t="shared" si="17"/>
        <v>1420822556</v>
      </c>
      <c r="K392" s="145"/>
    </row>
    <row r="393" spans="1:11" s="125" customFormat="1" ht="17.25" customHeight="1">
      <c r="A393" s="125">
        <f t="shared" si="25"/>
        <v>7</v>
      </c>
      <c r="B393" s="140">
        <v>42213</v>
      </c>
      <c r="C393" s="141" t="s">
        <v>368</v>
      </c>
      <c r="D393" s="140">
        <f t="shared" si="16"/>
        <v>42213</v>
      </c>
      <c r="E393" s="142" t="s">
        <v>62</v>
      </c>
      <c r="F393" s="142"/>
      <c r="G393" s="143" t="s">
        <v>367</v>
      </c>
      <c r="H393" s="144"/>
      <c r="I393" s="144">
        <v>1000000000</v>
      </c>
      <c r="J393" s="145">
        <f t="shared" si="17"/>
        <v>420822556</v>
      </c>
      <c r="K393" s="145"/>
    </row>
    <row r="394" spans="1:11" s="125" customFormat="1" ht="17.25" customHeight="1">
      <c r="A394" s="125">
        <f t="shared" si="25"/>
        <v>7</v>
      </c>
      <c r="B394" s="140">
        <v>42213</v>
      </c>
      <c r="C394" s="141" t="s">
        <v>368</v>
      </c>
      <c r="D394" s="140">
        <f t="shared" si="16"/>
        <v>42213</v>
      </c>
      <c r="E394" s="142" t="s">
        <v>856</v>
      </c>
      <c r="F394" s="142"/>
      <c r="G394" s="143" t="s">
        <v>34</v>
      </c>
      <c r="H394" s="144"/>
      <c r="I394" s="144">
        <v>3985000</v>
      </c>
      <c r="J394" s="145">
        <f t="shared" si="17"/>
        <v>416837556</v>
      </c>
      <c r="K394" s="145"/>
    </row>
    <row r="395" spans="1:11" s="125" customFormat="1" ht="17.25" customHeight="1">
      <c r="A395" s="125">
        <f t="shared" si="25"/>
        <v>7</v>
      </c>
      <c r="B395" s="140">
        <v>42213</v>
      </c>
      <c r="C395" s="141" t="s">
        <v>368</v>
      </c>
      <c r="D395" s="140">
        <f t="shared" ref="D395:D396" si="29">IF(B395&lt;&gt;"",B395,"")</f>
        <v>42213</v>
      </c>
      <c r="E395" s="142" t="s">
        <v>857</v>
      </c>
      <c r="F395" s="142"/>
      <c r="G395" s="143" t="s">
        <v>94</v>
      </c>
      <c r="H395" s="144"/>
      <c r="I395" s="144">
        <v>20000</v>
      </c>
      <c r="J395" s="145">
        <f t="shared" si="17"/>
        <v>416817556</v>
      </c>
      <c r="K395" s="145"/>
    </row>
    <row r="396" spans="1:11" s="125" customFormat="1" ht="17.25" customHeight="1">
      <c r="A396" s="125">
        <f t="shared" si="25"/>
        <v>7</v>
      </c>
      <c r="B396" s="140">
        <v>42213</v>
      </c>
      <c r="C396" s="141" t="s">
        <v>368</v>
      </c>
      <c r="D396" s="140">
        <f t="shared" si="29"/>
        <v>42213</v>
      </c>
      <c r="E396" s="142" t="s">
        <v>858</v>
      </c>
      <c r="F396" s="142"/>
      <c r="G396" s="143" t="s">
        <v>35</v>
      </c>
      <c r="H396" s="144"/>
      <c r="I396" s="144">
        <v>2000</v>
      </c>
      <c r="J396" s="145">
        <f t="shared" si="17"/>
        <v>416815556</v>
      </c>
      <c r="K396" s="145"/>
    </row>
    <row r="397" spans="1:11" s="125" customFormat="1" ht="17.25" customHeight="1">
      <c r="A397" s="125">
        <f t="shared" si="25"/>
        <v>7</v>
      </c>
      <c r="B397" s="140">
        <v>42213</v>
      </c>
      <c r="C397" s="141" t="s">
        <v>368</v>
      </c>
      <c r="D397" s="140">
        <f t="shared" si="16"/>
        <v>42213</v>
      </c>
      <c r="E397" s="142" t="s">
        <v>859</v>
      </c>
      <c r="F397" s="142"/>
      <c r="G397" s="143" t="s">
        <v>34</v>
      </c>
      <c r="H397" s="144"/>
      <c r="I397" s="144">
        <v>25801050</v>
      </c>
      <c r="J397" s="145">
        <f t="shared" si="17"/>
        <v>391014506</v>
      </c>
      <c r="K397" s="145"/>
    </row>
    <row r="398" spans="1:11" s="125" customFormat="1" ht="17.25" customHeight="1">
      <c r="A398" s="125">
        <f t="shared" si="25"/>
        <v>7</v>
      </c>
      <c r="B398" s="140">
        <v>42213</v>
      </c>
      <c r="C398" s="141" t="s">
        <v>368</v>
      </c>
      <c r="D398" s="140">
        <f t="shared" ref="D398:D399" si="30">IF(B398&lt;&gt;"",B398,"")</f>
        <v>42213</v>
      </c>
      <c r="E398" s="142" t="s">
        <v>857</v>
      </c>
      <c r="F398" s="142"/>
      <c r="G398" s="143" t="s">
        <v>94</v>
      </c>
      <c r="H398" s="144"/>
      <c r="I398" s="144">
        <v>25000</v>
      </c>
      <c r="J398" s="145">
        <f t="shared" si="17"/>
        <v>390989506</v>
      </c>
      <c r="K398" s="145"/>
    </row>
    <row r="399" spans="1:11" s="125" customFormat="1" ht="17.25" customHeight="1">
      <c r="A399" s="125">
        <f t="shared" si="25"/>
        <v>7</v>
      </c>
      <c r="B399" s="140">
        <v>42213</v>
      </c>
      <c r="C399" s="141" t="s">
        <v>368</v>
      </c>
      <c r="D399" s="140">
        <f t="shared" si="30"/>
        <v>42213</v>
      </c>
      <c r="E399" s="142" t="s">
        <v>858</v>
      </c>
      <c r="F399" s="142"/>
      <c r="G399" s="143" t="s">
        <v>35</v>
      </c>
      <c r="H399" s="144"/>
      <c r="I399" s="144">
        <v>2500</v>
      </c>
      <c r="J399" s="145">
        <f t="shared" si="17"/>
        <v>390987006</v>
      </c>
      <c r="K399" s="145"/>
    </row>
    <row r="400" spans="1:11" s="302" customFormat="1" ht="17.25" customHeight="1">
      <c r="A400" s="302">
        <f t="shared" si="25"/>
        <v>7</v>
      </c>
      <c r="B400" s="303">
        <v>42213</v>
      </c>
      <c r="C400" s="301" t="s">
        <v>368</v>
      </c>
      <c r="D400" s="303">
        <f t="shared" ref="D400:D402" si="31">IF(B400&lt;&gt;"",B400,"")</f>
        <v>42213</v>
      </c>
      <c r="E400" s="291" t="s">
        <v>402</v>
      </c>
      <c r="F400" s="291"/>
      <c r="G400" s="304" t="s">
        <v>38</v>
      </c>
      <c r="H400" s="305"/>
      <c r="I400" s="305">
        <v>40062670</v>
      </c>
      <c r="J400" s="306">
        <f t="shared" si="17"/>
        <v>350924336</v>
      </c>
      <c r="K400" s="306"/>
    </row>
    <row r="401" spans="1:11" s="302" customFormat="1" ht="17.25" customHeight="1">
      <c r="A401" s="302">
        <f t="shared" si="25"/>
        <v>7</v>
      </c>
      <c r="B401" s="303">
        <v>42213</v>
      </c>
      <c r="C401" s="301" t="s">
        <v>368</v>
      </c>
      <c r="D401" s="303">
        <f t="shared" si="31"/>
        <v>42213</v>
      </c>
      <c r="E401" s="291" t="s">
        <v>404</v>
      </c>
      <c r="F401" s="291"/>
      <c r="G401" s="304" t="s">
        <v>406</v>
      </c>
      <c r="H401" s="305"/>
      <c r="I401" s="305">
        <v>6879690</v>
      </c>
      <c r="J401" s="306">
        <f t="shared" si="17"/>
        <v>344044646</v>
      </c>
      <c r="K401" s="306"/>
    </row>
    <row r="402" spans="1:11" s="302" customFormat="1" ht="17.25" customHeight="1">
      <c r="A402" s="302">
        <f t="shared" si="25"/>
        <v>7</v>
      </c>
      <c r="B402" s="303">
        <v>42213</v>
      </c>
      <c r="C402" s="301" t="s">
        <v>368</v>
      </c>
      <c r="D402" s="303">
        <f t="shared" si="31"/>
        <v>42213</v>
      </c>
      <c r="E402" s="291" t="s">
        <v>407</v>
      </c>
      <c r="F402" s="291"/>
      <c r="G402" s="304" t="s">
        <v>409</v>
      </c>
      <c r="H402" s="305"/>
      <c r="I402" s="305">
        <v>3057640</v>
      </c>
      <c r="J402" s="306">
        <f t="shared" si="17"/>
        <v>340987006</v>
      </c>
      <c r="K402" s="306"/>
    </row>
    <row r="403" spans="1:11" s="125" customFormat="1" ht="17.25" customHeight="1">
      <c r="A403" s="125">
        <f t="shared" ref="A403:A404" si="32">IF(B403&lt;&gt;"",MONTH(B403),"")</f>
        <v>7</v>
      </c>
      <c r="B403" s="140">
        <v>42213</v>
      </c>
      <c r="C403" s="141" t="s">
        <v>368</v>
      </c>
      <c r="D403" s="140">
        <f t="shared" ref="D403:D404" si="33">IF(B403&lt;&gt;"",B403,"")</f>
        <v>42213</v>
      </c>
      <c r="E403" s="142" t="s">
        <v>394</v>
      </c>
      <c r="F403" s="142"/>
      <c r="G403" s="143" t="s">
        <v>94</v>
      </c>
      <c r="H403" s="144"/>
      <c r="I403" s="144">
        <v>25000</v>
      </c>
      <c r="J403" s="145">
        <f t="shared" ref="J403:J466" si="34">IF(B403&lt;&gt;"",J402+H403-I403,0)</f>
        <v>340962006</v>
      </c>
      <c r="K403" s="145"/>
    </row>
    <row r="404" spans="1:11" s="125" customFormat="1" ht="17.25" customHeight="1">
      <c r="A404" s="125">
        <f t="shared" si="32"/>
        <v>7</v>
      </c>
      <c r="B404" s="140">
        <v>42213</v>
      </c>
      <c r="C404" s="141" t="s">
        <v>368</v>
      </c>
      <c r="D404" s="140">
        <f t="shared" si="33"/>
        <v>42213</v>
      </c>
      <c r="E404" s="142" t="s">
        <v>395</v>
      </c>
      <c r="F404" s="142"/>
      <c r="G404" s="143" t="s">
        <v>35</v>
      </c>
      <c r="H404" s="144"/>
      <c r="I404" s="144">
        <v>2500</v>
      </c>
      <c r="J404" s="145">
        <f t="shared" si="34"/>
        <v>340959506</v>
      </c>
      <c r="K404" s="145"/>
    </row>
    <row r="405" spans="1:11" s="125" customFormat="1" ht="17.25" customHeight="1">
      <c r="A405" s="125">
        <f t="shared" si="25"/>
        <v>7</v>
      </c>
      <c r="B405" s="140">
        <v>42213</v>
      </c>
      <c r="C405" s="141" t="s">
        <v>368</v>
      </c>
      <c r="D405" s="140">
        <f t="shared" ref="D405:D407" si="35">IF(B405&lt;&gt;"",B405,"")</f>
        <v>42213</v>
      </c>
      <c r="E405" s="142" t="s">
        <v>856</v>
      </c>
      <c r="F405" s="142"/>
      <c r="G405" s="143" t="s">
        <v>34</v>
      </c>
      <c r="H405" s="144"/>
      <c r="I405" s="144">
        <v>300000</v>
      </c>
      <c r="J405" s="145">
        <f t="shared" si="34"/>
        <v>340659506</v>
      </c>
      <c r="K405" s="145"/>
    </row>
    <row r="406" spans="1:11" s="125" customFormat="1" ht="17.25" customHeight="1">
      <c r="A406" s="125">
        <f t="shared" si="25"/>
        <v>7</v>
      </c>
      <c r="B406" s="140">
        <v>42213</v>
      </c>
      <c r="C406" s="141" t="s">
        <v>368</v>
      </c>
      <c r="D406" s="140">
        <f t="shared" si="35"/>
        <v>42213</v>
      </c>
      <c r="E406" s="142" t="s">
        <v>857</v>
      </c>
      <c r="F406" s="142"/>
      <c r="G406" s="143" t="s">
        <v>94</v>
      </c>
      <c r="H406" s="144"/>
      <c r="I406" s="144">
        <v>20000</v>
      </c>
      <c r="J406" s="145">
        <f t="shared" si="34"/>
        <v>340639506</v>
      </c>
      <c r="K406" s="145"/>
    </row>
    <row r="407" spans="1:11" s="125" customFormat="1" ht="17.25" customHeight="1">
      <c r="A407" s="125">
        <f t="shared" si="25"/>
        <v>7</v>
      </c>
      <c r="B407" s="140">
        <v>42213</v>
      </c>
      <c r="C407" s="141" t="s">
        <v>368</v>
      </c>
      <c r="D407" s="140">
        <f t="shared" si="35"/>
        <v>42213</v>
      </c>
      <c r="E407" s="142" t="s">
        <v>858</v>
      </c>
      <c r="F407" s="142"/>
      <c r="G407" s="143" t="s">
        <v>35</v>
      </c>
      <c r="H407" s="144"/>
      <c r="I407" s="144">
        <v>2000</v>
      </c>
      <c r="J407" s="145">
        <f t="shared" si="34"/>
        <v>340637506</v>
      </c>
      <c r="K407" s="145"/>
    </row>
    <row r="408" spans="1:11" s="125" customFormat="1" ht="17.25" customHeight="1">
      <c r="A408" s="125">
        <f t="shared" si="25"/>
        <v>7</v>
      </c>
      <c r="B408" s="140">
        <v>42213</v>
      </c>
      <c r="C408" s="141" t="s">
        <v>368</v>
      </c>
      <c r="D408" s="140">
        <f t="shared" ref="D408:D410" si="36">IF(B408&lt;&gt;"",B408,"")</f>
        <v>42213</v>
      </c>
      <c r="E408" s="142" t="s">
        <v>714</v>
      </c>
      <c r="F408" s="142"/>
      <c r="G408" s="143" t="s">
        <v>34</v>
      </c>
      <c r="H408" s="144"/>
      <c r="I408" s="144">
        <v>100000000</v>
      </c>
      <c r="J408" s="145">
        <f t="shared" si="34"/>
        <v>240637506</v>
      </c>
      <c r="K408" s="145"/>
    </row>
    <row r="409" spans="1:11" s="125" customFormat="1" ht="17.25" customHeight="1">
      <c r="A409" s="125">
        <f t="shared" si="25"/>
        <v>7</v>
      </c>
      <c r="B409" s="140">
        <v>42213</v>
      </c>
      <c r="C409" s="141" t="s">
        <v>368</v>
      </c>
      <c r="D409" s="140">
        <f t="shared" si="36"/>
        <v>42213</v>
      </c>
      <c r="E409" s="142" t="s">
        <v>857</v>
      </c>
      <c r="F409" s="142"/>
      <c r="G409" s="143" t="s">
        <v>94</v>
      </c>
      <c r="H409" s="144"/>
      <c r="I409" s="144">
        <v>30000</v>
      </c>
      <c r="J409" s="145">
        <f t="shared" si="34"/>
        <v>240607506</v>
      </c>
      <c r="K409" s="145"/>
    </row>
    <row r="410" spans="1:11" s="125" customFormat="1" ht="17.25" customHeight="1">
      <c r="A410" s="125">
        <f t="shared" si="25"/>
        <v>7</v>
      </c>
      <c r="B410" s="140">
        <v>42213</v>
      </c>
      <c r="C410" s="141" t="s">
        <v>368</v>
      </c>
      <c r="D410" s="140">
        <f t="shared" si="36"/>
        <v>42213</v>
      </c>
      <c r="E410" s="142" t="s">
        <v>858</v>
      </c>
      <c r="F410" s="142"/>
      <c r="G410" s="143" t="s">
        <v>35</v>
      </c>
      <c r="H410" s="144"/>
      <c r="I410" s="144">
        <v>3000</v>
      </c>
      <c r="J410" s="145">
        <f t="shared" si="34"/>
        <v>240604506</v>
      </c>
      <c r="K410" s="145"/>
    </row>
    <row r="411" spans="1:11" s="125" customFormat="1" ht="17.25" customHeight="1">
      <c r="A411" s="125">
        <f t="shared" si="25"/>
        <v>7</v>
      </c>
      <c r="B411" s="140">
        <v>42213</v>
      </c>
      <c r="C411" s="141" t="s">
        <v>368</v>
      </c>
      <c r="D411" s="140">
        <f t="shared" ref="D411:D423" si="37">IF(B411&lt;&gt;"",B411,"")</f>
        <v>42213</v>
      </c>
      <c r="E411" s="142" t="s">
        <v>860</v>
      </c>
      <c r="F411" s="142"/>
      <c r="G411" s="143" t="s">
        <v>34</v>
      </c>
      <c r="H411" s="144"/>
      <c r="I411" s="144">
        <v>50000000</v>
      </c>
      <c r="J411" s="145">
        <f t="shared" si="34"/>
        <v>190604506</v>
      </c>
      <c r="K411" s="145"/>
    </row>
    <row r="412" spans="1:11" s="125" customFormat="1" ht="17.25" customHeight="1">
      <c r="A412" s="125">
        <f t="shared" si="25"/>
        <v>7</v>
      </c>
      <c r="B412" s="140">
        <v>42213</v>
      </c>
      <c r="C412" s="141" t="s">
        <v>368</v>
      </c>
      <c r="D412" s="140">
        <f t="shared" si="37"/>
        <v>42213</v>
      </c>
      <c r="E412" s="142" t="s">
        <v>857</v>
      </c>
      <c r="F412" s="142"/>
      <c r="G412" s="143" t="s">
        <v>94</v>
      </c>
      <c r="H412" s="144"/>
      <c r="I412" s="144">
        <v>20000</v>
      </c>
      <c r="J412" s="145">
        <f t="shared" si="34"/>
        <v>190584506</v>
      </c>
      <c r="K412" s="145"/>
    </row>
    <row r="413" spans="1:11" s="125" customFormat="1" ht="17.25" customHeight="1">
      <c r="A413" s="125">
        <f t="shared" si="25"/>
        <v>7</v>
      </c>
      <c r="B413" s="140">
        <v>42213</v>
      </c>
      <c r="C413" s="141" t="s">
        <v>368</v>
      </c>
      <c r="D413" s="140">
        <f t="shared" si="37"/>
        <v>42213</v>
      </c>
      <c r="E413" s="142" t="s">
        <v>858</v>
      </c>
      <c r="F413" s="142"/>
      <c r="G413" s="143" t="s">
        <v>35</v>
      </c>
      <c r="H413" s="144"/>
      <c r="I413" s="144">
        <v>2000</v>
      </c>
      <c r="J413" s="145">
        <f t="shared" si="34"/>
        <v>190582506</v>
      </c>
      <c r="K413" s="145"/>
    </row>
    <row r="414" spans="1:11" s="125" customFormat="1" ht="17.25" customHeight="1">
      <c r="A414" s="125">
        <f t="shared" si="25"/>
        <v>7</v>
      </c>
      <c r="B414" s="140">
        <v>42213</v>
      </c>
      <c r="C414" s="141" t="s">
        <v>368</v>
      </c>
      <c r="D414" s="140">
        <f t="shared" ref="D414:D419" si="38">IF(B414&lt;&gt;"",B414,"")</f>
        <v>42213</v>
      </c>
      <c r="E414" s="142" t="s">
        <v>861</v>
      </c>
      <c r="F414" s="142"/>
      <c r="G414" s="143" t="s">
        <v>34</v>
      </c>
      <c r="H414" s="144"/>
      <c r="I414" s="144">
        <v>66157153</v>
      </c>
      <c r="J414" s="145">
        <f t="shared" si="34"/>
        <v>124425353</v>
      </c>
      <c r="K414" s="145"/>
    </row>
    <row r="415" spans="1:11" s="302" customFormat="1" ht="17.25" customHeight="1">
      <c r="A415" s="302">
        <f t="shared" si="25"/>
        <v>7</v>
      </c>
      <c r="B415" s="303">
        <v>42213</v>
      </c>
      <c r="C415" s="301" t="s">
        <v>368</v>
      </c>
      <c r="D415" s="303">
        <f t="shared" si="38"/>
        <v>42213</v>
      </c>
      <c r="E415" s="291" t="s">
        <v>857</v>
      </c>
      <c r="F415" s="291"/>
      <c r="G415" s="304" t="s">
        <v>94</v>
      </c>
      <c r="H415" s="305"/>
      <c r="I415" s="305">
        <v>33079</v>
      </c>
      <c r="J415" s="145">
        <f t="shared" si="34"/>
        <v>124392274</v>
      </c>
      <c r="K415" s="306"/>
    </row>
    <row r="416" spans="1:11" s="302" customFormat="1" ht="17.25" customHeight="1">
      <c r="A416" s="302">
        <f t="shared" si="25"/>
        <v>7</v>
      </c>
      <c r="B416" s="303">
        <v>42213</v>
      </c>
      <c r="C416" s="301" t="s">
        <v>368</v>
      </c>
      <c r="D416" s="303">
        <f t="shared" si="38"/>
        <v>42213</v>
      </c>
      <c r="E416" s="291" t="s">
        <v>858</v>
      </c>
      <c r="F416" s="291"/>
      <c r="G416" s="304" t="s">
        <v>35</v>
      </c>
      <c r="H416" s="305"/>
      <c r="I416" s="305">
        <v>3308</v>
      </c>
      <c r="J416" s="145">
        <f t="shared" si="34"/>
        <v>124388966</v>
      </c>
      <c r="K416" s="306"/>
    </row>
    <row r="417" spans="1:11" s="125" customFormat="1" ht="17.25" customHeight="1">
      <c r="A417" s="125">
        <f t="shared" si="25"/>
        <v>7</v>
      </c>
      <c r="B417" s="140">
        <v>42213</v>
      </c>
      <c r="C417" s="141" t="s">
        <v>368</v>
      </c>
      <c r="D417" s="140">
        <f t="shared" si="38"/>
        <v>42213</v>
      </c>
      <c r="E417" s="142" t="s">
        <v>862</v>
      </c>
      <c r="F417" s="142"/>
      <c r="G417" s="143" t="s">
        <v>34</v>
      </c>
      <c r="H417" s="144"/>
      <c r="I417" s="144">
        <v>50000000</v>
      </c>
      <c r="J417" s="145">
        <f t="shared" si="34"/>
        <v>74388966</v>
      </c>
      <c r="K417" s="145"/>
    </row>
    <row r="418" spans="1:11" s="125" customFormat="1" ht="17.25" customHeight="1">
      <c r="A418" s="125">
        <f t="shared" si="25"/>
        <v>7</v>
      </c>
      <c r="B418" s="140">
        <v>42213</v>
      </c>
      <c r="C418" s="141" t="s">
        <v>368</v>
      </c>
      <c r="D418" s="140">
        <f t="shared" si="38"/>
        <v>42213</v>
      </c>
      <c r="E418" s="142" t="s">
        <v>857</v>
      </c>
      <c r="F418" s="142"/>
      <c r="G418" s="143" t="s">
        <v>94</v>
      </c>
      <c r="H418" s="144"/>
      <c r="I418" s="144">
        <v>25000</v>
      </c>
      <c r="J418" s="145">
        <f t="shared" si="34"/>
        <v>74363966</v>
      </c>
      <c r="K418" s="145"/>
    </row>
    <row r="419" spans="1:11" s="125" customFormat="1" ht="17.25" customHeight="1">
      <c r="A419" s="125">
        <f t="shared" si="25"/>
        <v>7</v>
      </c>
      <c r="B419" s="140">
        <v>42213</v>
      </c>
      <c r="C419" s="141" t="s">
        <v>368</v>
      </c>
      <c r="D419" s="140">
        <f t="shared" si="38"/>
        <v>42213</v>
      </c>
      <c r="E419" s="142" t="s">
        <v>858</v>
      </c>
      <c r="F419" s="142"/>
      <c r="G419" s="143" t="s">
        <v>35</v>
      </c>
      <c r="H419" s="144"/>
      <c r="I419" s="144">
        <v>2500</v>
      </c>
      <c r="J419" s="145">
        <f t="shared" si="34"/>
        <v>74361466</v>
      </c>
      <c r="K419" s="145"/>
    </row>
    <row r="420" spans="1:11" s="125" customFormat="1" ht="17.25" customHeight="1">
      <c r="A420" s="125">
        <f t="shared" si="25"/>
        <v>7</v>
      </c>
      <c r="B420" s="140">
        <v>42213</v>
      </c>
      <c r="C420" s="141" t="s">
        <v>368</v>
      </c>
      <c r="D420" s="140">
        <f t="shared" si="37"/>
        <v>42213</v>
      </c>
      <c r="E420" s="142" t="s">
        <v>863</v>
      </c>
      <c r="F420" s="142"/>
      <c r="G420" s="143" t="s">
        <v>93</v>
      </c>
      <c r="H420" s="144"/>
      <c r="I420" s="144">
        <v>100000</v>
      </c>
      <c r="J420" s="145">
        <f t="shared" si="34"/>
        <v>74261466</v>
      </c>
      <c r="K420" s="145"/>
    </row>
    <row r="421" spans="1:11" s="125" customFormat="1" ht="17.25" customHeight="1">
      <c r="A421" s="125">
        <f t="shared" si="25"/>
        <v>7</v>
      </c>
      <c r="B421" s="140">
        <v>42213</v>
      </c>
      <c r="C421" s="141" t="s">
        <v>368</v>
      </c>
      <c r="D421" s="140">
        <f t="shared" si="37"/>
        <v>42213</v>
      </c>
      <c r="E421" s="142" t="s">
        <v>857</v>
      </c>
      <c r="F421" s="142"/>
      <c r="G421" s="143" t="s">
        <v>94</v>
      </c>
      <c r="H421" s="144"/>
      <c r="I421" s="144">
        <v>20000</v>
      </c>
      <c r="J421" s="145">
        <f t="shared" si="34"/>
        <v>74241466</v>
      </c>
      <c r="K421" s="145"/>
    </row>
    <row r="422" spans="1:11" s="125" customFormat="1" ht="17.25" customHeight="1">
      <c r="A422" s="125">
        <f t="shared" si="25"/>
        <v>7</v>
      </c>
      <c r="B422" s="140">
        <v>42213</v>
      </c>
      <c r="C422" s="141" t="s">
        <v>368</v>
      </c>
      <c r="D422" s="140">
        <f t="shared" si="37"/>
        <v>42213</v>
      </c>
      <c r="E422" s="142" t="s">
        <v>858</v>
      </c>
      <c r="F422" s="142"/>
      <c r="G422" s="143" t="s">
        <v>35</v>
      </c>
      <c r="H422" s="144"/>
      <c r="I422" s="144">
        <v>2000</v>
      </c>
      <c r="J422" s="145">
        <f t="shared" si="34"/>
        <v>74239466</v>
      </c>
      <c r="K422" s="145"/>
    </row>
    <row r="423" spans="1:11" s="125" customFormat="1" ht="17.25" customHeight="1">
      <c r="A423" s="125">
        <f t="shared" si="25"/>
        <v>8</v>
      </c>
      <c r="B423" s="140">
        <v>42219</v>
      </c>
      <c r="C423" s="141" t="s">
        <v>368</v>
      </c>
      <c r="D423" s="140">
        <f t="shared" si="37"/>
        <v>42219</v>
      </c>
      <c r="E423" s="142" t="s">
        <v>991</v>
      </c>
      <c r="F423" s="142"/>
      <c r="G423" s="143" t="s">
        <v>94</v>
      </c>
      <c r="H423" s="144"/>
      <c r="I423" s="144">
        <v>20000</v>
      </c>
      <c r="J423" s="145">
        <f t="shared" si="34"/>
        <v>74219466</v>
      </c>
      <c r="K423" s="145"/>
    </row>
    <row r="424" spans="1:11" s="125" customFormat="1" ht="17.25" customHeight="1">
      <c r="A424" s="125">
        <f t="shared" si="25"/>
        <v>8</v>
      </c>
      <c r="B424" s="140">
        <v>42219</v>
      </c>
      <c r="C424" s="141" t="s">
        <v>368</v>
      </c>
      <c r="D424" s="140">
        <f t="shared" ref="D424:D425" si="39">IF(B424&lt;&gt;"",B424,"")</f>
        <v>42219</v>
      </c>
      <c r="E424" s="142" t="s">
        <v>992</v>
      </c>
      <c r="F424" s="142"/>
      <c r="G424" s="143" t="s">
        <v>94</v>
      </c>
      <c r="H424" s="144"/>
      <c r="I424" s="144">
        <v>20000</v>
      </c>
      <c r="J424" s="145">
        <f t="shared" si="34"/>
        <v>74199466</v>
      </c>
      <c r="K424" s="145"/>
    </row>
    <row r="425" spans="1:11" s="125" customFormat="1" ht="17.25" customHeight="1">
      <c r="A425" s="125">
        <f t="shared" si="25"/>
        <v>8</v>
      </c>
      <c r="B425" s="140">
        <v>42219</v>
      </c>
      <c r="C425" s="141" t="s">
        <v>368</v>
      </c>
      <c r="D425" s="140">
        <f t="shared" si="39"/>
        <v>42219</v>
      </c>
      <c r="E425" s="142" t="s">
        <v>993</v>
      </c>
      <c r="F425" s="142"/>
      <c r="G425" s="143" t="s">
        <v>35</v>
      </c>
      <c r="H425" s="144"/>
      <c r="I425" s="144">
        <v>2000</v>
      </c>
      <c r="J425" s="145">
        <f t="shared" si="34"/>
        <v>74197466</v>
      </c>
      <c r="K425" s="145"/>
    </row>
    <row r="426" spans="1:11" s="125" customFormat="1" ht="17.25" customHeight="1">
      <c r="A426" s="125">
        <f t="shared" si="25"/>
        <v>8</v>
      </c>
      <c r="B426" s="140">
        <v>42219</v>
      </c>
      <c r="C426" s="141" t="s">
        <v>368</v>
      </c>
      <c r="D426" s="140">
        <f t="shared" ref="D426:D455" si="40">IF(B426&lt;&gt;"",B426,"")</f>
        <v>42219</v>
      </c>
      <c r="E426" s="142" t="s">
        <v>994</v>
      </c>
      <c r="F426" s="142"/>
      <c r="G426" s="143" t="s">
        <v>34</v>
      </c>
      <c r="H426" s="144"/>
      <c r="I426" s="144">
        <v>44382140</v>
      </c>
      <c r="J426" s="145">
        <f t="shared" si="34"/>
        <v>29815326</v>
      </c>
      <c r="K426" s="145"/>
    </row>
    <row r="427" spans="1:11" s="125" customFormat="1" ht="17.25" customHeight="1">
      <c r="A427" s="125">
        <f t="shared" si="25"/>
        <v>8</v>
      </c>
      <c r="B427" s="140">
        <v>42219</v>
      </c>
      <c r="C427" s="141" t="s">
        <v>368</v>
      </c>
      <c r="D427" s="140">
        <f t="shared" si="40"/>
        <v>42219</v>
      </c>
      <c r="E427" s="142" t="s">
        <v>992</v>
      </c>
      <c r="F427" s="142"/>
      <c r="G427" s="143" t="s">
        <v>94</v>
      </c>
      <c r="H427" s="144"/>
      <c r="I427" s="144">
        <v>25000</v>
      </c>
      <c r="J427" s="145">
        <f t="shared" si="34"/>
        <v>29790326</v>
      </c>
      <c r="K427" s="145"/>
    </row>
    <row r="428" spans="1:11" s="125" customFormat="1" ht="17.25" customHeight="1">
      <c r="A428" s="125">
        <f t="shared" si="25"/>
        <v>8</v>
      </c>
      <c r="B428" s="140">
        <v>42219</v>
      </c>
      <c r="C428" s="141" t="s">
        <v>368</v>
      </c>
      <c r="D428" s="140">
        <f t="shared" si="40"/>
        <v>42219</v>
      </c>
      <c r="E428" s="142" t="s">
        <v>993</v>
      </c>
      <c r="F428" s="142"/>
      <c r="G428" s="143" t="s">
        <v>35</v>
      </c>
      <c r="H428" s="144"/>
      <c r="I428" s="144">
        <v>2500</v>
      </c>
      <c r="J428" s="145">
        <f t="shared" si="34"/>
        <v>29787826</v>
      </c>
      <c r="K428" s="145"/>
    </row>
    <row r="429" spans="1:11" s="125" customFormat="1" ht="17.25" customHeight="1">
      <c r="A429" s="125">
        <f t="shared" si="25"/>
        <v>8</v>
      </c>
      <c r="B429" s="140">
        <v>42221</v>
      </c>
      <c r="C429" s="141" t="s">
        <v>368</v>
      </c>
      <c r="D429" s="140">
        <f t="shared" si="40"/>
        <v>42221</v>
      </c>
      <c r="E429" s="142" t="s">
        <v>995</v>
      </c>
      <c r="F429" s="142"/>
      <c r="G429" s="143" t="s">
        <v>34</v>
      </c>
      <c r="H429" s="144"/>
      <c r="I429" s="144">
        <v>12287185</v>
      </c>
      <c r="J429" s="145">
        <f t="shared" si="34"/>
        <v>17500641</v>
      </c>
      <c r="K429" s="145"/>
    </row>
    <row r="430" spans="1:11" s="125" customFormat="1" ht="17.25" customHeight="1">
      <c r="A430" s="125">
        <f t="shared" si="25"/>
        <v>8</v>
      </c>
      <c r="B430" s="140">
        <v>42221</v>
      </c>
      <c r="C430" s="141" t="s">
        <v>368</v>
      </c>
      <c r="D430" s="140">
        <f t="shared" si="40"/>
        <v>42221</v>
      </c>
      <c r="E430" s="142" t="s">
        <v>992</v>
      </c>
      <c r="F430" s="142"/>
      <c r="G430" s="143" t="s">
        <v>94</v>
      </c>
      <c r="H430" s="144"/>
      <c r="I430" s="144">
        <v>20000</v>
      </c>
      <c r="J430" s="145">
        <f t="shared" si="34"/>
        <v>17480641</v>
      </c>
      <c r="K430" s="145"/>
    </row>
    <row r="431" spans="1:11" s="125" customFormat="1" ht="17.25" customHeight="1">
      <c r="A431" s="125">
        <f t="shared" si="25"/>
        <v>8</v>
      </c>
      <c r="B431" s="140">
        <v>42221</v>
      </c>
      <c r="C431" s="141" t="s">
        <v>368</v>
      </c>
      <c r="D431" s="140">
        <f t="shared" si="40"/>
        <v>42221</v>
      </c>
      <c r="E431" s="142" t="s">
        <v>993</v>
      </c>
      <c r="F431" s="142"/>
      <c r="G431" s="143" t="s">
        <v>35</v>
      </c>
      <c r="H431" s="144"/>
      <c r="I431" s="144">
        <v>2000</v>
      </c>
      <c r="J431" s="145">
        <f t="shared" si="34"/>
        <v>17478641</v>
      </c>
      <c r="K431" s="145"/>
    </row>
    <row r="432" spans="1:11" s="125" customFormat="1" ht="17.25" customHeight="1">
      <c r="A432" s="125">
        <f t="shared" si="25"/>
        <v>8</v>
      </c>
      <c r="B432" s="140">
        <v>42227</v>
      </c>
      <c r="C432" s="141" t="s">
        <v>371</v>
      </c>
      <c r="D432" s="140">
        <f t="shared" si="40"/>
        <v>42227</v>
      </c>
      <c r="E432" s="142" t="s">
        <v>372</v>
      </c>
      <c r="F432" s="142"/>
      <c r="G432" s="143" t="s">
        <v>370</v>
      </c>
      <c r="H432" s="144">
        <v>545750000</v>
      </c>
      <c r="I432" s="144"/>
      <c r="J432" s="145">
        <f t="shared" si="34"/>
        <v>563228641</v>
      </c>
      <c r="K432" s="145"/>
    </row>
    <row r="433" spans="1:11" s="125" customFormat="1" ht="17.25" customHeight="1">
      <c r="A433" s="125">
        <f t="shared" si="25"/>
        <v>8</v>
      </c>
      <c r="B433" s="140">
        <v>42229</v>
      </c>
      <c r="C433" s="141" t="s">
        <v>368</v>
      </c>
      <c r="D433" s="140">
        <f t="shared" si="40"/>
        <v>42229</v>
      </c>
      <c r="E433" s="142" t="s">
        <v>62</v>
      </c>
      <c r="F433" s="142"/>
      <c r="G433" s="143" t="s">
        <v>367</v>
      </c>
      <c r="H433" s="144"/>
      <c r="I433" s="144">
        <v>500000000</v>
      </c>
      <c r="J433" s="145">
        <f t="shared" si="34"/>
        <v>63228641</v>
      </c>
      <c r="K433" s="145"/>
    </row>
    <row r="434" spans="1:11" s="302" customFormat="1" ht="17.25" customHeight="1">
      <c r="A434" s="302">
        <f t="shared" si="25"/>
        <v>8</v>
      </c>
      <c r="B434" s="303">
        <v>42229</v>
      </c>
      <c r="C434" s="301" t="s">
        <v>368</v>
      </c>
      <c r="D434" s="303">
        <f t="shared" si="40"/>
        <v>42229</v>
      </c>
      <c r="E434" s="291" t="s">
        <v>996</v>
      </c>
      <c r="F434" s="291"/>
      <c r="G434" s="304" t="s">
        <v>34</v>
      </c>
      <c r="H434" s="305"/>
      <c r="I434" s="305">
        <v>700000</v>
      </c>
      <c r="J434" s="145">
        <f t="shared" si="34"/>
        <v>62528641</v>
      </c>
      <c r="K434" s="306"/>
    </row>
    <row r="435" spans="1:11" s="125" customFormat="1" ht="17.25" customHeight="1">
      <c r="A435" s="125">
        <f t="shared" si="25"/>
        <v>8</v>
      </c>
      <c r="B435" s="140">
        <v>42229</v>
      </c>
      <c r="C435" s="141" t="s">
        <v>368</v>
      </c>
      <c r="D435" s="140">
        <f t="shared" si="40"/>
        <v>42229</v>
      </c>
      <c r="E435" s="142" t="s">
        <v>992</v>
      </c>
      <c r="F435" s="142"/>
      <c r="G435" s="143" t="s">
        <v>94</v>
      </c>
      <c r="H435" s="144"/>
      <c r="I435" s="144">
        <v>20000</v>
      </c>
      <c r="J435" s="145">
        <f t="shared" si="34"/>
        <v>62508641</v>
      </c>
      <c r="K435" s="145"/>
    </row>
    <row r="436" spans="1:11" s="125" customFormat="1" ht="17.25" customHeight="1">
      <c r="A436" s="125">
        <f t="shared" si="25"/>
        <v>8</v>
      </c>
      <c r="B436" s="140">
        <v>42229</v>
      </c>
      <c r="C436" s="141" t="s">
        <v>368</v>
      </c>
      <c r="D436" s="140">
        <f t="shared" si="40"/>
        <v>42229</v>
      </c>
      <c r="E436" s="142" t="s">
        <v>993</v>
      </c>
      <c r="F436" s="142"/>
      <c r="G436" s="143" t="s">
        <v>35</v>
      </c>
      <c r="H436" s="144"/>
      <c r="I436" s="144">
        <v>2000</v>
      </c>
      <c r="J436" s="145">
        <f t="shared" si="34"/>
        <v>62506641</v>
      </c>
      <c r="K436" s="145"/>
    </row>
    <row r="437" spans="1:11" s="125" customFormat="1" ht="17.25" customHeight="1">
      <c r="A437" s="125">
        <f t="shared" si="25"/>
        <v>8</v>
      </c>
      <c r="B437" s="140">
        <v>42229</v>
      </c>
      <c r="C437" s="141" t="s">
        <v>368</v>
      </c>
      <c r="D437" s="140">
        <f t="shared" si="40"/>
        <v>42229</v>
      </c>
      <c r="E437" s="142" t="s">
        <v>997</v>
      </c>
      <c r="F437" s="142"/>
      <c r="G437" s="143" t="s">
        <v>34</v>
      </c>
      <c r="H437" s="144"/>
      <c r="I437" s="144">
        <v>50502980</v>
      </c>
      <c r="J437" s="145">
        <f t="shared" si="34"/>
        <v>12003661</v>
      </c>
      <c r="K437" s="145"/>
    </row>
    <row r="438" spans="1:11" s="125" customFormat="1" ht="17.25" customHeight="1">
      <c r="A438" s="125">
        <f t="shared" si="25"/>
        <v>8</v>
      </c>
      <c r="B438" s="140">
        <v>42229</v>
      </c>
      <c r="C438" s="141" t="s">
        <v>368</v>
      </c>
      <c r="D438" s="140">
        <f t="shared" si="40"/>
        <v>42229</v>
      </c>
      <c r="E438" s="142" t="s">
        <v>992</v>
      </c>
      <c r="F438" s="142"/>
      <c r="G438" s="143" t="s">
        <v>94</v>
      </c>
      <c r="H438" s="144"/>
      <c r="I438" s="144">
        <v>25251</v>
      </c>
      <c r="J438" s="145">
        <f t="shared" si="34"/>
        <v>11978410</v>
      </c>
      <c r="K438" s="145"/>
    </row>
    <row r="439" spans="1:11" s="125" customFormat="1" ht="17.25" customHeight="1">
      <c r="A439" s="125">
        <f t="shared" si="25"/>
        <v>8</v>
      </c>
      <c r="B439" s="140">
        <v>42229</v>
      </c>
      <c r="C439" s="141" t="s">
        <v>368</v>
      </c>
      <c r="D439" s="140">
        <f t="shared" si="40"/>
        <v>42229</v>
      </c>
      <c r="E439" s="142" t="s">
        <v>993</v>
      </c>
      <c r="F439" s="142"/>
      <c r="G439" s="143" t="s">
        <v>35</v>
      </c>
      <c r="H439" s="144"/>
      <c r="I439" s="144">
        <v>2525</v>
      </c>
      <c r="J439" s="145">
        <f t="shared" si="34"/>
        <v>11975885</v>
      </c>
      <c r="K439" s="145"/>
    </row>
    <row r="440" spans="1:11" s="125" customFormat="1" ht="17.25" customHeight="1">
      <c r="A440" s="125">
        <f t="shared" si="25"/>
        <v>8</v>
      </c>
      <c r="B440" s="140">
        <v>42233</v>
      </c>
      <c r="C440" s="141" t="s">
        <v>371</v>
      </c>
      <c r="D440" s="140">
        <f t="shared" si="40"/>
        <v>42233</v>
      </c>
      <c r="E440" s="142" t="s">
        <v>372</v>
      </c>
      <c r="F440" s="142"/>
      <c r="G440" s="143" t="s">
        <v>370</v>
      </c>
      <c r="H440" s="144">
        <v>956626900</v>
      </c>
      <c r="I440" s="144"/>
      <c r="J440" s="145">
        <f t="shared" si="34"/>
        <v>968602785</v>
      </c>
      <c r="K440" s="145"/>
    </row>
    <row r="441" spans="1:11" s="125" customFormat="1" ht="17.25" customHeight="1">
      <c r="A441" s="125">
        <f t="shared" si="25"/>
        <v>8</v>
      </c>
      <c r="B441" s="140">
        <v>42234</v>
      </c>
      <c r="C441" s="141" t="s">
        <v>368</v>
      </c>
      <c r="D441" s="140">
        <f t="shared" si="40"/>
        <v>42234</v>
      </c>
      <c r="E441" s="142" t="s">
        <v>62</v>
      </c>
      <c r="F441" s="142"/>
      <c r="G441" s="143" t="s">
        <v>367</v>
      </c>
      <c r="H441" s="144"/>
      <c r="I441" s="144">
        <v>950000000</v>
      </c>
      <c r="J441" s="145">
        <f t="shared" si="34"/>
        <v>18602785</v>
      </c>
      <c r="K441" s="145"/>
    </row>
    <row r="442" spans="1:11" s="125" customFormat="1" ht="17.25" customHeight="1">
      <c r="A442" s="125">
        <f t="shared" si="25"/>
        <v>8</v>
      </c>
      <c r="B442" s="140">
        <v>42235</v>
      </c>
      <c r="C442" s="141" t="s">
        <v>371</v>
      </c>
      <c r="D442" s="140">
        <f t="shared" si="40"/>
        <v>42235</v>
      </c>
      <c r="E442" s="142" t="s">
        <v>71</v>
      </c>
      <c r="F442" s="142"/>
      <c r="G442" s="143" t="s">
        <v>367</v>
      </c>
      <c r="H442" s="144">
        <v>60000000</v>
      </c>
      <c r="I442" s="144"/>
      <c r="J442" s="145">
        <f t="shared" si="34"/>
        <v>78602785</v>
      </c>
      <c r="K442" s="145"/>
    </row>
    <row r="443" spans="1:11" s="125" customFormat="1" ht="17.25" customHeight="1">
      <c r="A443" s="125">
        <f t="shared" si="25"/>
        <v>8</v>
      </c>
      <c r="B443" s="140">
        <v>42235</v>
      </c>
      <c r="C443" s="141" t="s">
        <v>368</v>
      </c>
      <c r="D443" s="140">
        <f t="shared" si="40"/>
        <v>42235</v>
      </c>
      <c r="E443" s="142" t="s">
        <v>707</v>
      </c>
      <c r="F443" s="142"/>
      <c r="G443" s="143" t="s">
        <v>374</v>
      </c>
      <c r="H443" s="144"/>
      <c r="I443" s="144">
        <v>7525240</v>
      </c>
      <c r="J443" s="145">
        <f t="shared" si="34"/>
        <v>71077545</v>
      </c>
      <c r="K443" s="145"/>
    </row>
    <row r="444" spans="1:11" s="125" customFormat="1" ht="17.25" customHeight="1">
      <c r="A444" s="125">
        <f t="shared" ref="A444:A455" si="41">IF(B444&lt;&gt;"",MONTH(B444),"")</f>
        <v>8</v>
      </c>
      <c r="B444" s="140">
        <v>42235</v>
      </c>
      <c r="C444" s="141" t="s">
        <v>368</v>
      </c>
      <c r="D444" s="140">
        <f t="shared" ref="D444:D453" si="42">IF(B444&lt;&gt;"",B444,"")</f>
        <v>42235</v>
      </c>
      <c r="E444" s="142" t="s">
        <v>818</v>
      </c>
      <c r="F444" s="142"/>
      <c r="G444" s="143" t="s">
        <v>374</v>
      </c>
      <c r="H444" s="144"/>
      <c r="I444" s="144">
        <v>6960623</v>
      </c>
      <c r="J444" s="145">
        <f t="shared" si="34"/>
        <v>64116922</v>
      </c>
      <c r="K444" s="145"/>
    </row>
    <row r="445" spans="1:11" s="125" customFormat="1" ht="17.25" customHeight="1">
      <c r="A445" s="125">
        <f t="shared" ref="A445" si="43">IF(B445&lt;&gt;"",MONTH(B445),"")</f>
        <v>8</v>
      </c>
      <c r="B445" s="140">
        <v>42235</v>
      </c>
      <c r="C445" s="141" t="s">
        <v>368</v>
      </c>
      <c r="D445" s="140">
        <f t="shared" ref="D445" si="44">IF(B445&lt;&gt;"",B445,"")</f>
        <v>42235</v>
      </c>
      <c r="E445" s="142" t="s">
        <v>709</v>
      </c>
      <c r="F445" s="142"/>
      <c r="G445" s="143" t="s">
        <v>374</v>
      </c>
      <c r="H445" s="144"/>
      <c r="I445" s="144">
        <v>6906592</v>
      </c>
      <c r="J445" s="145">
        <f t="shared" si="34"/>
        <v>57210330</v>
      </c>
      <c r="K445" s="145"/>
    </row>
    <row r="446" spans="1:11" s="125" customFormat="1" ht="17.25" customHeight="1">
      <c r="A446" s="125">
        <f t="shared" si="41"/>
        <v>8</v>
      </c>
      <c r="B446" s="140">
        <v>42235</v>
      </c>
      <c r="C446" s="141" t="s">
        <v>368</v>
      </c>
      <c r="D446" s="140">
        <f t="shared" si="42"/>
        <v>42235</v>
      </c>
      <c r="E446" s="142" t="s">
        <v>709</v>
      </c>
      <c r="F446" s="142"/>
      <c r="G446" s="143" t="s">
        <v>374</v>
      </c>
      <c r="H446" s="144"/>
      <c r="I446" s="144">
        <v>4745888</v>
      </c>
      <c r="J446" s="145">
        <f t="shared" si="34"/>
        <v>52464442</v>
      </c>
      <c r="K446" s="145"/>
    </row>
    <row r="447" spans="1:11" s="125" customFormat="1" ht="17.25" customHeight="1">
      <c r="A447" s="125">
        <f t="shared" si="41"/>
        <v>8</v>
      </c>
      <c r="B447" s="140">
        <v>42235</v>
      </c>
      <c r="C447" s="141" t="s">
        <v>368</v>
      </c>
      <c r="D447" s="140">
        <f t="shared" si="42"/>
        <v>42235</v>
      </c>
      <c r="E447" s="142" t="s">
        <v>853</v>
      </c>
      <c r="F447" s="142"/>
      <c r="G447" s="143" t="s">
        <v>374</v>
      </c>
      <c r="H447" s="144"/>
      <c r="I447" s="144">
        <v>6906592</v>
      </c>
      <c r="J447" s="145">
        <f t="shared" si="34"/>
        <v>45557850</v>
      </c>
      <c r="K447" s="145"/>
    </row>
    <row r="448" spans="1:11" s="125" customFormat="1" ht="17.25" customHeight="1">
      <c r="A448" s="125">
        <f t="shared" si="41"/>
        <v>8</v>
      </c>
      <c r="B448" s="140">
        <v>42235</v>
      </c>
      <c r="C448" s="141" t="s">
        <v>368</v>
      </c>
      <c r="D448" s="140">
        <f t="shared" si="42"/>
        <v>42235</v>
      </c>
      <c r="E448" s="142" t="s">
        <v>998</v>
      </c>
      <c r="F448" s="142"/>
      <c r="G448" s="143" t="s">
        <v>374</v>
      </c>
      <c r="H448" s="144"/>
      <c r="I448" s="144">
        <v>9409568</v>
      </c>
      <c r="J448" s="145">
        <f t="shared" si="34"/>
        <v>36148282</v>
      </c>
      <c r="K448" s="145"/>
    </row>
    <row r="449" spans="1:11" s="125" customFormat="1" ht="17.25" customHeight="1">
      <c r="A449" s="125">
        <f t="shared" si="41"/>
        <v>8</v>
      </c>
      <c r="B449" s="140">
        <v>42235</v>
      </c>
      <c r="C449" s="141" t="s">
        <v>368</v>
      </c>
      <c r="D449" s="140">
        <f t="shared" si="42"/>
        <v>42235</v>
      </c>
      <c r="E449" s="142" t="s">
        <v>999</v>
      </c>
      <c r="F449" s="142"/>
      <c r="G449" s="143" t="s">
        <v>374</v>
      </c>
      <c r="H449" s="144"/>
      <c r="I449" s="144">
        <v>2613856</v>
      </c>
      <c r="J449" s="145">
        <f t="shared" si="34"/>
        <v>33534426</v>
      </c>
      <c r="K449" s="145"/>
    </row>
    <row r="450" spans="1:11" s="125" customFormat="1" ht="17.25" customHeight="1">
      <c r="A450" s="125">
        <f t="shared" si="41"/>
        <v>8</v>
      </c>
      <c r="B450" s="140">
        <v>42240</v>
      </c>
      <c r="C450" s="141" t="s">
        <v>371</v>
      </c>
      <c r="D450" s="140">
        <f t="shared" si="42"/>
        <v>42240</v>
      </c>
      <c r="E450" s="142" t="s">
        <v>71</v>
      </c>
      <c r="F450" s="142"/>
      <c r="G450" s="143" t="s">
        <v>367</v>
      </c>
      <c r="H450" s="144">
        <v>15000000</v>
      </c>
      <c r="I450" s="144"/>
      <c r="J450" s="145">
        <f t="shared" si="34"/>
        <v>48534426</v>
      </c>
      <c r="K450" s="145"/>
    </row>
    <row r="451" spans="1:11" s="125" customFormat="1" ht="17.25" customHeight="1">
      <c r="A451" s="125">
        <f t="shared" si="41"/>
        <v>8</v>
      </c>
      <c r="B451" s="140">
        <v>42240</v>
      </c>
      <c r="C451" s="141" t="s">
        <v>368</v>
      </c>
      <c r="D451" s="140">
        <f t="shared" si="42"/>
        <v>42240</v>
      </c>
      <c r="E451" s="142" t="s">
        <v>1000</v>
      </c>
      <c r="F451" s="142"/>
      <c r="G451" s="143" t="s">
        <v>34</v>
      </c>
      <c r="H451" s="144"/>
      <c r="I451" s="144">
        <v>44836770</v>
      </c>
      <c r="J451" s="145">
        <f t="shared" si="34"/>
        <v>3697656</v>
      </c>
      <c r="K451" s="145"/>
    </row>
    <row r="452" spans="1:11" s="125" customFormat="1" ht="17.25" customHeight="1">
      <c r="A452" s="125">
        <f t="shared" si="41"/>
        <v>8</v>
      </c>
      <c r="B452" s="140">
        <v>42240</v>
      </c>
      <c r="C452" s="141" t="s">
        <v>368</v>
      </c>
      <c r="D452" s="140">
        <f t="shared" si="42"/>
        <v>42240</v>
      </c>
      <c r="E452" s="142" t="s">
        <v>992</v>
      </c>
      <c r="F452" s="142"/>
      <c r="G452" s="143" t="s">
        <v>94</v>
      </c>
      <c r="H452" s="144"/>
      <c r="I452" s="144">
        <v>45000</v>
      </c>
      <c r="J452" s="145">
        <f t="shared" si="34"/>
        <v>3652656</v>
      </c>
      <c r="K452" s="145"/>
    </row>
    <row r="453" spans="1:11" s="125" customFormat="1" ht="17.25" customHeight="1">
      <c r="A453" s="125">
        <f t="shared" si="41"/>
        <v>8</v>
      </c>
      <c r="B453" s="140">
        <v>42240</v>
      </c>
      <c r="C453" s="141" t="s">
        <v>368</v>
      </c>
      <c r="D453" s="140">
        <f t="shared" si="42"/>
        <v>42240</v>
      </c>
      <c r="E453" s="142" t="s">
        <v>993</v>
      </c>
      <c r="F453" s="142"/>
      <c r="G453" s="143" t="s">
        <v>35</v>
      </c>
      <c r="H453" s="144"/>
      <c r="I453" s="144">
        <v>4500</v>
      </c>
      <c r="J453" s="145">
        <f t="shared" si="34"/>
        <v>3648156</v>
      </c>
      <c r="K453" s="145"/>
    </row>
    <row r="454" spans="1:11" s="125" customFormat="1" ht="17.25" customHeight="1">
      <c r="A454" s="125">
        <f t="shared" si="41"/>
        <v>8</v>
      </c>
      <c r="B454" s="140">
        <v>42240</v>
      </c>
      <c r="C454" s="141" t="s">
        <v>371</v>
      </c>
      <c r="D454" s="140">
        <f t="shared" si="40"/>
        <v>42240</v>
      </c>
      <c r="E454" s="142" t="s">
        <v>413</v>
      </c>
      <c r="F454" s="142"/>
      <c r="G454" s="143" t="s">
        <v>414</v>
      </c>
      <c r="H454" s="144">
        <v>36881</v>
      </c>
      <c r="I454" s="144"/>
      <c r="J454" s="145">
        <f t="shared" si="34"/>
        <v>3685037</v>
      </c>
      <c r="K454" s="145"/>
    </row>
    <row r="455" spans="1:11" s="125" customFormat="1" ht="17.25" customHeight="1">
      <c r="A455" s="125">
        <f t="shared" si="41"/>
        <v>8</v>
      </c>
      <c r="B455" s="140">
        <v>42244</v>
      </c>
      <c r="C455" s="141" t="s">
        <v>371</v>
      </c>
      <c r="D455" s="140">
        <f t="shared" si="40"/>
        <v>42244</v>
      </c>
      <c r="E455" s="142" t="s">
        <v>71</v>
      </c>
      <c r="F455" s="142"/>
      <c r="G455" s="143" t="s">
        <v>367</v>
      </c>
      <c r="H455" s="144">
        <v>700000000</v>
      </c>
      <c r="I455" s="144"/>
      <c r="J455" s="145">
        <f t="shared" si="34"/>
        <v>703685037</v>
      </c>
      <c r="K455" s="145"/>
    </row>
    <row r="456" spans="1:11" s="125" customFormat="1" ht="17.25" customHeight="1">
      <c r="A456" s="125">
        <f t="shared" ref="A456" si="45">IF(B456&lt;&gt;"",MONTH(B456),"")</f>
        <v>8</v>
      </c>
      <c r="B456" s="140">
        <v>42245</v>
      </c>
      <c r="C456" s="141" t="s">
        <v>371</v>
      </c>
      <c r="D456" s="140">
        <f t="shared" ref="D456" si="46">IF(B456&lt;&gt;"",B456,"")</f>
        <v>42245</v>
      </c>
      <c r="E456" s="142" t="s">
        <v>71</v>
      </c>
      <c r="F456" s="142"/>
      <c r="G456" s="143" t="s">
        <v>367</v>
      </c>
      <c r="H456" s="144">
        <v>800000000</v>
      </c>
      <c r="I456" s="144"/>
      <c r="J456" s="145">
        <f t="shared" si="34"/>
        <v>1503685037</v>
      </c>
      <c r="K456" s="145"/>
    </row>
    <row r="457" spans="1:11" s="125" customFormat="1" ht="17.25" customHeight="1">
      <c r="A457" s="125">
        <f t="shared" ref="A457" si="47">IF(B457&lt;&gt;"",MONTH(B457),"")</f>
        <v>8</v>
      </c>
      <c r="B457" s="140">
        <v>42245</v>
      </c>
      <c r="C457" s="141" t="s">
        <v>371</v>
      </c>
      <c r="D457" s="140">
        <f t="shared" ref="D457" si="48">IF(B457&lt;&gt;"",B457,"")</f>
        <v>42245</v>
      </c>
      <c r="E457" s="142" t="s">
        <v>71</v>
      </c>
      <c r="F457" s="142"/>
      <c r="G457" s="143" t="s">
        <v>367</v>
      </c>
      <c r="H457" s="144">
        <v>70000000</v>
      </c>
      <c r="I457" s="144"/>
      <c r="J457" s="145">
        <f t="shared" si="34"/>
        <v>1573685037</v>
      </c>
      <c r="K457" s="145"/>
    </row>
    <row r="458" spans="1:11" s="125" customFormat="1" ht="17.25" customHeight="1">
      <c r="A458" s="125">
        <f t="shared" ref="A458" si="49">IF(B458&lt;&gt;"",MONTH(B458),"")</f>
        <v>8</v>
      </c>
      <c r="B458" s="140">
        <v>42245</v>
      </c>
      <c r="C458" s="141" t="s">
        <v>368</v>
      </c>
      <c r="D458" s="140">
        <f t="shared" ref="D458" si="50">IF(B458&lt;&gt;"",B458,"")</f>
        <v>42245</v>
      </c>
      <c r="E458" s="142" t="s">
        <v>677</v>
      </c>
      <c r="F458" s="142"/>
      <c r="G458" s="143" t="s">
        <v>370</v>
      </c>
      <c r="H458" s="144"/>
      <c r="I458" s="144">
        <v>1566507500</v>
      </c>
      <c r="J458" s="145">
        <f t="shared" si="34"/>
        <v>7177537</v>
      </c>
      <c r="K458" s="145"/>
    </row>
    <row r="459" spans="1:11" s="125" customFormat="1" ht="17.25" customHeight="1">
      <c r="A459" s="125">
        <f t="shared" ref="A459" si="51">IF(B459&lt;&gt;"",MONTH(B459),"")</f>
        <v>8</v>
      </c>
      <c r="B459" s="140">
        <v>42245</v>
      </c>
      <c r="C459" s="141" t="s">
        <v>368</v>
      </c>
      <c r="D459" s="140">
        <f t="shared" ref="D459" si="52">IF(B459&lt;&gt;"",B459,"")</f>
        <v>42245</v>
      </c>
      <c r="E459" s="142" t="s">
        <v>1001</v>
      </c>
      <c r="F459" s="142"/>
      <c r="G459" s="143" t="s">
        <v>374</v>
      </c>
      <c r="H459" s="144"/>
      <c r="I459" s="144">
        <v>2673322</v>
      </c>
      <c r="J459" s="145">
        <f t="shared" si="34"/>
        <v>4504215</v>
      </c>
      <c r="K459" s="145"/>
    </row>
    <row r="460" spans="1:11" s="125" customFormat="1" ht="17.25" customHeight="1">
      <c r="A460" s="125">
        <f t="shared" ref="A460" si="53">IF(B460&lt;&gt;"",MONTH(B460),"")</f>
        <v>8</v>
      </c>
      <c r="B460" s="140">
        <v>42247</v>
      </c>
      <c r="C460" s="141" t="s">
        <v>371</v>
      </c>
      <c r="D460" s="140">
        <f t="shared" ref="D460" si="54">IF(B460&lt;&gt;"",B460,"")</f>
        <v>42247</v>
      </c>
      <c r="E460" s="142" t="s">
        <v>372</v>
      </c>
      <c r="F460" s="142"/>
      <c r="G460" s="143" t="s">
        <v>370</v>
      </c>
      <c r="H460" s="144">
        <v>1842540000</v>
      </c>
      <c r="I460" s="144"/>
      <c r="J460" s="145">
        <f t="shared" si="34"/>
        <v>1847044215</v>
      </c>
      <c r="K460" s="145"/>
    </row>
    <row r="461" spans="1:11" s="125" customFormat="1" ht="17.25" customHeight="1">
      <c r="A461" s="125">
        <f t="shared" ref="A461:A692" si="55">IF(B461&lt;&gt;"",MONTH(B461),"")</f>
        <v>8</v>
      </c>
      <c r="B461" s="140">
        <v>42247</v>
      </c>
      <c r="C461" s="141" t="s">
        <v>368</v>
      </c>
      <c r="D461" s="140">
        <f t="shared" ref="D461:D471" si="56">IF(B461&lt;&gt;"",B461,"")</f>
        <v>42247</v>
      </c>
      <c r="E461" s="142" t="s">
        <v>62</v>
      </c>
      <c r="F461" s="142"/>
      <c r="G461" s="143" t="s">
        <v>367</v>
      </c>
      <c r="H461" s="144"/>
      <c r="I461" s="144">
        <v>1830000000</v>
      </c>
      <c r="J461" s="145">
        <f t="shared" si="34"/>
        <v>17044215</v>
      </c>
      <c r="K461" s="145"/>
    </row>
    <row r="462" spans="1:11" s="125" customFormat="1" ht="17.25" customHeight="1">
      <c r="A462" s="125">
        <f t="shared" si="55"/>
        <v>9</v>
      </c>
      <c r="B462" s="140">
        <v>42248</v>
      </c>
      <c r="C462" s="141" t="s">
        <v>371</v>
      </c>
      <c r="D462" s="140">
        <f t="shared" si="56"/>
        <v>42248</v>
      </c>
      <c r="E462" s="142" t="s">
        <v>420</v>
      </c>
      <c r="F462" s="142"/>
      <c r="G462" s="143" t="s">
        <v>36</v>
      </c>
      <c r="H462" s="144">
        <v>900000000</v>
      </c>
      <c r="I462" s="144"/>
      <c r="J462" s="145">
        <f t="shared" si="34"/>
        <v>917044215</v>
      </c>
      <c r="K462" s="145"/>
    </row>
    <row r="463" spans="1:11" s="125" customFormat="1" ht="17.25" customHeight="1">
      <c r="A463" s="125">
        <f t="shared" si="55"/>
        <v>9</v>
      </c>
      <c r="B463" s="140">
        <v>42248</v>
      </c>
      <c r="C463" s="141" t="s">
        <v>368</v>
      </c>
      <c r="D463" s="140">
        <f t="shared" si="56"/>
        <v>42248</v>
      </c>
      <c r="E463" s="142" t="s">
        <v>677</v>
      </c>
      <c r="F463" s="142"/>
      <c r="G463" s="143" t="s">
        <v>370</v>
      </c>
      <c r="H463" s="144"/>
      <c r="I463" s="144">
        <v>899520000</v>
      </c>
      <c r="J463" s="145">
        <f t="shared" si="34"/>
        <v>17524215</v>
      </c>
      <c r="K463" s="145"/>
    </row>
    <row r="464" spans="1:11" s="125" customFormat="1" ht="17.25" customHeight="1">
      <c r="A464" s="125">
        <f t="shared" si="55"/>
        <v>9</v>
      </c>
      <c r="B464" s="140">
        <v>42250</v>
      </c>
      <c r="C464" s="141" t="s">
        <v>371</v>
      </c>
      <c r="D464" s="140">
        <f t="shared" si="56"/>
        <v>42250</v>
      </c>
      <c r="E464" s="142" t="s">
        <v>71</v>
      </c>
      <c r="F464" s="142"/>
      <c r="G464" s="143" t="s">
        <v>367</v>
      </c>
      <c r="H464" s="144">
        <v>220000000</v>
      </c>
      <c r="I464" s="144"/>
      <c r="J464" s="145">
        <f t="shared" si="34"/>
        <v>237524215</v>
      </c>
      <c r="K464" s="145"/>
    </row>
    <row r="465" spans="1:11" s="125" customFormat="1" ht="17.25" customHeight="1">
      <c r="A465" s="125">
        <f t="shared" si="55"/>
        <v>9</v>
      </c>
      <c r="B465" s="140">
        <v>42250</v>
      </c>
      <c r="C465" s="141" t="s">
        <v>371</v>
      </c>
      <c r="D465" s="140">
        <f t="shared" si="56"/>
        <v>42250</v>
      </c>
      <c r="E465" s="142" t="s">
        <v>372</v>
      </c>
      <c r="F465" s="142"/>
      <c r="G465" s="143" t="s">
        <v>370</v>
      </c>
      <c r="H465" s="144">
        <v>899320000</v>
      </c>
      <c r="I465" s="144"/>
      <c r="J465" s="145">
        <f t="shared" si="34"/>
        <v>1136844215</v>
      </c>
      <c r="K465" s="145"/>
    </row>
    <row r="466" spans="1:11" s="125" customFormat="1" ht="17.25" customHeight="1">
      <c r="A466" s="125">
        <f t="shared" si="55"/>
        <v>9</v>
      </c>
      <c r="B466" s="140">
        <v>42250</v>
      </c>
      <c r="C466" s="141" t="s">
        <v>368</v>
      </c>
      <c r="D466" s="140">
        <f t="shared" si="56"/>
        <v>42250</v>
      </c>
      <c r="E466" s="142" t="s">
        <v>62</v>
      </c>
      <c r="F466" s="142"/>
      <c r="G466" s="143" t="s">
        <v>367</v>
      </c>
      <c r="H466" s="144"/>
      <c r="I466" s="144">
        <v>900000000</v>
      </c>
      <c r="J466" s="145">
        <f t="shared" si="34"/>
        <v>236844215</v>
      </c>
      <c r="K466" s="145"/>
    </row>
    <row r="467" spans="1:11" s="125" customFormat="1" ht="17.25" customHeight="1">
      <c r="A467" s="125">
        <f t="shared" si="55"/>
        <v>9</v>
      </c>
      <c r="B467" s="140">
        <v>42251</v>
      </c>
      <c r="C467" s="141" t="s">
        <v>371</v>
      </c>
      <c r="D467" s="140">
        <f t="shared" si="56"/>
        <v>42251</v>
      </c>
      <c r="E467" s="142" t="s">
        <v>420</v>
      </c>
      <c r="F467" s="142"/>
      <c r="G467" s="143" t="s">
        <v>36</v>
      </c>
      <c r="H467" s="144">
        <v>900000000</v>
      </c>
      <c r="I467" s="144"/>
      <c r="J467" s="145">
        <f t="shared" ref="J467:J501" si="57">IF(B467&lt;&gt;"",J466+H467-I467,0)</f>
        <v>1136844215</v>
      </c>
      <c r="K467" s="145"/>
    </row>
    <row r="468" spans="1:11" s="125" customFormat="1" ht="17.25" customHeight="1">
      <c r="A468" s="125">
        <f t="shared" si="55"/>
        <v>9</v>
      </c>
      <c r="B468" s="140">
        <v>42251</v>
      </c>
      <c r="C468" s="141" t="s">
        <v>368</v>
      </c>
      <c r="D468" s="140">
        <f t="shared" si="56"/>
        <v>42251</v>
      </c>
      <c r="E468" s="142" t="s">
        <v>677</v>
      </c>
      <c r="F468" s="142"/>
      <c r="G468" s="143" t="s">
        <v>370</v>
      </c>
      <c r="H468" s="144"/>
      <c r="I468" s="144">
        <v>1124250000</v>
      </c>
      <c r="J468" s="145">
        <f t="shared" si="57"/>
        <v>12594215</v>
      </c>
      <c r="K468" s="145"/>
    </row>
    <row r="469" spans="1:11" s="125" customFormat="1" ht="17.25" customHeight="1">
      <c r="A469" s="125">
        <f t="shared" si="55"/>
        <v>9</v>
      </c>
      <c r="B469" s="140">
        <v>42251</v>
      </c>
      <c r="C469" s="141" t="s">
        <v>368</v>
      </c>
      <c r="D469" s="140">
        <f t="shared" si="56"/>
        <v>42251</v>
      </c>
      <c r="E469" s="142" t="s">
        <v>1088</v>
      </c>
      <c r="F469" s="142"/>
      <c r="G469" s="143" t="s">
        <v>374</v>
      </c>
      <c r="H469" s="144"/>
      <c r="I469" s="144">
        <v>3525075</v>
      </c>
      <c r="J469" s="145">
        <f t="shared" si="57"/>
        <v>9069140</v>
      </c>
      <c r="K469" s="145"/>
    </row>
    <row r="470" spans="1:11" s="125" customFormat="1" ht="17.25" customHeight="1">
      <c r="A470" s="125">
        <f t="shared" si="55"/>
        <v>9</v>
      </c>
      <c r="B470" s="140">
        <v>42251</v>
      </c>
      <c r="C470" s="141" t="s">
        <v>371</v>
      </c>
      <c r="D470" s="140">
        <f t="shared" si="56"/>
        <v>42251</v>
      </c>
      <c r="E470" s="142" t="s">
        <v>372</v>
      </c>
      <c r="F470" s="142"/>
      <c r="G470" s="143" t="s">
        <v>370</v>
      </c>
      <c r="H470" s="144">
        <v>1124000000</v>
      </c>
      <c r="I470" s="144"/>
      <c r="J470" s="145">
        <f t="shared" si="57"/>
        <v>1133069140</v>
      </c>
      <c r="K470" s="145"/>
    </row>
    <row r="471" spans="1:11" s="125" customFormat="1" ht="17.25" customHeight="1">
      <c r="A471" s="125">
        <f t="shared" si="55"/>
        <v>9</v>
      </c>
      <c r="B471" s="140">
        <v>42251</v>
      </c>
      <c r="C471" s="141" t="s">
        <v>368</v>
      </c>
      <c r="D471" s="140">
        <f t="shared" si="56"/>
        <v>42251</v>
      </c>
      <c r="E471" s="142" t="s">
        <v>62</v>
      </c>
      <c r="F471" s="142"/>
      <c r="G471" s="143" t="s">
        <v>367</v>
      </c>
      <c r="H471" s="144"/>
      <c r="I471" s="144">
        <v>1130000000</v>
      </c>
      <c r="J471" s="145">
        <f t="shared" si="57"/>
        <v>3069140</v>
      </c>
      <c r="K471" s="145"/>
    </row>
    <row r="472" spans="1:11" s="125" customFormat="1" ht="17.25" customHeight="1">
      <c r="A472" s="125">
        <f t="shared" si="55"/>
        <v>9</v>
      </c>
      <c r="B472" s="140">
        <v>42251</v>
      </c>
      <c r="C472" s="141" t="s">
        <v>371</v>
      </c>
      <c r="D472" s="140">
        <v>42251</v>
      </c>
      <c r="E472" s="142" t="s">
        <v>71</v>
      </c>
      <c r="F472" s="142"/>
      <c r="G472" s="143" t="s">
        <v>367</v>
      </c>
      <c r="H472" s="144">
        <v>100000000</v>
      </c>
      <c r="I472" s="144"/>
      <c r="J472" s="145">
        <f t="shared" si="57"/>
        <v>103069140</v>
      </c>
      <c r="K472" s="145"/>
    </row>
    <row r="473" spans="1:11" s="125" customFormat="1" ht="17.25" customHeight="1">
      <c r="A473" s="125">
        <f t="shared" si="55"/>
        <v>9</v>
      </c>
      <c r="B473" s="140">
        <v>42254</v>
      </c>
      <c r="C473" s="141" t="s">
        <v>368</v>
      </c>
      <c r="D473" s="140">
        <v>42254</v>
      </c>
      <c r="E473" s="142" t="s">
        <v>373</v>
      </c>
      <c r="F473" s="142"/>
      <c r="G473" s="143" t="s">
        <v>374</v>
      </c>
      <c r="H473" s="144"/>
      <c r="I473" s="144">
        <v>2434725</v>
      </c>
      <c r="J473" s="145">
        <f t="shared" si="57"/>
        <v>100634415</v>
      </c>
      <c r="K473" s="145"/>
    </row>
    <row r="474" spans="1:11" s="125" customFormat="1" ht="17.25" customHeight="1">
      <c r="A474" s="125">
        <f t="shared" si="55"/>
        <v>9</v>
      </c>
      <c r="B474" s="140">
        <v>42254</v>
      </c>
      <c r="C474" s="141" t="s">
        <v>368</v>
      </c>
      <c r="D474" s="140">
        <v>42254</v>
      </c>
      <c r="E474" s="142" t="s">
        <v>375</v>
      </c>
      <c r="F474" s="142"/>
      <c r="G474" s="143" t="s">
        <v>374</v>
      </c>
      <c r="H474" s="144"/>
      <c r="I474" s="144">
        <v>5774400</v>
      </c>
      <c r="J474" s="145">
        <f t="shared" si="57"/>
        <v>94860015</v>
      </c>
      <c r="K474" s="145"/>
    </row>
    <row r="475" spans="1:11" s="125" customFormat="1" ht="17.25" customHeight="1">
      <c r="A475" s="125">
        <f t="shared" si="55"/>
        <v>9</v>
      </c>
      <c r="B475" s="140">
        <v>42254</v>
      </c>
      <c r="C475" s="141" t="s">
        <v>368</v>
      </c>
      <c r="D475" s="140">
        <v>42254</v>
      </c>
      <c r="E475" s="142" t="s">
        <v>376</v>
      </c>
      <c r="F475" s="142"/>
      <c r="G475" s="143" t="s">
        <v>374</v>
      </c>
      <c r="H475" s="144"/>
      <c r="I475" s="144">
        <v>3589875</v>
      </c>
      <c r="J475" s="145">
        <f t="shared" ref="J475" si="58">IF(B475&lt;&gt;"",J474+H475-I475,0)</f>
        <v>91270140</v>
      </c>
      <c r="K475" s="145"/>
    </row>
    <row r="476" spans="1:11" s="125" customFormat="1" ht="17.25" customHeight="1">
      <c r="A476" s="125">
        <f t="shared" si="55"/>
        <v>9</v>
      </c>
      <c r="B476" s="140">
        <v>42254</v>
      </c>
      <c r="C476" s="141" t="s">
        <v>368</v>
      </c>
      <c r="D476" s="140">
        <v>42254</v>
      </c>
      <c r="E476" s="142" t="s">
        <v>377</v>
      </c>
      <c r="F476" s="142"/>
      <c r="G476" s="143" t="s">
        <v>374</v>
      </c>
      <c r="H476" s="144"/>
      <c r="I476" s="144">
        <v>5025375</v>
      </c>
      <c r="J476" s="145">
        <f t="shared" si="57"/>
        <v>86244765</v>
      </c>
      <c r="K476" s="145"/>
    </row>
    <row r="477" spans="1:11" s="125" customFormat="1" ht="17.25" customHeight="1">
      <c r="A477" s="125">
        <f t="shared" si="55"/>
        <v>9</v>
      </c>
      <c r="B477" s="140">
        <v>42254</v>
      </c>
      <c r="C477" s="141" t="s">
        <v>368</v>
      </c>
      <c r="D477" s="140">
        <v>42254</v>
      </c>
      <c r="E477" s="142" t="s">
        <v>1089</v>
      </c>
      <c r="F477" s="142"/>
      <c r="G477" s="143" t="s">
        <v>34</v>
      </c>
      <c r="H477" s="144"/>
      <c r="I477" s="144">
        <v>1260000</v>
      </c>
      <c r="J477" s="145">
        <f t="shared" si="57"/>
        <v>84984765</v>
      </c>
      <c r="K477" s="145"/>
    </row>
    <row r="478" spans="1:11" s="125" customFormat="1" ht="17.25" customHeight="1">
      <c r="A478" s="125">
        <f t="shared" si="55"/>
        <v>9</v>
      </c>
      <c r="B478" s="140">
        <v>42254</v>
      </c>
      <c r="C478" s="141" t="s">
        <v>368</v>
      </c>
      <c r="D478" s="140">
        <v>42254</v>
      </c>
      <c r="E478" s="142" t="s">
        <v>394</v>
      </c>
      <c r="F478" s="142"/>
      <c r="G478" s="143" t="s">
        <v>94</v>
      </c>
      <c r="H478" s="144"/>
      <c r="I478" s="144">
        <v>20000</v>
      </c>
      <c r="J478" s="145">
        <f t="shared" ref="J478:J479" si="59">IF(B478&lt;&gt;"",J477+H478-I478,0)</f>
        <v>84964765</v>
      </c>
      <c r="K478" s="145"/>
    </row>
    <row r="479" spans="1:11" s="125" customFormat="1" ht="17.25" customHeight="1">
      <c r="A479" s="125">
        <f t="shared" si="55"/>
        <v>9</v>
      </c>
      <c r="B479" s="140">
        <v>42254</v>
      </c>
      <c r="C479" s="141" t="s">
        <v>368</v>
      </c>
      <c r="D479" s="140">
        <v>42254</v>
      </c>
      <c r="E479" s="142" t="s">
        <v>395</v>
      </c>
      <c r="F479" s="142"/>
      <c r="G479" s="143" t="s">
        <v>35</v>
      </c>
      <c r="H479" s="144"/>
      <c r="I479" s="144">
        <v>2000</v>
      </c>
      <c r="J479" s="145">
        <f t="shared" si="59"/>
        <v>84962765</v>
      </c>
      <c r="K479" s="145"/>
    </row>
    <row r="480" spans="1:11" s="125" customFormat="1" ht="17.25" customHeight="1">
      <c r="A480" s="125">
        <f t="shared" si="55"/>
        <v>9</v>
      </c>
      <c r="B480" s="140">
        <v>42254</v>
      </c>
      <c r="C480" s="141" t="s">
        <v>368</v>
      </c>
      <c r="D480" s="140">
        <v>42254</v>
      </c>
      <c r="E480" s="142" t="s">
        <v>1090</v>
      </c>
      <c r="F480" s="142"/>
      <c r="G480" s="143" t="s">
        <v>34</v>
      </c>
      <c r="H480" s="144"/>
      <c r="I480" s="144">
        <v>57697877</v>
      </c>
      <c r="J480" s="145">
        <f t="shared" si="57"/>
        <v>27264888</v>
      </c>
      <c r="K480" s="145"/>
    </row>
    <row r="481" spans="1:11" s="125" customFormat="1" ht="17.25" customHeight="1">
      <c r="A481" s="125">
        <f t="shared" si="55"/>
        <v>9</v>
      </c>
      <c r="B481" s="140">
        <v>42254</v>
      </c>
      <c r="C481" s="141" t="s">
        <v>368</v>
      </c>
      <c r="D481" s="140">
        <v>42254</v>
      </c>
      <c r="E481" s="142" t="s">
        <v>394</v>
      </c>
      <c r="F481" s="142"/>
      <c r="G481" s="143" t="s">
        <v>94</v>
      </c>
      <c r="H481" s="144"/>
      <c r="I481" s="144">
        <v>20000</v>
      </c>
      <c r="J481" s="145">
        <f t="shared" si="57"/>
        <v>27244888</v>
      </c>
      <c r="K481" s="145"/>
    </row>
    <row r="482" spans="1:11" s="125" customFormat="1" ht="17.25" customHeight="1">
      <c r="A482" s="125">
        <f t="shared" si="55"/>
        <v>9</v>
      </c>
      <c r="B482" s="140">
        <v>42254</v>
      </c>
      <c r="C482" s="141" t="s">
        <v>368</v>
      </c>
      <c r="D482" s="140">
        <v>42254</v>
      </c>
      <c r="E482" s="142" t="s">
        <v>395</v>
      </c>
      <c r="F482" s="142"/>
      <c r="G482" s="143" t="s">
        <v>35</v>
      </c>
      <c r="H482" s="144"/>
      <c r="I482" s="144">
        <v>2000</v>
      </c>
      <c r="J482" s="145">
        <f t="shared" si="57"/>
        <v>27242888</v>
      </c>
      <c r="K482" s="145"/>
    </row>
    <row r="483" spans="1:11" s="125" customFormat="1" ht="17.25" customHeight="1">
      <c r="A483" s="125">
        <f t="shared" si="55"/>
        <v>9</v>
      </c>
      <c r="B483" s="140">
        <v>42254</v>
      </c>
      <c r="C483" s="141" t="s">
        <v>368</v>
      </c>
      <c r="D483" s="140">
        <v>42254</v>
      </c>
      <c r="E483" s="142" t="s">
        <v>1089</v>
      </c>
      <c r="F483" s="142"/>
      <c r="G483" s="143" t="s">
        <v>34</v>
      </c>
      <c r="H483" s="144"/>
      <c r="I483" s="144">
        <v>3470000</v>
      </c>
      <c r="J483" s="145">
        <f t="shared" si="57"/>
        <v>23772888</v>
      </c>
      <c r="K483" s="145"/>
    </row>
    <row r="484" spans="1:11" s="125" customFormat="1" ht="17.25" customHeight="1">
      <c r="A484" s="125">
        <f t="shared" si="55"/>
        <v>9</v>
      </c>
      <c r="B484" s="140">
        <v>42254</v>
      </c>
      <c r="C484" s="141" t="s">
        <v>368</v>
      </c>
      <c r="D484" s="140">
        <v>42254</v>
      </c>
      <c r="E484" s="142" t="s">
        <v>394</v>
      </c>
      <c r="F484" s="142"/>
      <c r="G484" s="143" t="s">
        <v>94</v>
      </c>
      <c r="H484" s="144"/>
      <c r="I484" s="144">
        <v>20000</v>
      </c>
      <c r="J484" s="145">
        <f t="shared" si="57"/>
        <v>23752888</v>
      </c>
      <c r="K484" s="145"/>
    </row>
    <row r="485" spans="1:11" s="125" customFormat="1" ht="17.25" customHeight="1">
      <c r="A485" s="125">
        <f t="shared" si="55"/>
        <v>9</v>
      </c>
      <c r="B485" s="140">
        <v>42254</v>
      </c>
      <c r="C485" s="141" t="s">
        <v>368</v>
      </c>
      <c r="D485" s="140">
        <v>42254</v>
      </c>
      <c r="E485" s="142" t="s">
        <v>395</v>
      </c>
      <c r="F485" s="142"/>
      <c r="G485" s="143" t="s">
        <v>35</v>
      </c>
      <c r="H485" s="144"/>
      <c r="I485" s="144">
        <v>2000</v>
      </c>
      <c r="J485" s="145">
        <f t="shared" si="57"/>
        <v>23750888</v>
      </c>
      <c r="K485" s="145"/>
    </row>
    <row r="486" spans="1:11" s="125" customFormat="1" ht="17.25" customHeight="1">
      <c r="A486" s="125">
        <f t="shared" si="55"/>
        <v>9</v>
      </c>
      <c r="B486" s="140">
        <v>42255</v>
      </c>
      <c r="C486" s="141" t="s">
        <v>371</v>
      </c>
      <c r="D486" s="140">
        <v>42255</v>
      </c>
      <c r="E486" s="142" t="s">
        <v>71</v>
      </c>
      <c r="F486" s="142"/>
      <c r="G486" s="143" t="s">
        <v>367</v>
      </c>
      <c r="H486" s="144">
        <v>15000000</v>
      </c>
      <c r="I486" s="144"/>
      <c r="J486" s="145">
        <f t="shared" si="57"/>
        <v>38750888</v>
      </c>
      <c r="K486" s="145"/>
    </row>
    <row r="487" spans="1:11" s="125" customFormat="1" ht="17.25" customHeight="1">
      <c r="A487" s="125">
        <f t="shared" si="55"/>
        <v>9</v>
      </c>
      <c r="B487" s="140">
        <v>42255</v>
      </c>
      <c r="C487" s="141" t="s">
        <v>368</v>
      </c>
      <c r="D487" s="140">
        <v>42255</v>
      </c>
      <c r="E487" s="142" t="s">
        <v>1091</v>
      </c>
      <c r="F487" s="142"/>
      <c r="G487" s="143" t="s">
        <v>34</v>
      </c>
      <c r="H487" s="144"/>
      <c r="I487" s="144">
        <v>37329930</v>
      </c>
      <c r="J487" s="145">
        <f t="shared" si="57"/>
        <v>1420958</v>
      </c>
      <c r="K487" s="145"/>
    </row>
    <row r="488" spans="1:11" s="125" customFormat="1" ht="17.25" customHeight="1">
      <c r="A488" s="125">
        <f t="shared" si="55"/>
        <v>9</v>
      </c>
      <c r="B488" s="140">
        <v>42255</v>
      </c>
      <c r="C488" s="141" t="s">
        <v>368</v>
      </c>
      <c r="D488" s="140">
        <v>42255</v>
      </c>
      <c r="E488" s="142" t="s">
        <v>394</v>
      </c>
      <c r="F488" s="142"/>
      <c r="G488" s="143" t="s">
        <v>94</v>
      </c>
      <c r="H488" s="144"/>
      <c r="I488" s="144">
        <v>40000</v>
      </c>
      <c r="J488" s="145">
        <f t="shared" si="57"/>
        <v>1380958</v>
      </c>
      <c r="K488" s="145"/>
    </row>
    <row r="489" spans="1:11" s="125" customFormat="1" ht="17.25" customHeight="1">
      <c r="A489" s="125">
        <f t="shared" si="55"/>
        <v>9</v>
      </c>
      <c r="B489" s="140">
        <v>42255</v>
      </c>
      <c r="C489" s="141" t="s">
        <v>368</v>
      </c>
      <c r="D489" s="140">
        <v>42255</v>
      </c>
      <c r="E489" s="142" t="s">
        <v>395</v>
      </c>
      <c r="F489" s="142"/>
      <c r="G489" s="143" t="s">
        <v>35</v>
      </c>
      <c r="H489" s="144"/>
      <c r="I489" s="144">
        <v>4000</v>
      </c>
      <c r="J489" s="145">
        <f t="shared" si="57"/>
        <v>1376958</v>
      </c>
      <c r="K489" s="145"/>
    </row>
    <row r="490" spans="1:11" s="125" customFormat="1" ht="17.25" customHeight="1">
      <c r="A490" s="125">
        <f t="shared" si="55"/>
        <v>9</v>
      </c>
      <c r="B490" s="140">
        <v>42258</v>
      </c>
      <c r="C490" s="141" t="s">
        <v>371</v>
      </c>
      <c r="D490" s="140">
        <v>42258</v>
      </c>
      <c r="E490" s="142" t="s">
        <v>1142</v>
      </c>
      <c r="F490" s="142"/>
      <c r="G490" s="333" t="s">
        <v>1092</v>
      </c>
      <c r="H490" s="144">
        <v>33633588</v>
      </c>
      <c r="I490" s="144"/>
      <c r="J490" s="145">
        <f t="shared" si="57"/>
        <v>35010546</v>
      </c>
      <c r="K490" s="145"/>
    </row>
    <row r="491" spans="1:11" s="125" customFormat="1" ht="17.25" customHeight="1">
      <c r="A491" s="125">
        <f t="shared" si="55"/>
        <v>9</v>
      </c>
      <c r="B491" s="140">
        <v>42265</v>
      </c>
      <c r="C491" s="141" t="s">
        <v>368</v>
      </c>
      <c r="D491" s="140">
        <v>42265</v>
      </c>
      <c r="E491" s="142" t="s">
        <v>1093</v>
      </c>
      <c r="F491" s="142"/>
      <c r="G491" s="143" t="s">
        <v>374</v>
      </c>
      <c r="H491" s="144"/>
      <c r="I491" s="144">
        <v>6936300</v>
      </c>
      <c r="J491" s="145">
        <f t="shared" si="57"/>
        <v>28074246</v>
      </c>
      <c r="K491" s="145"/>
    </row>
    <row r="492" spans="1:11" s="125" customFormat="1" ht="17.25" customHeight="1">
      <c r="A492" s="125">
        <f t="shared" si="55"/>
        <v>9</v>
      </c>
      <c r="B492" s="140">
        <v>42265</v>
      </c>
      <c r="C492" s="141" t="s">
        <v>368</v>
      </c>
      <c r="D492" s="140">
        <v>42265</v>
      </c>
      <c r="E492" s="142" t="s">
        <v>1094</v>
      </c>
      <c r="F492" s="142"/>
      <c r="G492" s="143" t="s">
        <v>374</v>
      </c>
      <c r="H492" s="144"/>
      <c r="I492" s="144">
        <v>4766175</v>
      </c>
      <c r="J492" s="145">
        <f t="shared" si="57"/>
        <v>23308071</v>
      </c>
      <c r="K492" s="145"/>
    </row>
    <row r="493" spans="1:11" s="125" customFormat="1" ht="17.25" customHeight="1">
      <c r="A493" s="125">
        <f t="shared" si="55"/>
        <v>9</v>
      </c>
      <c r="B493" s="140">
        <v>42265</v>
      </c>
      <c r="C493" s="141" t="s">
        <v>368</v>
      </c>
      <c r="D493" s="140">
        <v>42265</v>
      </c>
      <c r="E493" s="142" t="s">
        <v>1095</v>
      </c>
      <c r="F493" s="142"/>
      <c r="G493" s="143" t="s">
        <v>374</v>
      </c>
      <c r="H493" s="144"/>
      <c r="I493" s="144">
        <v>6936300</v>
      </c>
      <c r="J493" s="145">
        <f t="shared" ref="J493:J495" si="60">IF(B493&lt;&gt;"",J492+H493-I493,0)</f>
        <v>16371771</v>
      </c>
      <c r="K493" s="145"/>
    </row>
    <row r="494" spans="1:11" s="125" customFormat="1" ht="17.25" customHeight="1">
      <c r="A494" s="125">
        <f t="shared" si="55"/>
        <v>9</v>
      </c>
      <c r="B494" s="140">
        <v>42265</v>
      </c>
      <c r="C494" s="141" t="s">
        <v>368</v>
      </c>
      <c r="D494" s="140">
        <v>42265</v>
      </c>
      <c r="E494" s="142" t="s">
        <v>1096</v>
      </c>
      <c r="F494" s="142"/>
      <c r="G494" s="143" t="s">
        <v>374</v>
      </c>
      <c r="H494" s="144"/>
      <c r="I494" s="144">
        <v>5424975</v>
      </c>
      <c r="J494" s="145">
        <f t="shared" si="60"/>
        <v>10946796</v>
      </c>
      <c r="K494" s="145"/>
    </row>
    <row r="495" spans="1:11" s="125" customFormat="1" ht="17.25" customHeight="1">
      <c r="A495" s="125">
        <f t="shared" si="55"/>
        <v>9</v>
      </c>
      <c r="B495" s="140">
        <v>42265</v>
      </c>
      <c r="C495" s="141" t="s">
        <v>368</v>
      </c>
      <c r="D495" s="140">
        <v>42265</v>
      </c>
      <c r="E495" s="142" t="s">
        <v>1097</v>
      </c>
      <c r="F495" s="142"/>
      <c r="G495" s="143" t="s">
        <v>374</v>
      </c>
      <c r="H495" s="144"/>
      <c r="I495" s="144">
        <v>1627425</v>
      </c>
      <c r="J495" s="145">
        <f t="shared" si="60"/>
        <v>9319371</v>
      </c>
      <c r="K495" s="145"/>
    </row>
    <row r="496" spans="1:11" s="125" customFormat="1" ht="17.25" customHeight="1">
      <c r="A496" s="125">
        <f t="shared" si="55"/>
        <v>9</v>
      </c>
      <c r="B496" s="140">
        <v>42265</v>
      </c>
      <c r="C496" s="141" t="s">
        <v>371</v>
      </c>
      <c r="D496" s="140">
        <v>42265</v>
      </c>
      <c r="E496" s="142" t="s">
        <v>372</v>
      </c>
      <c r="F496" s="142"/>
      <c r="G496" s="143" t="s">
        <v>370</v>
      </c>
      <c r="H496" s="144">
        <v>1293926400</v>
      </c>
      <c r="I496" s="144"/>
      <c r="J496" s="145">
        <f t="shared" si="57"/>
        <v>1303245771</v>
      </c>
      <c r="K496" s="145"/>
    </row>
    <row r="497" spans="1:11" s="125" customFormat="1" ht="17.25" customHeight="1">
      <c r="A497" s="125">
        <f t="shared" si="55"/>
        <v>9</v>
      </c>
      <c r="B497" s="140">
        <v>42266</v>
      </c>
      <c r="C497" s="141" t="s">
        <v>368</v>
      </c>
      <c r="D497" s="140">
        <v>42266</v>
      </c>
      <c r="E497" s="142" t="s">
        <v>1098</v>
      </c>
      <c r="F497" s="142"/>
      <c r="G497" s="143" t="s">
        <v>34</v>
      </c>
      <c r="H497" s="144"/>
      <c r="I497" s="144">
        <v>31189180</v>
      </c>
      <c r="J497" s="145">
        <f t="shared" si="57"/>
        <v>1272056591</v>
      </c>
      <c r="K497" s="145"/>
    </row>
    <row r="498" spans="1:11" s="125" customFormat="1" ht="17.25" customHeight="1">
      <c r="A498" s="125">
        <f t="shared" si="55"/>
        <v>9</v>
      </c>
      <c r="B498" s="140">
        <v>42266</v>
      </c>
      <c r="C498" s="141" t="s">
        <v>368</v>
      </c>
      <c r="D498" s="140">
        <v>42266</v>
      </c>
      <c r="E498" s="142" t="s">
        <v>394</v>
      </c>
      <c r="F498" s="142"/>
      <c r="G498" s="143" t="s">
        <v>94</v>
      </c>
      <c r="H498" s="144"/>
      <c r="I498" s="144">
        <v>25000</v>
      </c>
      <c r="J498" s="145">
        <f t="shared" si="57"/>
        <v>1272031591</v>
      </c>
      <c r="K498" s="145"/>
    </row>
    <row r="499" spans="1:11" s="125" customFormat="1" ht="17.25" customHeight="1">
      <c r="A499" s="125">
        <f t="shared" si="55"/>
        <v>9</v>
      </c>
      <c r="B499" s="140">
        <v>42266</v>
      </c>
      <c r="C499" s="141" t="s">
        <v>368</v>
      </c>
      <c r="D499" s="140">
        <v>42266</v>
      </c>
      <c r="E499" s="142" t="s">
        <v>395</v>
      </c>
      <c r="F499" s="142"/>
      <c r="G499" s="143" t="s">
        <v>35</v>
      </c>
      <c r="H499" s="144"/>
      <c r="I499" s="144">
        <v>2500</v>
      </c>
      <c r="J499" s="145">
        <f t="shared" si="57"/>
        <v>1272029091</v>
      </c>
      <c r="K499" s="145"/>
    </row>
    <row r="500" spans="1:11" s="125" customFormat="1" ht="17.25" customHeight="1">
      <c r="A500" s="125">
        <f t="shared" si="55"/>
        <v>9</v>
      </c>
      <c r="B500" s="140">
        <v>42266</v>
      </c>
      <c r="C500" s="141" t="s">
        <v>368</v>
      </c>
      <c r="D500" s="140">
        <v>42266</v>
      </c>
      <c r="E500" s="142" t="s">
        <v>62</v>
      </c>
      <c r="F500" s="142"/>
      <c r="G500" s="143" t="s">
        <v>367</v>
      </c>
      <c r="H500" s="144"/>
      <c r="I500" s="144">
        <v>1250000000</v>
      </c>
      <c r="J500" s="145">
        <f t="shared" si="57"/>
        <v>22029091</v>
      </c>
      <c r="K500" s="145"/>
    </row>
    <row r="501" spans="1:11" s="125" customFormat="1" ht="17.25" customHeight="1">
      <c r="A501" s="125">
        <f t="shared" si="55"/>
        <v>9</v>
      </c>
      <c r="B501" s="140">
        <v>42269</v>
      </c>
      <c r="C501" s="141" t="s">
        <v>368</v>
      </c>
      <c r="D501" s="140">
        <v>42269</v>
      </c>
      <c r="E501" s="142" t="s">
        <v>1099</v>
      </c>
      <c r="F501" s="142"/>
      <c r="G501" s="143" t="s">
        <v>34</v>
      </c>
      <c r="H501" s="144"/>
      <c r="I501" s="144">
        <v>3595000</v>
      </c>
      <c r="J501" s="145">
        <f t="shared" si="57"/>
        <v>18434091</v>
      </c>
      <c r="K501" s="145"/>
    </row>
    <row r="502" spans="1:11" s="125" customFormat="1" ht="17.25" customHeight="1">
      <c r="A502" s="125">
        <f t="shared" si="55"/>
        <v>9</v>
      </c>
      <c r="B502" s="140">
        <v>42269</v>
      </c>
      <c r="C502" s="141" t="s">
        <v>368</v>
      </c>
      <c r="D502" s="140">
        <v>42269</v>
      </c>
      <c r="E502" s="142" t="s">
        <v>394</v>
      </c>
      <c r="F502" s="142"/>
      <c r="G502" s="143" t="s">
        <v>94</v>
      </c>
      <c r="H502" s="144"/>
      <c r="I502" s="144">
        <v>20000</v>
      </c>
      <c r="J502" s="145">
        <f t="shared" ref="J502:J503" si="61">IF(B502&lt;&gt;"",J501+H502-I502,0)</f>
        <v>18414091</v>
      </c>
      <c r="K502" s="145"/>
    </row>
    <row r="503" spans="1:11" s="125" customFormat="1" ht="17.25" customHeight="1">
      <c r="A503" s="125">
        <f t="shared" si="55"/>
        <v>9</v>
      </c>
      <c r="B503" s="140">
        <v>42269</v>
      </c>
      <c r="C503" s="141" t="s">
        <v>368</v>
      </c>
      <c r="D503" s="140">
        <v>42269</v>
      </c>
      <c r="E503" s="142" t="s">
        <v>395</v>
      </c>
      <c r="F503" s="142"/>
      <c r="G503" s="143" t="s">
        <v>35</v>
      </c>
      <c r="H503" s="144"/>
      <c r="I503" s="144">
        <v>2000</v>
      </c>
      <c r="J503" s="145">
        <f t="shared" si="61"/>
        <v>18412091</v>
      </c>
      <c r="K503" s="145"/>
    </row>
    <row r="504" spans="1:11" s="125" customFormat="1" ht="17.25" customHeight="1">
      <c r="A504" s="125">
        <f t="shared" si="55"/>
        <v>9</v>
      </c>
      <c r="B504" s="140">
        <v>42271</v>
      </c>
      <c r="C504" s="141" t="s">
        <v>368</v>
      </c>
      <c r="D504" s="140">
        <v>42271</v>
      </c>
      <c r="E504" s="142" t="s">
        <v>394</v>
      </c>
      <c r="F504" s="142"/>
      <c r="G504" s="143" t="s">
        <v>94</v>
      </c>
      <c r="H504" s="144"/>
      <c r="I504" s="144">
        <v>50000</v>
      </c>
      <c r="J504" s="145">
        <f t="shared" ref="J504:J508" si="62">IF(B504&lt;&gt;"",J503+H504-I504,0)</f>
        <v>18362091</v>
      </c>
      <c r="K504" s="145"/>
    </row>
    <row r="505" spans="1:11" s="125" customFormat="1" ht="17.25" customHeight="1">
      <c r="A505" s="125">
        <f t="shared" si="55"/>
        <v>9</v>
      </c>
      <c r="B505" s="140">
        <v>42271</v>
      </c>
      <c r="C505" s="141" t="s">
        <v>368</v>
      </c>
      <c r="D505" s="140">
        <v>42271</v>
      </c>
      <c r="E505" s="142" t="s">
        <v>395</v>
      </c>
      <c r="F505" s="142"/>
      <c r="G505" s="143" t="s">
        <v>35</v>
      </c>
      <c r="H505" s="144"/>
      <c r="I505" s="144">
        <v>5000</v>
      </c>
      <c r="J505" s="145">
        <f t="shared" si="62"/>
        <v>18357091</v>
      </c>
      <c r="K505" s="145"/>
    </row>
    <row r="506" spans="1:11" s="125" customFormat="1" ht="17.25" customHeight="1">
      <c r="A506" s="125">
        <f t="shared" si="55"/>
        <v>9</v>
      </c>
      <c r="B506" s="140">
        <v>42271</v>
      </c>
      <c r="C506" s="141" t="s">
        <v>368</v>
      </c>
      <c r="D506" s="140">
        <v>42271</v>
      </c>
      <c r="E506" s="142" t="s">
        <v>394</v>
      </c>
      <c r="F506" s="142"/>
      <c r="G506" s="143" t="s">
        <v>94</v>
      </c>
      <c r="H506" s="144"/>
      <c r="I506" s="144">
        <v>50000</v>
      </c>
      <c r="J506" s="145">
        <f t="shared" si="62"/>
        <v>18307091</v>
      </c>
      <c r="K506" s="145"/>
    </row>
    <row r="507" spans="1:11" s="125" customFormat="1" ht="17.25" customHeight="1">
      <c r="A507" s="125">
        <f t="shared" si="55"/>
        <v>9</v>
      </c>
      <c r="B507" s="140">
        <v>42271</v>
      </c>
      <c r="C507" s="141" t="s">
        <v>368</v>
      </c>
      <c r="D507" s="140">
        <v>42271</v>
      </c>
      <c r="E507" s="142" t="s">
        <v>395</v>
      </c>
      <c r="F507" s="142"/>
      <c r="G507" s="143" t="s">
        <v>35</v>
      </c>
      <c r="H507" s="144"/>
      <c r="I507" s="144">
        <v>5000</v>
      </c>
      <c r="J507" s="145">
        <f t="shared" si="62"/>
        <v>18302091</v>
      </c>
      <c r="K507" s="145"/>
    </row>
    <row r="508" spans="1:11" s="125" customFormat="1" ht="17.25" customHeight="1">
      <c r="A508" s="125">
        <f t="shared" si="55"/>
        <v>9</v>
      </c>
      <c r="B508" s="140">
        <v>42271</v>
      </c>
      <c r="C508" s="141" t="s">
        <v>368</v>
      </c>
      <c r="D508" s="140">
        <v>42271</v>
      </c>
      <c r="E508" s="142" t="s">
        <v>394</v>
      </c>
      <c r="F508" s="142"/>
      <c r="G508" s="143" t="s">
        <v>94</v>
      </c>
      <c r="H508" s="144"/>
      <c r="I508" s="144">
        <v>50000</v>
      </c>
      <c r="J508" s="145">
        <f t="shared" si="62"/>
        <v>18252091</v>
      </c>
      <c r="K508" s="145"/>
    </row>
    <row r="509" spans="1:11" s="125" customFormat="1" ht="17.25" customHeight="1">
      <c r="A509" s="125">
        <f t="shared" si="55"/>
        <v>9</v>
      </c>
      <c r="B509" s="140">
        <v>42271</v>
      </c>
      <c r="C509" s="141" t="s">
        <v>368</v>
      </c>
      <c r="D509" s="140">
        <v>42271</v>
      </c>
      <c r="E509" s="142" t="s">
        <v>395</v>
      </c>
      <c r="F509" s="142"/>
      <c r="G509" s="143" t="s">
        <v>35</v>
      </c>
      <c r="H509" s="144"/>
      <c r="I509" s="144">
        <v>5000</v>
      </c>
      <c r="J509" s="145">
        <f t="shared" ref="J509" si="63">IF(B509&lt;&gt;"",J508+H509-I509,0)</f>
        <v>18247091</v>
      </c>
      <c r="K509" s="145"/>
    </row>
    <row r="510" spans="1:11" s="125" customFormat="1" ht="17.25" customHeight="1">
      <c r="A510" s="125">
        <f t="shared" si="55"/>
        <v>9</v>
      </c>
      <c r="B510" s="140">
        <v>42271</v>
      </c>
      <c r="C510" s="141" t="s">
        <v>368</v>
      </c>
      <c r="D510" s="140">
        <v>42271</v>
      </c>
      <c r="E510" s="142" t="s">
        <v>394</v>
      </c>
      <c r="F510" s="142"/>
      <c r="G510" s="143" t="s">
        <v>94</v>
      </c>
      <c r="H510" s="144"/>
      <c r="I510" s="144">
        <v>50000</v>
      </c>
      <c r="J510" s="145">
        <f t="shared" ref="J510:J576" si="64">IF(B510&lt;&gt;"",J509+H510-I510,0)</f>
        <v>18197091</v>
      </c>
      <c r="K510" s="145"/>
    </row>
    <row r="511" spans="1:11" s="125" customFormat="1" ht="17.25" customHeight="1">
      <c r="A511" s="125">
        <f t="shared" si="55"/>
        <v>9</v>
      </c>
      <c r="B511" s="140">
        <v>42271</v>
      </c>
      <c r="C511" s="141" t="s">
        <v>368</v>
      </c>
      <c r="D511" s="140">
        <v>42271</v>
      </c>
      <c r="E511" s="142" t="s">
        <v>395</v>
      </c>
      <c r="F511" s="142"/>
      <c r="G511" s="143" t="s">
        <v>35</v>
      </c>
      <c r="H511" s="144"/>
      <c r="I511" s="144">
        <v>5000</v>
      </c>
      <c r="J511" s="145">
        <f t="shared" si="64"/>
        <v>18192091</v>
      </c>
      <c r="K511" s="145"/>
    </row>
    <row r="512" spans="1:11" s="125" customFormat="1" ht="17.25" customHeight="1">
      <c r="A512" s="125">
        <f t="shared" si="55"/>
        <v>9</v>
      </c>
      <c r="B512" s="140">
        <v>42271</v>
      </c>
      <c r="C512" s="141" t="s">
        <v>371</v>
      </c>
      <c r="D512" s="140">
        <v>42271</v>
      </c>
      <c r="E512" s="142" t="s">
        <v>413</v>
      </c>
      <c r="F512" s="142"/>
      <c r="G512" s="143" t="s">
        <v>414</v>
      </c>
      <c r="H512" s="144">
        <v>25160</v>
      </c>
      <c r="I512" s="144"/>
      <c r="J512" s="145">
        <f t="shared" si="64"/>
        <v>18217251</v>
      </c>
      <c r="K512" s="145"/>
    </row>
    <row r="513" spans="1:11" s="125" customFormat="1" ht="17.25" customHeight="1">
      <c r="A513" s="125">
        <f t="shared" si="55"/>
        <v>10</v>
      </c>
      <c r="B513" s="140">
        <v>42278</v>
      </c>
      <c r="C513" s="141" t="s">
        <v>371</v>
      </c>
      <c r="D513" s="140">
        <v>42278</v>
      </c>
      <c r="E513" s="142" t="s">
        <v>372</v>
      </c>
      <c r="F513" s="142"/>
      <c r="G513" s="143" t="s">
        <v>370</v>
      </c>
      <c r="H513" s="144">
        <v>2011244000</v>
      </c>
      <c r="I513" s="144"/>
      <c r="J513" s="145">
        <f t="shared" si="64"/>
        <v>2029461251</v>
      </c>
      <c r="K513" s="145"/>
    </row>
    <row r="514" spans="1:11" s="125" customFormat="1" ht="17.25" customHeight="1">
      <c r="A514" s="125">
        <f t="shared" si="55"/>
        <v>10</v>
      </c>
      <c r="B514" s="140">
        <v>42278</v>
      </c>
      <c r="C514" s="141" t="s">
        <v>368</v>
      </c>
      <c r="D514" s="140">
        <f>B514</f>
        <v>42278</v>
      </c>
      <c r="E514" s="142" t="s">
        <v>62</v>
      </c>
      <c r="F514" s="142"/>
      <c r="G514" s="143" t="s">
        <v>367</v>
      </c>
      <c r="H514" s="144"/>
      <c r="I514" s="144">
        <v>2000000000</v>
      </c>
      <c r="J514" s="145">
        <f t="shared" si="64"/>
        <v>29461251</v>
      </c>
      <c r="K514" s="145"/>
    </row>
    <row r="515" spans="1:11" s="125" customFormat="1" ht="17.25" customHeight="1">
      <c r="A515" s="125">
        <f t="shared" si="55"/>
        <v>10</v>
      </c>
      <c r="B515" s="140">
        <v>42279</v>
      </c>
      <c r="C515" s="141" t="s">
        <v>371</v>
      </c>
      <c r="D515" s="140">
        <f t="shared" ref="D515:D578" si="65">B515</f>
        <v>42279</v>
      </c>
      <c r="E515" s="142" t="s">
        <v>420</v>
      </c>
      <c r="F515" s="142"/>
      <c r="G515" s="143" t="s">
        <v>36</v>
      </c>
      <c r="H515" s="144">
        <v>1850000000</v>
      </c>
      <c r="I515" s="144"/>
      <c r="J515" s="145">
        <f t="shared" si="64"/>
        <v>1879461251</v>
      </c>
      <c r="K515" s="145"/>
    </row>
    <row r="516" spans="1:11" s="125" customFormat="1" ht="17.25" customHeight="1">
      <c r="A516" s="125">
        <f t="shared" si="55"/>
        <v>10</v>
      </c>
      <c r="B516" s="140">
        <v>42279</v>
      </c>
      <c r="C516" s="141" t="s">
        <v>368</v>
      </c>
      <c r="D516" s="140">
        <f t="shared" si="65"/>
        <v>42279</v>
      </c>
      <c r="E516" s="142" t="s">
        <v>677</v>
      </c>
      <c r="F516" s="142"/>
      <c r="G516" s="143" t="s">
        <v>370</v>
      </c>
      <c r="H516" s="144"/>
      <c r="I516" s="144">
        <v>1832527500</v>
      </c>
      <c r="J516" s="145">
        <f t="shared" si="64"/>
        <v>46933751</v>
      </c>
      <c r="K516" s="145"/>
    </row>
    <row r="517" spans="1:11" s="125" customFormat="1" ht="17.25" customHeight="1">
      <c r="A517" s="125">
        <f t="shared" si="55"/>
        <v>10</v>
      </c>
      <c r="B517" s="140">
        <v>42279</v>
      </c>
      <c r="C517" s="141" t="s">
        <v>368</v>
      </c>
      <c r="D517" s="140">
        <f t="shared" si="65"/>
        <v>42279</v>
      </c>
      <c r="E517" s="142" t="s">
        <v>1186</v>
      </c>
      <c r="F517" s="142"/>
      <c r="G517" s="143" t="s">
        <v>34</v>
      </c>
      <c r="H517" s="144"/>
      <c r="I517" s="144">
        <v>27152620</v>
      </c>
      <c r="J517" s="145">
        <f t="shared" si="64"/>
        <v>19781131</v>
      </c>
      <c r="K517" s="145"/>
    </row>
    <row r="518" spans="1:11" s="125" customFormat="1" ht="17.25" customHeight="1">
      <c r="A518" s="125">
        <f t="shared" si="55"/>
        <v>10</v>
      </c>
      <c r="B518" s="140">
        <v>42279</v>
      </c>
      <c r="C518" s="141" t="s">
        <v>368</v>
      </c>
      <c r="D518" s="140">
        <f t="shared" si="65"/>
        <v>42279</v>
      </c>
      <c r="E518" s="142" t="s">
        <v>992</v>
      </c>
      <c r="F518" s="142"/>
      <c r="G518" s="143" t="s">
        <v>94</v>
      </c>
      <c r="H518" s="144"/>
      <c r="I518" s="144">
        <v>25000</v>
      </c>
      <c r="J518" s="145">
        <f t="shared" si="64"/>
        <v>19756131</v>
      </c>
      <c r="K518" s="145"/>
    </row>
    <row r="519" spans="1:11" s="125" customFormat="1" ht="17.25" customHeight="1">
      <c r="A519" s="125">
        <f t="shared" si="55"/>
        <v>10</v>
      </c>
      <c r="B519" s="140">
        <v>42279</v>
      </c>
      <c r="C519" s="141" t="s">
        <v>368</v>
      </c>
      <c r="D519" s="140">
        <f t="shared" si="65"/>
        <v>42279</v>
      </c>
      <c r="E519" s="142" t="s">
        <v>993</v>
      </c>
      <c r="F519" s="142"/>
      <c r="G519" s="143" t="s">
        <v>35</v>
      </c>
      <c r="H519" s="144"/>
      <c r="I519" s="144">
        <v>2500</v>
      </c>
      <c r="J519" s="145">
        <f t="shared" si="64"/>
        <v>19753631</v>
      </c>
      <c r="K519" s="145"/>
    </row>
    <row r="520" spans="1:11" s="125" customFormat="1" ht="17.25" customHeight="1">
      <c r="A520" s="125">
        <f t="shared" si="55"/>
        <v>10</v>
      </c>
      <c r="B520" s="140">
        <v>42279</v>
      </c>
      <c r="C520" s="141" t="s">
        <v>371</v>
      </c>
      <c r="D520" s="140">
        <f t="shared" si="65"/>
        <v>42279</v>
      </c>
      <c r="E520" s="142" t="s">
        <v>372</v>
      </c>
      <c r="F520" s="142"/>
      <c r="G520" s="143" t="s">
        <v>370</v>
      </c>
      <c r="H520" s="144">
        <v>2000186000</v>
      </c>
      <c r="I520" s="144"/>
      <c r="J520" s="145">
        <f t="shared" si="64"/>
        <v>2019939631</v>
      </c>
      <c r="K520" s="145"/>
    </row>
    <row r="521" spans="1:11" s="125" customFormat="1" ht="17.25" customHeight="1">
      <c r="A521" s="125">
        <f t="shared" si="55"/>
        <v>10</v>
      </c>
      <c r="B521" s="140">
        <v>42279</v>
      </c>
      <c r="C521" s="141" t="s">
        <v>368</v>
      </c>
      <c r="D521" s="140">
        <f t="shared" si="65"/>
        <v>42279</v>
      </c>
      <c r="E521" s="142" t="s">
        <v>62</v>
      </c>
      <c r="F521" s="142"/>
      <c r="G521" s="143" t="s">
        <v>367</v>
      </c>
      <c r="H521" s="144"/>
      <c r="I521" s="144">
        <v>2000000000</v>
      </c>
      <c r="J521" s="145">
        <f t="shared" si="64"/>
        <v>19939631</v>
      </c>
      <c r="K521" s="145"/>
    </row>
    <row r="522" spans="1:11" s="125" customFormat="1" ht="17.25" customHeight="1">
      <c r="A522" s="125">
        <f t="shared" si="55"/>
        <v>10</v>
      </c>
      <c r="B522" s="140">
        <v>42279</v>
      </c>
      <c r="C522" s="141" t="s">
        <v>371</v>
      </c>
      <c r="D522" s="140">
        <f t="shared" si="65"/>
        <v>42279</v>
      </c>
      <c r="E522" s="142" t="s">
        <v>71</v>
      </c>
      <c r="F522" s="142"/>
      <c r="G522" s="143" t="s">
        <v>367</v>
      </c>
      <c r="H522" s="144">
        <v>250000000</v>
      </c>
      <c r="I522" s="144"/>
      <c r="J522" s="145">
        <f t="shared" si="64"/>
        <v>269939631</v>
      </c>
      <c r="K522" s="145"/>
    </row>
    <row r="523" spans="1:11" s="125" customFormat="1" ht="17.25" customHeight="1">
      <c r="A523" s="125">
        <f t="shared" si="55"/>
        <v>10</v>
      </c>
      <c r="B523" s="140">
        <v>42279</v>
      </c>
      <c r="C523" s="141" t="s">
        <v>368</v>
      </c>
      <c r="D523" s="140">
        <f t="shared" si="65"/>
        <v>42279</v>
      </c>
      <c r="E523" s="142" t="s">
        <v>1188</v>
      </c>
      <c r="F523" s="142"/>
      <c r="G523" s="143" t="s">
        <v>34</v>
      </c>
      <c r="H523" s="144"/>
      <c r="I523" s="144">
        <v>12255518</v>
      </c>
      <c r="J523" s="145">
        <f t="shared" si="64"/>
        <v>257684113</v>
      </c>
      <c r="K523" s="145"/>
    </row>
    <row r="524" spans="1:11" s="125" customFormat="1" ht="17.25" customHeight="1">
      <c r="A524" s="125">
        <f t="shared" si="55"/>
        <v>10</v>
      </c>
      <c r="B524" s="140">
        <v>42279</v>
      </c>
      <c r="C524" s="141" t="s">
        <v>368</v>
      </c>
      <c r="D524" s="140">
        <f t="shared" si="65"/>
        <v>42279</v>
      </c>
      <c r="E524" s="142" t="s">
        <v>992</v>
      </c>
      <c r="F524" s="142"/>
      <c r="G524" s="143" t="s">
        <v>94</v>
      </c>
      <c r="H524" s="144"/>
      <c r="I524" s="144">
        <v>20000</v>
      </c>
      <c r="J524" s="145">
        <f t="shared" si="64"/>
        <v>257664113</v>
      </c>
      <c r="K524" s="145"/>
    </row>
    <row r="525" spans="1:11" s="125" customFormat="1" ht="17.25" customHeight="1">
      <c r="A525" s="125">
        <f t="shared" si="55"/>
        <v>10</v>
      </c>
      <c r="B525" s="140">
        <v>42279</v>
      </c>
      <c r="C525" s="141" t="s">
        <v>368</v>
      </c>
      <c r="D525" s="140">
        <f t="shared" si="65"/>
        <v>42279</v>
      </c>
      <c r="E525" s="142" t="s">
        <v>993</v>
      </c>
      <c r="F525" s="142"/>
      <c r="G525" s="143" t="s">
        <v>35</v>
      </c>
      <c r="H525" s="144"/>
      <c r="I525" s="144">
        <v>2000</v>
      </c>
      <c r="J525" s="145">
        <f t="shared" si="64"/>
        <v>257662113</v>
      </c>
      <c r="K525" s="145"/>
    </row>
    <row r="526" spans="1:11" s="125" customFormat="1" ht="17.25" customHeight="1">
      <c r="A526" s="125">
        <f t="shared" si="55"/>
        <v>10</v>
      </c>
      <c r="B526" s="140">
        <v>42279</v>
      </c>
      <c r="C526" s="141" t="s">
        <v>368</v>
      </c>
      <c r="D526" s="140">
        <f t="shared" si="65"/>
        <v>42279</v>
      </c>
      <c r="E526" s="142" t="s">
        <v>1187</v>
      </c>
      <c r="F526" s="142"/>
      <c r="G526" s="143" t="s">
        <v>34</v>
      </c>
      <c r="H526" s="144"/>
      <c r="I526" s="144">
        <v>34942000</v>
      </c>
      <c r="J526" s="145">
        <f t="shared" si="64"/>
        <v>222720113</v>
      </c>
      <c r="K526" s="145"/>
    </row>
    <row r="527" spans="1:11" s="125" customFormat="1" ht="17.25" customHeight="1">
      <c r="A527" s="125">
        <f t="shared" si="55"/>
        <v>10</v>
      </c>
      <c r="B527" s="140">
        <v>42279</v>
      </c>
      <c r="C527" s="141" t="s">
        <v>368</v>
      </c>
      <c r="D527" s="140">
        <f t="shared" si="65"/>
        <v>42279</v>
      </c>
      <c r="E527" s="142" t="s">
        <v>992</v>
      </c>
      <c r="F527" s="142"/>
      <c r="G527" s="143" t="s">
        <v>94</v>
      </c>
      <c r="H527" s="144"/>
      <c r="I527" s="144">
        <v>40000</v>
      </c>
      <c r="J527" s="145">
        <f t="shared" si="64"/>
        <v>222680113</v>
      </c>
      <c r="K527" s="145"/>
    </row>
    <row r="528" spans="1:11" s="125" customFormat="1" ht="17.25" customHeight="1">
      <c r="A528" s="125">
        <f t="shared" si="55"/>
        <v>10</v>
      </c>
      <c r="B528" s="140">
        <v>42279</v>
      </c>
      <c r="C528" s="141" t="s">
        <v>368</v>
      </c>
      <c r="D528" s="140">
        <f t="shared" si="65"/>
        <v>42279</v>
      </c>
      <c r="E528" s="142" t="s">
        <v>993</v>
      </c>
      <c r="F528" s="142"/>
      <c r="G528" s="143" t="s">
        <v>35</v>
      </c>
      <c r="H528" s="144"/>
      <c r="I528" s="144">
        <v>4000</v>
      </c>
      <c r="J528" s="145">
        <f t="shared" si="64"/>
        <v>222676113</v>
      </c>
      <c r="K528" s="145"/>
    </row>
    <row r="529" spans="1:11" s="125" customFormat="1" ht="17.25" customHeight="1">
      <c r="A529" s="125">
        <f t="shared" si="55"/>
        <v>10</v>
      </c>
      <c r="B529" s="140">
        <v>42279</v>
      </c>
      <c r="C529" s="141" t="s">
        <v>368</v>
      </c>
      <c r="D529" s="140">
        <f t="shared" si="65"/>
        <v>42279</v>
      </c>
      <c r="E529" s="142" t="s">
        <v>1189</v>
      </c>
      <c r="F529" s="142"/>
      <c r="G529" s="143" t="s">
        <v>34</v>
      </c>
      <c r="H529" s="144"/>
      <c r="I529" s="144">
        <v>34173672</v>
      </c>
      <c r="J529" s="145">
        <f t="shared" si="64"/>
        <v>188502441</v>
      </c>
      <c r="K529" s="145"/>
    </row>
    <row r="530" spans="1:11" s="125" customFormat="1" ht="17.25" customHeight="1">
      <c r="A530" s="125">
        <f t="shared" si="55"/>
        <v>10</v>
      </c>
      <c r="B530" s="140">
        <v>42279</v>
      </c>
      <c r="C530" s="141" t="s">
        <v>368</v>
      </c>
      <c r="D530" s="140">
        <f t="shared" si="65"/>
        <v>42279</v>
      </c>
      <c r="E530" s="142" t="s">
        <v>992</v>
      </c>
      <c r="F530" s="142"/>
      <c r="G530" s="143" t="s">
        <v>94</v>
      </c>
      <c r="H530" s="144"/>
      <c r="I530" s="144">
        <v>30000</v>
      </c>
      <c r="J530" s="145">
        <f t="shared" si="64"/>
        <v>188472441</v>
      </c>
      <c r="K530" s="145"/>
    </row>
    <row r="531" spans="1:11" s="125" customFormat="1" ht="17.25" customHeight="1">
      <c r="A531" s="125">
        <f t="shared" si="55"/>
        <v>10</v>
      </c>
      <c r="B531" s="140">
        <v>42279</v>
      </c>
      <c r="C531" s="141" t="s">
        <v>368</v>
      </c>
      <c r="D531" s="140">
        <f t="shared" si="65"/>
        <v>42279</v>
      </c>
      <c r="E531" s="142" t="s">
        <v>993</v>
      </c>
      <c r="F531" s="142"/>
      <c r="G531" s="143" t="s">
        <v>35</v>
      </c>
      <c r="H531" s="144"/>
      <c r="I531" s="144">
        <v>3000</v>
      </c>
      <c r="J531" s="145">
        <f t="shared" si="64"/>
        <v>188469441</v>
      </c>
      <c r="K531" s="145"/>
    </row>
    <row r="532" spans="1:11" s="125" customFormat="1" ht="17.25" customHeight="1">
      <c r="A532" s="125">
        <f t="shared" si="55"/>
        <v>10</v>
      </c>
      <c r="B532" s="140">
        <v>42279</v>
      </c>
      <c r="C532" s="141" t="s">
        <v>368</v>
      </c>
      <c r="D532" s="140">
        <f t="shared" si="65"/>
        <v>42279</v>
      </c>
      <c r="E532" s="142" t="s">
        <v>711</v>
      </c>
      <c r="F532" s="142"/>
      <c r="G532" s="143" t="s">
        <v>34</v>
      </c>
      <c r="H532" s="144"/>
      <c r="I532" s="144">
        <v>70000000</v>
      </c>
      <c r="J532" s="145">
        <f t="shared" si="64"/>
        <v>118469441</v>
      </c>
      <c r="K532" s="145"/>
    </row>
    <row r="533" spans="1:11" s="125" customFormat="1" ht="17.25" customHeight="1">
      <c r="A533" s="125">
        <f t="shared" si="55"/>
        <v>10</v>
      </c>
      <c r="B533" s="140">
        <v>42279</v>
      </c>
      <c r="C533" s="141" t="s">
        <v>368</v>
      </c>
      <c r="D533" s="140">
        <f t="shared" si="65"/>
        <v>42279</v>
      </c>
      <c r="E533" s="142" t="s">
        <v>992</v>
      </c>
      <c r="F533" s="142"/>
      <c r="G533" s="143" t="s">
        <v>94</v>
      </c>
      <c r="H533" s="144"/>
      <c r="I533" s="144">
        <v>53900</v>
      </c>
      <c r="J533" s="145">
        <f t="shared" si="64"/>
        <v>118415541</v>
      </c>
      <c r="K533" s="145"/>
    </row>
    <row r="534" spans="1:11" s="125" customFormat="1" ht="17.25" customHeight="1">
      <c r="A534" s="125">
        <f t="shared" si="55"/>
        <v>10</v>
      </c>
      <c r="B534" s="140">
        <v>42279</v>
      </c>
      <c r="C534" s="141" t="s">
        <v>368</v>
      </c>
      <c r="D534" s="140">
        <f t="shared" si="65"/>
        <v>42279</v>
      </c>
      <c r="E534" s="142" t="s">
        <v>993</v>
      </c>
      <c r="F534" s="142"/>
      <c r="G534" s="143" t="s">
        <v>35</v>
      </c>
      <c r="H534" s="144"/>
      <c r="I534" s="144">
        <v>5390</v>
      </c>
      <c r="J534" s="145">
        <f t="shared" si="64"/>
        <v>118410151</v>
      </c>
      <c r="K534" s="145"/>
    </row>
    <row r="535" spans="1:11" s="125" customFormat="1" ht="17.25" customHeight="1">
      <c r="A535" s="125">
        <f t="shared" si="55"/>
        <v>10</v>
      </c>
      <c r="B535" s="140">
        <v>42279</v>
      </c>
      <c r="C535" s="141" t="s">
        <v>368</v>
      </c>
      <c r="D535" s="140">
        <f t="shared" si="65"/>
        <v>42279</v>
      </c>
      <c r="E535" s="142" t="s">
        <v>1190</v>
      </c>
      <c r="F535" s="142"/>
      <c r="G535" s="143" t="s">
        <v>34</v>
      </c>
      <c r="H535" s="144"/>
      <c r="I535" s="144">
        <v>12000000</v>
      </c>
      <c r="J535" s="145">
        <f t="shared" si="64"/>
        <v>106410151</v>
      </c>
      <c r="K535" s="145"/>
    </row>
    <row r="536" spans="1:11" s="125" customFormat="1" ht="17.25" customHeight="1">
      <c r="A536" s="125">
        <f t="shared" si="55"/>
        <v>10</v>
      </c>
      <c r="B536" s="140">
        <v>42279</v>
      </c>
      <c r="C536" s="141" t="s">
        <v>368</v>
      </c>
      <c r="D536" s="140">
        <f t="shared" si="65"/>
        <v>42279</v>
      </c>
      <c r="E536" s="142" t="s">
        <v>992</v>
      </c>
      <c r="F536" s="142"/>
      <c r="G536" s="143" t="s">
        <v>94</v>
      </c>
      <c r="H536" s="144"/>
      <c r="I536" s="144">
        <v>40000</v>
      </c>
      <c r="J536" s="145">
        <f t="shared" si="64"/>
        <v>106370151</v>
      </c>
      <c r="K536" s="145"/>
    </row>
    <row r="537" spans="1:11" s="125" customFormat="1" ht="17.25" customHeight="1">
      <c r="A537" s="125">
        <f t="shared" si="55"/>
        <v>10</v>
      </c>
      <c r="B537" s="140">
        <v>42279</v>
      </c>
      <c r="C537" s="141" t="s">
        <v>368</v>
      </c>
      <c r="D537" s="140">
        <f t="shared" si="65"/>
        <v>42279</v>
      </c>
      <c r="E537" s="142" t="s">
        <v>993</v>
      </c>
      <c r="F537" s="142"/>
      <c r="G537" s="143" t="s">
        <v>35</v>
      </c>
      <c r="H537" s="144"/>
      <c r="I537" s="144">
        <v>4000</v>
      </c>
      <c r="J537" s="145">
        <f t="shared" si="64"/>
        <v>106366151</v>
      </c>
      <c r="K537" s="145"/>
    </row>
    <row r="538" spans="1:11" s="125" customFormat="1" ht="24.75" customHeight="1">
      <c r="A538" s="125">
        <f t="shared" si="55"/>
        <v>10</v>
      </c>
      <c r="B538" s="140">
        <v>42279</v>
      </c>
      <c r="C538" s="141" t="s">
        <v>368</v>
      </c>
      <c r="D538" s="140">
        <f t="shared" si="65"/>
        <v>42279</v>
      </c>
      <c r="E538" s="142" t="s">
        <v>1191</v>
      </c>
      <c r="F538" s="142"/>
      <c r="G538" s="143" t="s">
        <v>34</v>
      </c>
      <c r="H538" s="144"/>
      <c r="I538" s="144">
        <v>50110768</v>
      </c>
      <c r="J538" s="145">
        <f t="shared" si="64"/>
        <v>56255383</v>
      </c>
      <c r="K538" s="145"/>
    </row>
    <row r="539" spans="1:11" s="125" customFormat="1" ht="17.25" customHeight="1">
      <c r="A539" s="125">
        <f t="shared" si="55"/>
        <v>10</v>
      </c>
      <c r="B539" s="140">
        <v>42279</v>
      </c>
      <c r="C539" s="141" t="s">
        <v>368</v>
      </c>
      <c r="D539" s="140">
        <f t="shared" si="65"/>
        <v>42279</v>
      </c>
      <c r="E539" s="142" t="s">
        <v>992</v>
      </c>
      <c r="F539" s="142"/>
      <c r="G539" s="143" t="s">
        <v>94</v>
      </c>
      <c r="H539" s="144"/>
      <c r="I539" s="144">
        <v>40000</v>
      </c>
      <c r="J539" s="145">
        <f t="shared" si="64"/>
        <v>56215383</v>
      </c>
      <c r="K539" s="145"/>
    </row>
    <row r="540" spans="1:11" s="125" customFormat="1" ht="17.25" customHeight="1">
      <c r="A540" s="125">
        <f t="shared" si="55"/>
        <v>10</v>
      </c>
      <c r="B540" s="140">
        <v>42279</v>
      </c>
      <c r="C540" s="141" t="s">
        <v>368</v>
      </c>
      <c r="D540" s="140">
        <f t="shared" si="65"/>
        <v>42279</v>
      </c>
      <c r="E540" s="142" t="s">
        <v>993</v>
      </c>
      <c r="F540" s="142"/>
      <c r="G540" s="143" t="s">
        <v>35</v>
      </c>
      <c r="H540" s="144"/>
      <c r="I540" s="144">
        <v>4000</v>
      </c>
      <c r="J540" s="145">
        <f t="shared" si="64"/>
        <v>56211383</v>
      </c>
      <c r="K540" s="145"/>
    </row>
    <row r="541" spans="1:11" s="302" customFormat="1" ht="17.25" customHeight="1">
      <c r="A541" s="302">
        <f t="shared" si="55"/>
        <v>10</v>
      </c>
      <c r="B541" s="303">
        <v>42279</v>
      </c>
      <c r="C541" s="301" t="s">
        <v>368</v>
      </c>
      <c r="D541" s="140">
        <f t="shared" si="65"/>
        <v>42279</v>
      </c>
      <c r="E541" s="291" t="s">
        <v>402</v>
      </c>
      <c r="F541" s="291"/>
      <c r="G541" s="304" t="s">
        <v>38</v>
      </c>
      <c r="H541" s="305"/>
      <c r="I541" s="305">
        <v>50000000</v>
      </c>
      <c r="J541" s="145">
        <f t="shared" si="64"/>
        <v>6211383</v>
      </c>
      <c r="K541" s="306"/>
    </row>
    <row r="542" spans="1:11" s="302" customFormat="1" ht="17.25" customHeight="1">
      <c r="A542" s="302">
        <f t="shared" ref="A542:A543" si="66">IF(B542&lt;&gt;"",MONTH(B542),"")</f>
        <v>10</v>
      </c>
      <c r="B542" s="303">
        <v>42279</v>
      </c>
      <c r="C542" s="301" t="s">
        <v>368</v>
      </c>
      <c r="D542" s="140">
        <f t="shared" si="65"/>
        <v>42279</v>
      </c>
      <c r="E542" s="291" t="s">
        <v>404</v>
      </c>
      <c r="F542" s="291"/>
      <c r="G542" s="304" t="s">
        <v>406</v>
      </c>
      <c r="H542" s="305"/>
      <c r="I542" s="305"/>
      <c r="J542" s="145">
        <f t="shared" si="64"/>
        <v>6211383</v>
      </c>
      <c r="K542" s="306"/>
    </row>
    <row r="543" spans="1:11" s="302" customFormat="1" ht="17.25" customHeight="1">
      <c r="A543" s="302">
        <f t="shared" si="66"/>
        <v>10</v>
      </c>
      <c r="B543" s="303">
        <v>42279</v>
      </c>
      <c r="C543" s="301" t="s">
        <v>368</v>
      </c>
      <c r="D543" s="140">
        <f t="shared" si="65"/>
        <v>42279</v>
      </c>
      <c r="E543" s="291" t="s">
        <v>407</v>
      </c>
      <c r="F543" s="291"/>
      <c r="G543" s="304" t="s">
        <v>409</v>
      </c>
      <c r="H543" s="305"/>
      <c r="I543" s="305"/>
      <c r="J543" s="145">
        <f t="shared" si="64"/>
        <v>6211383</v>
      </c>
      <c r="K543" s="306"/>
    </row>
    <row r="544" spans="1:11" s="125" customFormat="1" ht="17.25" customHeight="1">
      <c r="A544" s="125">
        <f t="shared" si="55"/>
        <v>10</v>
      </c>
      <c r="B544" s="140">
        <v>42279</v>
      </c>
      <c r="C544" s="141" t="s">
        <v>368</v>
      </c>
      <c r="D544" s="140">
        <f t="shared" si="65"/>
        <v>42279</v>
      </c>
      <c r="E544" s="142" t="s">
        <v>992</v>
      </c>
      <c r="F544" s="142"/>
      <c r="G544" s="143" t="s">
        <v>94</v>
      </c>
      <c r="H544" s="144"/>
      <c r="I544" s="144">
        <v>45000</v>
      </c>
      <c r="J544" s="145">
        <f t="shared" si="64"/>
        <v>6166383</v>
      </c>
      <c r="K544" s="145"/>
    </row>
    <row r="545" spans="1:11" s="125" customFormat="1" ht="17.25" customHeight="1">
      <c r="A545" s="125">
        <f t="shared" si="55"/>
        <v>10</v>
      </c>
      <c r="B545" s="140">
        <v>42279</v>
      </c>
      <c r="C545" s="141" t="s">
        <v>368</v>
      </c>
      <c r="D545" s="140">
        <f t="shared" si="65"/>
        <v>42279</v>
      </c>
      <c r="E545" s="142" t="s">
        <v>993</v>
      </c>
      <c r="F545" s="142"/>
      <c r="G545" s="143" t="s">
        <v>35</v>
      </c>
      <c r="H545" s="144"/>
      <c r="I545" s="144">
        <v>4500</v>
      </c>
      <c r="J545" s="145">
        <f t="shared" si="64"/>
        <v>6161883</v>
      </c>
      <c r="K545" s="145"/>
    </row>
    <row r="546" spans="1:11" s="125" customFormat="1" ht="17.25" customHeight="1">
      <c r="A546" s="125">
        <f t="shared" ref="A546:A571" si="67">IF(B546&lt;&gt;"",MONTH(B546),"")</f>
        <v>10</v>
      </c>
      <c r="B546" s="140">
        <v>42290</v>
      </c>
      <c r="C546" s="141" t="s">
        <v>371</v>
      </c>
      <c r="D546" s="140">
        <f t="shared" si="65"/>
        <v>42290</v>
      </c>
      <c r="E546" s="142" t="s">
        <v>1192</v>
      </c>
      <c r="F546" s="142"/>
      <c r="G546" s="143" t="s">
        <v>367</v>
      </c>
      <c r="H546" s="144">
        <v>16000000</v>
      </c>
      <c r="I546" s="144"/>
      <c r="J546" s="145">
        <f t="shared" si="64"/>
        <v>22161883</v>
      </c>
      <c r="K546" s="145"/>
    </row>
    <row r="547" spans="1:11" s="125" customFormat="1" ht="17.25" customHeight="1">
      <c r="A547" s="125">
        <f t="shared" si="67"/>
        <v>10</v>
      </c>
      <c r="B547" s="140">
        <v>42290</v>
      </c>
      <c r="C547" s="141" t="s">
        <v>368</v>
      </c>
      <c r="D547" s="140">
        <f t="shared" si="65"/>
        <v>42290</v>
      </c>
      <c r="E547" s="142" t="s">
        <v>373</v>
      </c>
      <c r="F547" s="142"/>
      <c r="G547" s="143" t="s">
        <v>374</v>
      </c>
      <c r="H547" s="144"/>
      <c r="I547" s="144">
        <v>2192064</v>
      </c>
      <c r="J547" s="145">
        <f t="shared" si="64"/>
        <v>19969819</v>
      </c>
      <c r="K547" s="145"/>
    </row>
    <row r="548" spans="1:11" s="125" customFormat="1" ht="17.25" customHeight="1">
      <c r="A548" s="125">
        <f t="shared" ref="A548" si="68">IF(B548&lt;&gt;"",MONTH(B548),"")</f>
        <v>10</v>
      </c>
      <c r="B548" s="140">
        <v>42290</v>
      </c>
      <c r="C548" s="141" t="s">
        <v>368</v>
      </c>
      <c r="D548" s="140">
        <f t="shared" si="65"/>
        <v>42290</v>
      </c>
      <c r="E548" s="142" t="s">
        <v>375</v>
      </c>
      <c r="F548" s="142"/>
      <c r="G548" s="143" t="s">
        <v>374</v>
      </c>
      <c r="H548" s="144"/>
      <c r="I548" s="144">
        <v>5160064</v>
      </c>
      <c r="J548" s="145">
        <f t="shared" ref="J548" si="69">IF(B548&lt;&gt;"",J547+H548-I548,0)</f>
        <v>14809755</v>
      </c>
      <c r="K548" s="145"/>
    </row>
    <row r="549" spans="1:11" s="125" customFormat="1" ht="17.25" customHeight="1">
      <c r="A549" s="125">
        <f t="shared" ref="A549" si="70">IF(B549&lt;&gt;"",MONTH(B549),"")</f>
        <v>10</v>
      </c>
      <c r="B549" s="140">
        <v>42290</v>
      </c>
      <c r="C549" s="141" t="s">
        <v>368</v>
      </c>
      <c r="D549" s="140">
        <f t="shared" si="65"/>
        <v>42290</v>
      </c>
      <c r="E549" s="142" t="s">
        <v>377</v>
      </c>
      <c r="F549" s="142"/>
      <c r="G549" s="143" t="s">
        <v>374</v>
      </c>
      <c r="H549" s="144"/>
      <c r="I549" s="144">
        <v>4524352</v>
      </c>
      <c r="J549" s="145">
        <f t="shared" ref="J549" si="71">IF(B549&lt;&gt;"",J548+H549-I549,0)</f>
        <v>10285403</v>
      </c>
      <c r="K549" s="145"/>
    </row>
    <row r="550" spans="1:11" s="125" customFormat="1" ht="17.25" customHeight="1">
      <c r="A550" s="125">
        <f t="shared" si="67"/>
        <v>10</v>
      </c>
      <c r="B550" s="140">
        <v>42290</v>
      </c>
      <c r="C550" s="141" t="s">
        <v>368</v>
      </c>
      <c r="D550" s="140">
        <f t="shared" si="65"/>
        <v>42290</v>
      </c>
      <c r="E550" s="142" t="s">
        <v>413</v>
      </c>
      <c r="F550" s="142"/>
      <c r="G550" s="143" t="s">
        <v>414</v>
      </c>
      <c r="H550" s="144">
        <v>55422</v>
      </c>
      <c r="I550" s="144"/>
      <c r="J550" s="145">
        <f t="shared" ref="J550:J571" si="72">IF(B550&lt;&gt;"",J549+H550-I550,0)</f>
        <v>10340825</v>
      </c>
      <c r="K550" s="145"/>
    </row>
    <row r="551" spans="1:11" s="125" customFormat="1" ht="17.25" customHeight="1">
      <c r="A551" s="125">
        <f t="shared" si="67"/>
        <v>10</v>
      </c>
      <c r="B551" s="140">
        <v>42290</v>
      </c>
      <c r="C551" s="141" t="s">
        <v>371</v>
      </c>
      <c r="D551" s="140">
        <f t="shared" si="65"/>
        <v>42290</v>
      </c>
      <c r="E551" s="142" t="s">
        <v>1193</v>
      </c>
      <c r="F551" s="142"/>
      <c r="G551" s="143" t="s">
        <v>58</v>
      </c>
      <c r="H551" s="144">
        <v>356657489</v>
      </c>
      <c r="I551" s="144"/>
      <c r="J551" s="145">
        <f t="shared" si="72"/>
        <v>366998314</v>
      </c>
      <c r="K551" s="145"/>
    </row>
    <row r="552" spans="1:11" s="125" customFormat="1" ht="17.25" customHeight="1">
      <c r="A552" s="125">
        <f t="shared" si="67"/>
        <v>10</v>
      </c>
      <c r="B552" s="140">
        <v>42290</v>
      </c>
      <c r="C552" s="141" t="s">
        <v>368</v>
      </c>
      <c r="D552" s="140">
        <f t="shared" si="65"/>
        <v>42290</v>
      </c>
      <c r="E552" s="142" t="s">
        <v>376</v>
      </c>
      <c r="F552" s="142"/>
      <c r="G552" s="143" t="s">
        <v>374</v>
      </c>
      <c r="H552" s="144"/>
      <c r="I552" s="144">
        <v>3236425</v>
      </c>
      <c r="J552" s="145">
        <f t="shared" si="72"/>
        <v>363761889</v>
      </c>
      <c r="K552" s="145"/>
    </row>
    <row r="553" spans="1:11" s="125" customFormat="1" ht="17.25" customHeight="1">
      <c r="A553" s="125">
        <f t="shared" si="67"/>
        <v>10</v>
      </c>
      <c r="B553" s="140">
        <v>42291</v>
      </c>
      <c r="C553" s="141" t="s">
        <v>368</v>
      </c>
      <c r="D553" s="140">
        <f t="shared" si="65"/>
        <v>42291</v>
      </c>
      <c r="E553" s="142" t="s">
        <v>62</v>
      </c>
      <c r="F553" s="142"/>
      <c r="G553" s="143" t="s">
        <v>367</v>
      </c>
      <c r="H553" s="144"/>
      <c r="I553" s="144">
        <v>350000000</v>
      </c>
      <c r="J553" s="145">
        <f t="shared" si="72"/>
        <v>13761889</v>
      </c>
      <c r="K553" s="145"/>
    </row>
    <row r="554" spans="1:11" s="125" customFormat="1" ht="17.25" customHeight="1">
      <c r="A554" s="125">
        <f t="shared" si="67"/>
        <v>10</v>
      </c>
      <c r="B554" s="140">
        <v>42291</v>
      </c>
      <c r="C554" s="141" t="s">
        <v>371</v>
      </c>
      <c r="D554" s="140">
        <f t="shared" si="65"/>
        <v>42291</v>
      </c>
      <c r="E554" s="142" t="s">
        <v>372</v>
      </c>
      <c r="F554" s="142"/>
      <c r="G554" s="143" t="s">
        <v>370</v>
      </c>
      <c r="H554" s="144">
        <v>107376000</v>
      </c>
      <c r="I554" s="144"/>
      <c r="J554" s="145">
        <f t="shared" si="72"/>
        <v>121137889</v>
      </c>
      <c r="K554" s="145"/>
    </row>
    <row r="555" spans="1:11" s="125" customFormat="1" ht="17.25" customHeight="1">
      <c r="A555" s="125">
        <f t="shared" si="67"/>
        <v>10</v>
      </c>
      <c r="B555" s="140">
        <v>42291</v>
      </c>
      <c r="C555" s="141" t="s">
        <v>368</v>
      </c>
      <c r="D555" s="140">
        <f t="shared" si="65"/>
        <v>42291</v>
      </c>
      <c r="E555" s="142" t="s">
        <v>1194</v>
      </c>
      <c r="F555" s="142"/>
      <c r="G555" s="143" t="s">
        <v>34</v>
      </c>
      <c r="H555" s="144"/>
      <c r="I555" s="144">
        <v>27686450</v>
      </c>
      <c r="J555" s="145">
        <f t="shared" si="72"/>
        <v>93451439</v>
      </c>
      <c r="K555" s="145"/>
    </row>
    <row r="556" spans="1:11" s="125" customFormat="1" ht="17.25" customHeight="1">
      <c r="A556" s="125">
        <f t="shared" si="67"/>
        <v>10</v>
      </c>
      <c r="B556" s="140">
        <v>42291</v>
      </c>
      <c r="C556" s="141" t="s">
        <v>368</v>
      </c>
      <c r="D556" s="140">
        <f t="shared" si="65"/>
        <v>42291</v>
      </c>
      <c r="E556" s="142" t="s">
        <v>992</v>
      </c>
      <c r="F556" s="142"/>
      <c r="G556" s="143" t="s">
        <v>94</v>
      </c>
      <c r="H556" s="144"/>
      <c r="I556" s="144">
        <v>25000</v>
      </c>
      <c r="J556" s="145">
        <f t="shared" si="72"/>
        <v>93426439</v>
      </c>
      <c r="K556" s="145"/>
    </row>
    <row r="557" spans="1:11" s="125" customFormat="1" ht="17.25" customHeight="1">
      <c r="A557" s="125">
        <f t="shared" si="67"/>
        <v>10</v>
      </c>
      <c r="B557" s="140">
        <v>42291</v>
      </c>
      <c r="C557" s="141" t="s">
        <v>368</v>
      </c>
      <c r="D557" s="140">
        <f t="shared" si="65"/>
        <v>42291</v>
      </c>
      <c r="E557" s="142" t="s">
        <v>993</v>
      </c>
      <c r="F557" s="142"/>
      <c r="G557" s="143" t="s">
        <v>35</v>
      </c>
      <c r="H557" s="144"/>
      <c r="I557" s="144">
        <v>2500</v>
      </c>
      <c r="J557" s="145">
        <f t="shared" si="72"/>
        <v>93423939</v>
      </c>
      <c r="K557" s="145"/>
    </row>
    <row r="558" spans="1:11" s="125" customFormat="1" ht="17.25" customHeight="1">
      <c r="A558" s="125">
        <f t="shared" si="67"/>
        <v>10</v>
      </c>
      <c r="B558" s="140">
        <v>42293</v>
      </c>
      <c r="C558" s="141" t="s">
        <v>368</v>
      </c>
      <c r="D558" s="140">
        <f t="shared" si="65"/>
        <v>42293</v>
      </c>
      <c r="E558" s="142" t="s">
        <v>62</v>
      </c>
      <c r="F558" s="142"/>
      <c r="G558" s="143" t="s">
        <v>367</v>
      </c>
      <c r="H558" s="144"/>
      <c r="I558" s="144">
        <v>40000000</v>
      </c>
      <c r="J558" s="145">
        <f t="shared" si="72"/>
        <v>53423939</v>
      </c>
      <c r="K558" s="145"/>
    </row>
    <row r="559" spans="1:11" s="125" customFormat="1" ht="17.25" customHeight="1">
      <c r="A559" s="125">
        <f t="shared" si="67"/>
        <v>10</v>
      </c>
      <c r="B559" s="140">
        <v>42296</v>
      </c>
      <c r="C559" s="141" t="s">
        <v>368</v>
      </c>
      <c r="D559" s="140">
        <f t="shared" si="65"/>
        <v>42296</v>
      </c>
      <c r="E559" s="142" t="s">
        <v>852</v>
      </c>
      <c r="F559" s="142"/>
      <c r="G559" s="143" t="s">
        <v>374</v>
      </c>
      <c r="H559" s="144"/>
      <c r="I559" s="144">
        <v>4585850</v>
      </c>
      <c r="J559" s="145">
        <f t="shared" si="72"/>
        <v>48838089</v>
      </c>
      <c r="K559" s="145"/>
    </row>
    <row r="560" spans="1:11" s="125" customFormat="1" ht="17.25" customHeight="1">
      <c r="A560" s="125">
        <f t="shared" si="67"/>
        <v>10</v>
      </c>
      <c r="B560" s="140">
        <v>42296</v>
      </c>
      <c r="C560" s="141" t="s">
        <v>368</v>
      </c>
      <c r="D560" s="140">
        <f t="shared" si="65"/>
        <v>42296</v>
      </c>
      <c r="E560" s="142" t="s">
        <v>853</v>
      </c>
      <c r="F560" s="142"/>
      <c r="G560" s="143" t="s">
        <v>374</v>
      </c>
      <c r="H560" s="144"/>
      <c r="I560" s="144">
        <v>6673642</v>
      </c>
      <c r="J560" s="145">
        <f t="shared" si="72"/>
        <v>42164447</v>
      </c>
      <c r="K560" s="145"/>
    </row>
    <row r="561" spans="1:11" s="125" customFormat="1" ht="17.25" customHeight="1">
      <c r="A561" s="125">
        <f t="shared" si="67"/>
        <v>10</v>
      </c>
      <c r="B561" s="140">
        <v>42296</v>
      </c>
      <c r="C561" s="141" t="s">
        <v>368</v>
      </c>
      <c r="D561" s="140">
        <f t="shared" si="65"/>
        <v>42296</v>
      </c>
      <c r="E561" s="142" t="s">
        <v>998</v>
      </c>
      <c r="F561" s="142"/>
      <c r="G561" s="143" t="s">
        <v>374</v>
      </c>
      <c r="H561" s="144"/>
      <c r="I561" s="144">
        <v>5219592</v>
      </c>
      <c r="J561" s="145">
        <f t="shared" si="72"/>
        <v>36944855</v>
      </c>
      <c r="K561" s="145"/>
    </row>
    <row r="562" spans="1:11" s="125" customFormat="1" ht="17.25" customHeight="1">
      <c r="A562" s="125">
        <f t="shared" si="67"/>
        <v>10</v>
      </c>
      <c r="B562" s="140">
        <v>42296</v>
      </c>
      <c r="C562" s="141" t="s">
        <v>368</v>
      </c>
      <c r="D562" s="140">
        <f t="shared" si="65"/>
        <v>42296</v>
      </c>
      <c r="E562" s="142" t="s">
        <v>999</v>
      </c>
      <c r="F562" s="142"/>
      <c r="G562" s="143" t="s">
        <v>374</v>
      </c>
      <c r="H562" s="144"/>
      <c r="I562" s="144">
        <v>1565900</v>
      </c>
      <c r="J562" s="145">
        <f t="shared" si="72"/>
        <v>35378955</v>
      </c>
      <c r="K562" s="145"/>
    </row>
    <row r="563" spans="1:11" s="125" customFormat="1" ht="17.25" customHeight="1">
      <c r="A563" s="125">
        <f t="shared" si="67"/>
        <v>10</v>
      </c>
      <c r="B563" s="140">
        <v>42296</v>
      </c>
      <c r="C563" s="141" t="s">
        <v>368</v>
      </c>
      <c r="D563" s="140">
        <f t="shared" si="65"/>
        <v>42296</v>
      </c>
      <c r="E563" s="142" t="s">
        <v>1105</v>
      </c>
      <c r="F563" s="142"/>
      <c r="G563" s="143" t="s">
        <v>374</v>
      </c>
      <c r="H563" s="144"/>
      <c r="I563" s="144">
        <v>7232892</v>
      </c>
      <c r="J563" s="145">
        <f t="shared" si="72"/>
        <v>28146063</v>
      </c>
      <c r="K563" s="145"/>
    </row>
    <row r="564" spans="1:11" s="125" customFormat="1" ht="17.25" customHeight="1">
      <c r="A564" s="125">
        <f t="shared" si="67"/>
        <v>10</v>
      </c>
      <c r="B564" s="140">
        <v>42296</v>
      </c>
      <c r="C564" s="141" t="s">
        <v>368</v>
      </c>
      <c r="D564" s="140">
        <f t="shared" si="65"/>
        <v>42296</v>
      </c>
      <c r="E564" s="142" t="s">
        <v>1195</v>
      </c>
      <c r="F564" s="142"/>
      <c r="G564" s="143" t="s">
        <v>374</v>
      </c>
      <c r="H564" s="144"/>
      <c r="I564" s="144">
        <v>9783072</v>
      </c>
      <c r="J564" s="145">
        <f t="shared" si="72"/>
        <v>18362991</v>
      </c>
      <c r="K564" s="145"/>
    </row>
    <row r="565" spans="1:11" s="125" customFormat="1" ht="17.25" customHeight="1">
      <c r="A565" s="125">
        <f t="shared" si="67"/>
        <v>10</v>
      </c>
      <c r="B565" s="140">
        <v>42296</v>
      </c>
      <c r="C565" s="141" t="s">
        <v>368</v>
      </c>
      <c r="D565" s="140">
        <f t="shared" si="65"/>
        <v>42296</v>
      </c>
      <c r="E565" s="142" t="s">
        <v>1196</v>
      </c>
      <c r="F565" s="142"/>
      <c r="G565" s="143" t="s">
        <v>374</v>
      </c>
      <c r="H565" s="144"/>
      <c r="I565" s="144">
        <v>4474000</v>
      </c>
      <c r="J565" s="145">
        <f t="shared" si="72"/>
        <v>13888991</v>
      </c>
      <c r="K565" s="145"/>
    </row>
    <row r="566" spans="1:11" s="125" customFormat="1" ht="17.25" customHeight="1">
      <c r="A566" s="125">
        <f t="shared" si="67"/>
        <v>10</v>
      </c>
      <c r="B566" s="140">
        <v>42296</v>
      </c>
      <c r="C566" s="141" t="s">
        <v>368</v>
      </c>
      <c r="D566" s="140">
        <f t="shared" si="65"/>
        <v>42296</v>
      </c>
      <c r="E566" s="142" t="s">
        <v>1197</v>
      </c>
      <c r="F566" s="142"/>
      <c r="G566" s="143" t="s">
        <v>374</v>
      </c>
      <c r="H566" s="144"/>
      <c r="I566" s="144">
        <v>5468123</v>
      </c>
      <c r="J566" s="145">
        <f t="shared" si="72"/>
        <v>8420868</v>
      </c>
      <c r="K566" s="145"/>
    </row>
    <row r="567" spans="1:11" s="125" customFormat="1" ht="17.25" customHeight="1">
      <c r="A567" s="125">
        <f t="shared" si="67"/>
        <v>10</v>
      </c>
      <c r="B567" s="140">
        <v>42301</v>
      </c>
      <c r="C567" s="141" t="s">
        <v>371</v>
      </c>
      <c r="D567" s="140">
        <f t="shared" si="65"/>
        <v>42301</v>
      </c>
      <c r="E567" s="142" t="s">
        <v>413</v>
      </c>
      <c r="F567" s="142"/>
      <c r="G567" s="143" t="s">
        <v>414</v>
      </c>
      <c r="H567" s="144">
        <v>8066</v>
      </c>
      <c r="I567" s="144"/>
      <c r="J567" s="145">
        <f t="shared" si="72"/>
        <v>8428934</v>
      </c>
      <c r="K567" s="145"/>
    </row>
    <row r="568" spans="1:11" s="125" customFormat="1" ht="17.25" customHeight="1">
      <c r="A568" s="125">
        <f t="shared" si="67"/>
        <v>10</v>
      </c>
      <c r="B568" s="140">
        <v>42303</v>
      </c>
      <c r="C568" s="141" t="s">
        <v>371</v>
      </c>
      <c r="D568" s="140">
        <f t="shared" si="65"/>
        <v>42303</v>
      </c>
      <c r="E568" s="142" t="s">
        <v>372</v>
      </c>
      <c r="F568" s="142"/>
      <c r="G568" s="143" t="s">
        <v>370</v>
      </c>
      <c r="H568" s="144">
        <v>508782000</v>
      </c>
      <c r="I568" s="144"/>
      <c r="J568" s="145">
        <f t="shared" si="72"/>
        <v>517210934</v>
      </c>
      <c r="K568" s="145"/>
    </row>
    <row r="569" spans="1:11" s="125" customFormat="1" ht="17.25" customHeight="1">
      <c r="A569" s="125">
        <f t="shared" si="67"/>
        <v>10</v>
      </c>
      <c r="B569" s="140">
        <v>42303</v>
      </c>
      <c r="C569" s="141" t="s">
        <v>368</v>
      </c>
      <c r="D569" s="140">
        <f t="shared" si="65"/>
        <v>42303</v>
      </c>
      <c r="E569" s="142" t="s">
        <v>1198</v>
      </c>
      <c r="F569" s="142"/>
      <c r="G569" s="143" t="s">
        <v>34</v>
      </c>
      <c r="H569" s="144"/>
      <c r="I569" s="144">
        <v>23229580</v>
      </c>
      <c r="J569" s="145">
        <f t="shared" si="72"/>
        <v>493981354</v>
      </c>
      <c r="K569" s="145"/>
    </row>
    <row r="570" spans="1:11" s="125" customFormat="1" ht="17.25" customHeight="1">
      <c r="A570" s="125">
        <f t="shared" si="67"/>
        <v>10</v>
      </c>
      <c r="B570" s="140">
        <v>42303</v>
      </c>
      <c r="C570" s="141" t="s">
        <v>368</v>
      </c>
      <c r="D570" s="140">
        <f t="shared" si="65"/>
        <v>42303</v>
      </c>
      <c r="E570" s="142" t="s">
        <v>992</v>
      </c>
      <c r="F570" s="142"/>
      <c r="G570" s="143" t="s">
        <v>94</v>
      </c>
      <c r="H570" s="144"/>
      <c r="I570" s="144">
        <v>25000</v>
      </c>
      <c r="J570" s="145">
        <f t="shared" si="72"/>
        <v>493956354</v>
      </c>
      <c r="K570" s="145"/>
    </row>
    <row r="571" spans="1:11" s="125" customFormat="1" ht="17.25" customHeight="1">
      <c r="A571" s="125">
        <f t="shared" si="67"/>
        <v>10</v>
      </c>
      <c r="B571" s="140">
        <v>42303</v>
      </c>
      <c r="C571" s="141" t="s">
        <v>368</v>
      </c>
      <c r="D571" s="140">
        <f t="shared" si="65"/>
        <v>42303</v>
      </c>
      <c r="E571" s="142" t="s">
        <v>993</v>
      </c>
      <c r="F571" s="142"/>
      <c r="G571" s="143" t="s">
        <v>35</v>
      </c>
      <c r="H571" s="144"/>
      <c r="I571" s="144">
        <v>2500</v>
      </c>
      <c r="J571" s="145">
        <f t="shared" si="72"/>
        <v>493953854</v>
      </c>
      <c r="K571" s="145"/>
    </row>
    <row r="572" spans="1:11" s="125" customFormat="1" ht="17.25" customHeight="1">
      <c r="A572" s="125">
        <f t="shared" si="55"/>
        <v>10</v>
      </c>
      <c r="B572" s="140">
        <v>42303</v>
      </c>
      <c r="C572" s="141" t="s">
        <v>368</v>
      </c>
      <c r="D572" s="140">
        <f t="shared" si="65"/>
        <v>42303</v>
      </c>
      <c r="E572" s="142" t="s">
        <v>62</v>
      </c>
      <c r="F572" s="142"/>
      <c r="G572" s="143" t="s">
        <v>367</v>
      </c>
      <c r="H572" s="144"/>
      <c r="I572" s="144">
        <v>480000000</v>
      </c>
      <c r="J572" s="145">
        <f t="shared" si="64"/>
        <v>13953854</v>
      </c>
      <c r="K572" s="145"/>
    </row>
    <row r="573" spans="1:11" s="125" customFormat="1" ht="17.25" customHeight="1">
      <c r="A573" s="125">
        <f t="shared" si="55"/>
        <v>10</v>
      </c>
      <c r="B573" s="140">
        <v>42303</v>
      </c>
      <c r="C573" s="141" t="s">
        <v>371</v>
      </c>
      <c r="D573" s="140">
        <f t="shared" si="65"/>
        <v>42303</v>
      </c>
      <c r="E573" s="142" t="s">
        <v>412</v>
      </c>
      <c r="F573" s="142"/>
      <c r="G573" s="143" t="s">
        <v>38</v>
      </c>
      <c r="H573" s="144">
        <v>47083132</v>
      </c>
      <c r="I573" s="144"/>
      <c r="J573" s="145">
        <f t="shared" si="64"/>
        <v>61036986</v>
      </c>
      <c r="K573" s="145"/>
    </row>
    <row r="574" spans="1:11" s="125" customFormat="1" ht="17.25" customHeight="1">
      <c r="A574" s="125">
        <f t="shared" si="55"/>
        <v>10</v>
      </c>
      <c r="B574" s="140">
        <v>42303</v>
      </c>
      <c r="C574" s="141" t="s">
        <v>368</v>
      </c>
      <c r="D574" s="140">
        <f t="shared" si="65"/>
        <v>42303</v>
      </c>
      <c r="E574" s="142" t="s">
        <v>62</v>
      </c>
      <c r="F574" s="142"/>
      <c r="G574" s="143" t="s">
        <v>367</v>
      </c>
      <c r="H574" s="144"/>
      <c r="I574" s="144">
        <v>60000000</v>
      </c>
      <c r="J574" s="145">
        <f t="shared" si="64"/>
        <v>1036986</v>
      </c>
      <c r="K574" s="145"/>
    </row>
    <row r="575" spans="1:11" s="125" customFormat="1" ht="17.25" customHeight="1">
      <c r="A575" s="125">
        <f t="shared" si="55"/>
        <v>11</v>
      </c>
      <c r="B575" s="140">
        <v>42319</v>
      </c>
      <c r="C575" s="141" t="s">
        <v>371</v>
      </c>
      <c r="D575" s="140">
        <f t="shared" si="65"/>
        <v>42319</v>
      </c>
      <c r="E575" s="142" t="s">
        <v>71</v>
      </c>
      <c r="F575" s="142"/>
      <c r="G575" s="143" t="s">
        <v>367</v>
      </c>
      <c r="H575" s="144">
        <v>60000000</v>
      </c>
      <c r="I575" s="144"/>
      <c r="J575" s="145">
        <f t="shared" si="64"/>
        <v>61036986</v>
      </c>
      <c r="K575" s="145"/>
    </row>
    <row r="576" spans="1:11" s="125" customFormat="1" ht="17.25" customHeight="1">
      <c r="A576" s="125">
        <f t="shared" si="55"/>
        <v>11</v>
      </c>
      <c r="B576" s="140">
        <v>42319</v>
      </c>
      <c r="C576" s="141" t="s">
        <v>368</v>
      </c>
      <c r="D576" s="140">
        <f t="shared" si="65"/>
        <v>42319</v>
      </c>
      <c r="E576" s="142" t="s">
        <v>1223</v>
      </c>
      <c r="F576" s="142"/>
      <c r="G576" s="143" t="s">
        <v>34</v>
      </c>
      <c r="H576" s="144"/>
      <c r="I576" s="144">
        <v>60000000</v>
      </c>
      <c r="J576" s="145">
        <f t="shared" si="64"/>
        <v>1036986</v>
      </c>
      <c r="K576" s="145"/>
    </row>
    <row r="577" spans="1:11" s="125" customFormat="1" ht="17.25" customHeight="1">
      <c r="A577" s="125">
        <f t="shared" ref="A577:A578" si="73">IF(B577&lt;&gt;"",MONTH(B577),"")</f>
        <v>11</v>
      </c>
      <c r="B577" s="140">
        <v>42319</v>
      </c>
      <c r="C577" s="141" t="s">
        <v>368</v>
      </c>
      <c r="D577" s="140">
        <f t="shared" si="65"/>
        <v>42319</v>
      </c>
      <c r="E577" s="142" t="s">
        <v>1224</v>
      </c>
      <c r="F577" s="142"/>
      <c r="G577" s="143" t="s">
        <v>94</v>
      </c>
      <c r="H577" s="144"/>
      <c r="I577" s="144">
        <v>40000</v>
      </c>
      <c r="J577" s="145">
        <f t="shared" ref="J577:J578" si="74">IF(B577&lt;&gt;"",J576+H577-I577,0)</f>
        <v>996986</v>
      </c>
      <c r="K577" s="145"/>
    </row>
    <row r="578" spans="1:11" s="125" customFormat="1" ht="17.25" customHeight="1">
      <c r="A578" s="125">
        <f t="shared" si="73"/>
        <v>11</v>
      </c>
      <c r="B578" s="140">
        <v>42319</v>
      </c>
      <c r="C578" s="141" t="s">
        <v>368</v>
      </c>
      <c r="D578" s="140">
        <f t="shared" si="65"/>
        <v>42319</v>
      </c>
      <c r="E578" s="142" t="s">
        <v>1225</v>
      </c>
      <c r="F578" s="142"/>
      <c r="G578" s="143" t="s">
        <v>35</v>
      </c>
      <c r="H578" s="144"/>
      <c r="I578" s="144">
        <v>4000</v>
      </c>
      <c r="J578" s="145">
        <f t="shared" si="74"/>
        <v>992986</v>
      </c>
      <c r="K578" s="145"/>
    </row>
    <row r="579" spans="1:11" s="125" customFormat="1" ht="17.25" customHeight="1">
      <c r="A579" s="125">
        <f t="shared" ref="A579" si="75">IF(B579&lt;&gt;"",MONTH(B579),"")</f>
        <v>11</v>
      </c>
      <c r="B579" s="140">
        <v>42321</v>
      </c>
      <c r="C579" s="140" t="s">
        <v>371</v>
      </c>
      <c r="D579" s="140">
        <f t="shared" ref="D579:D642" si="76">B579</f>
        <v>42321</v>
      </c>
      <c r="E579" s="142" t="s">
        <v>372</v>
      </c>
      <c r="F579" s="142"/>
      <c r="G579" s="143" t="s">
        <v>370</v>
      </c>
      <c r="H579" s="144">
        <v>2061720000</v>
      </c>
      <c r="I579" s="144"/>
      <c r="J579" s="145">
        <f t="shared" ref="J579" si="77">IF(B579&lt;&gt;"",J578+H579-I579,0)</f>
        <v>2062712986</v>
      </c>
      <c r="K579" s="145"/>
    </row>
    <row r="580" spans="1:11" s="125" customFormat="1" ht="17.25" customHeight="1">
      <c r="A580" s="125">
        <f t="shared" ref="A580:A583" si="78">IF(B580&lt;&gt;"",MONTH(B580),"")</f>
        <v>11</v>
      </c>
      <c r="B580" s="140">
        <v>42321</v>
      </c>
      <c r="C580" s="141" t="s">
        <v>368</v>
      </c>
      <c r="D580" s="140">
        <f t="shared" si="76"/>
        <v>42321</v>
      </c>
      <c r="E580" s="142" t="s">
        <v>62</v>
      </c>
      <c r="F580" s="142"/>
      <c r="G580" s="143" t="s">
        <v>367</v>
      </c>
      <c r="H580" s="144"/>
      <c r="I580" s="144">
        <v>1850000000</v>
      </c>
      <c r="J580" s="145">
        <f t="shared" ref="J580:J583" si="79">IF(B580&lt;&gt;"",J579+H580-I580,0)</f>
        <v>212712986</v>
      </c>
      <c r="K580" s="145"/>
    </row>
    <row r="581" spans="1:11" s="125" customFormat="1" ht="17.25" customHeight="1">
      <c r="A581" s="125">
        <f t="shared" si="78"/>
        <v>11</v>
      </c>
      <c r="B581" s="140">
        <v>42321</v>
      </c>
      <c r="C581" s="141" t="s">
        <v>368</v>
      </c>
      <c r="D581" s="140">
        <f t="shared" si="76"/>
        <v>42321</v>
      </c>
      <c r="E581" s="142" t="s">
        <v>1228</v>
      </c>
      <c r="F581" s="142"/>
      <c r="G581" s="143" t="s">
        <v>34</v>
      </c>
      <c r="H581" s="144"/>
      <c r="I581" s="144">
        <v>240000</v>
      </c>
      <c r="J581" s="145">
        <f t="shared" si="79"/>
        <v>212472986</v>
      </c>
      <c r="K581" s="145"/>
    </row>
    <row r="582" spans="1:11" s="125" customFormat="1" ht="17.25" customHeight="1">
      <c r="A582" s="125">
        <f t="shared" si="78"/>
        <v>11</v>
      </c>
      <c r="B582" s="140">
        <v>42321</v>
      </c>
      <c r="C582" s="141" t="s">
        <v>368</v>
      </c>
      <c r="D582" s="140">
        <f t="shared" si="76"/>
        <v>42321</v>
      </c>
      <c r="E582" s="142" t="s">
        <v>992</v>
      </c>
      <c r="F582" s="142"/>
      <c r="G582" s="143" t="s">
        <v>94</v>
      </c>
      <c r="H582" s="144"/>
      <c r="I582" s="144">
        <v>20000</v>
      </c>
      <c r="J582" s="145">
        <f t="shared" si="79"/>
        <v>212452986</v>
      </c>
      <c r="K582" s="145"/>
    </row>
    <row r="583" spans="1:11" s="125" customFormat="1" ht="17.25" customHeight="1">
      <c r="A583" s="125">
        <f t="shared" si="78"/>
        <v>11</v>
      </c>
      <c r="B583" s="140">
        <v>42321</v>
      </c>
      <c r="C583" s="141" t="s">
        <v>368</v>
      </c>
      <c r="D583" s="140">
        <f t="shared" si="76"/>
        <v>42321</v>
      </c>
      <c r="E583" s="142" t="s">
        <v>993</v>
      </c>
      <c r="F583" s="142"/>
      <c r="G583" s="143" t="s">
        <v>35</v>
      </c>
      <c r="H583" s="144"/>
      <c r="I583" s="144">
        <v>2000</v>
      </c>
      <c r="J583" s="145">
        <f t="shared" si="79"/>
        <v>212450986</v>
      </c>
      <c r="K583" s="145"/>
    </row>
    <row r="584" spans="1:11" s="125" customFormat="1" ht="17.25" customHeight="1">
      <c r="A584" s="125">
        <f t="shared" ref="A584:A586" si="80">IF(B584&lt;&gt;"",MONTH(B584),"")</f>
        <v>11</v>
      </c>
      <c r="B584" s="140">
        <v>42321</v>
      </c>
      <c r="C584" s="141" t="s">
        <v>368</v>
      </c>
      <c r="D584" s="140">
        <f t="shared" si="76"/>
        <v>42321</v>
      </c>
      <c r="E584" s="142" t="s">
        <v>1226</v>
      </c>
      <c r="F584" s="142"/>
      <c r="G584" s="143" t="s">
        <v>34</v>
      </c>
      <c r="H584" s="144"/>
      <c r="I584" s="144">
        <v>14261518</v>
      </c>
      <c r="J584" s="145">
        <f t="shared" ref="J584:J586" si="81">IF(B584&lt;&gt;"",J583+H584-I584,0)</f>
        <v>198189468</v>
      </c>
      <c r="K584" s="145"/>
    </row>
    <row r="585" spans="1:11" s="125" customFormat="1" ht="17.25" customHeight="1">
      <c r="A585" s="125">
        <f t="shared" si="80"/>
        <v>11</v>
      </c>
      <c r="B585" s="140">
        <v>42321</v>
      </c>
      <c r="C585" s="141" t="s">
        <v>368</v>
      </c>
      <c r="D585" s="140">
        <f t="shared" si="76"/>
        <v>42321</v>
      </c>
      <c r="E585" s="142" t="s">
        <v>992</v>
      </c>
      <c r="F585" s="142"/>
      <c r="G585" s="143" t="s">
        <v>94</v>
      </c>
      <c r="H585" s="144"/>
      <c r="I585" s="144">
        <v>20000</v>
      </c>
      <c r="J585" s="145">
        <f t="shared" si="81"/>
        <v>198169468</v>
      </c>
      <c r="K585" s="145"/>
    </row>
    <row r="586" spans="1:11" s="125" customFormat="1" ht="17.25" customHeight="1">
      <c r="A586" s="125">
        <f t="shared" si="80"/>
        <v>11</v>
      </c>
      <c r="B586" s="140">
        <v>42321</v>
      </c>
      <c r="C586" s="141" t="s">
        <v>368</v>
      </c>
      <c r="D586" s="140">
        <f t="shared" si="76"/>
        <v>42321</v>
      </c>
      <c r="E586" s="142" t="s">
        <v>993</v>
      </c>
      <c r="F586" s="142"/>
      <c r="G586" s="143" t="s">
        <v>35</v>
      </c>
      <c r="H586" s="144"/>
      <c r="I586" s="144">
        <v>2000</v>
      </c>
      <c r="J586" s="145">
        <f t="shared" si="81"/>
        <v>198167468</v>
      </c>
      <c r="K586" s="145"/>
    </row>
    <row r="587" spans="1:11" s="125" customFormat="1" ht="17.25" customHeight="1">
      <c r="A587" s="125">
        <f t="shared" ref="A587:A589" si="82">IF(B587&lt;&gt;"",MONTH(B587),"")</f>
        <v>11</v>
      </c>
      <c r="B587" s="140">
        <v>42321</v>
      </c>
      <c r="C587" s="141" t="s">
        <v>368</v>
      </c>
      <c r="D587" s="140">
        <f t="shared" si="76"/>
        <v>42321</v>
      </c>
      <c r="E587" s="142" t="s">
        <v>714</v>
      </c>
      <c r="F587" s="142"/>
      <c r="G587" s="143" t="s">
        <v>34</v>
      </c>
      <c r="H587" s="144"/>
      <c r="I587" s="144">
        <v>76589573</v>
      </c>
      <c r="J587" s="145">
        <f t="shared" ref="J587:J589" si="83">IF(B587&lt;&gt;"",J586+H587-I587,0)</f>
        <v>121577895</v>
      </c>
      <c r="K587" s="145"/>
    </row>
    <row r="588" spans="1:11" s="125" customFormat="1" ht="17.25" customHeight="1">
      <c r="A588" s="125">
        <f t="shared" si="82"/>
        <v>11</v>
      </c>
      <c r="B588" s="140">
        <v>42321</v>
      </c>
      <c r="C588" s="141" t="s">
        <v>368</v>
      </c>
      <c r="D588" s="140">
        <f t="shared" si="76"/>
        <v>42321</v>
      </c>
      <c r="E588" s="142" t="s">
        <v>992</v>
      </c>
      <c r="F588" s="142"/>
      <c r="G588" s="143" t="s">
        <v>94</v>
      </c>
      <c r="H588" s="144"/>
      <c r="I588" s="144">
        <v>22977</v>
      </c>
      <c r="J588" s="145">
        <f t="shared" si="83"/>
        <v>121554918</v>
      </c>
      <c r="K588" s="145"/>
    </row>
    <row r="589" spans="1:11" s="125" customFormat="1" ht="17.25" customHeight="1">
      <c r="A589" s="125">
        <f t="shared" si="82"/>
        <v>11</v>
      </c>
      <c r="B589" s="140">
        <v>42321</v>
      </c>
      <c r="C589" s="141" t="s">
        <v>368</v>
      </c>
      <c r="D589" s="140">
        <f t="shared" si="76"/>
        <v>42321</v>
      </c>
      <c r="E589" s="142" t="s">
        <v>993</v>
      </c>
      <c r="F589" s="142"/>
      <c r="G589" s="143" t="s">
        <v>35</v>
      </c>
      <c r="H589" s="144"/>
      <c r="I589" s="144">
        <v>2298</v>
      </c>
      <c r="J589" s="145">
        <f t="shared" si="83"/>
        <v>121552620</v>
      </c>
      <c r="K589" s="145"/>
    </row>
    <row r="590" spans="1:11" s="125" customFormat="1" ht="17.25" customHeight="1">
      <c r="A590" s="125">
        <f t="shared" ref="A590:A595" si="84">IF(B590&lt;&gt;"",MONTH(B590),"")</f>
        <v>11</v>
      </c>
      <c r="B590" s="140">
        <v>42321</v>
      </c>
      <c r="C590" s="141" t="s">
        <v>368</v>
      </c>
      <c r="D590" s="140">
        <f t="shared" si="76"/>
        <v>42321</v>
      </c>
      <c r="E590" s="142" t="s">
        <v>1227</v>
      </c>
      <c r="F590" s="142"/>
      <c r="G590" s="143" t="s">
        <v>34</v>
      </c>
      <c r="H590" s="144"/>
      <c r="I590" s="144">
        <v>45900000</v>
      </c>
      <c r="J590" s="145">
        <f t="shared" ref="J590:J595" si="85">IF(B590&lt;&gt;"",J589+H590-I590,0)</f>
        <v>75652620</v>
      </c>
      <c r="K590" s="145"/>
    </row>
    <row r="591" spans="1:11" s="125" customFormat="1" ht="17.25" customHeight="1">
      <c r="A591" s="125">
        <f t="shared" si="84"/>
        <v>11</v>
      </c>
      <c r="B591" s="140">
        <v>42321</v>
      </c>
      <c r="C591" s="141" t="s">
        <v>368</v>
      </c>
      <c r="D591" s="140">
        <f t="shared" si="76"/>
        <v>42321</v>
      </c>
      <c r="E591" s="142" t="s">
        <v>992</v>
      </c>
      <c r="F591" s="142"/>
      <c r="G591" s="143" t="s">
        <v>94</v>
      </c>
      <c r="H591" s="144"/>
      <c r="I591" s="144">
        <v>20000</v>
      </c>
      <c r="J591" s="145">
        <f t="shared" si="85"/>
        <v>75632620</v>
      </c>
      <c r="K591" s="145"/>
    </row>
    <row r="592" spans="1:11" s="125" customFormat="1" ht="17.25" customHeight="1">
      <c r="A592" s="125">
        <f t="shared" si="84"/>
        <v>11</v>
      </c>
      <c r="B592" s="140">
        <v>42321</v>
      </c>
      <c r="C592" s="141" t="s">
        <v>368</v>
      </c>
      <c r="D592" s="140">
        <f t="shared" si="76"/>
        <v>42321</v>
      </c>
      <c r="E592" s="142" t="s">
        <v>993</v>
      </c>
      <c r="F592" s="142"/>
      <c r="G592" s="143" t="s">
        <v>35</v>
      </c>
      <c r="H592" s="144"/>
      <c r="I592" s="144">
        <v>2000</v>
      </c>
      <c r="J592" s="145">
        <f t="shared" si="85"/>
        <v>75630620</v>
      </c>
      <c r="K592" s="145"/>
    </row>
    <row r="593" spans="1:11" s="125" customFormat="1" ht="17.25" customHeight="1">
      <c r="A593" s="125">
        <f t="shared" si="84"/>
        <v>11</v>
      </c>
      <c r="B593" s="140">
        <v>42321</v>
      </c>
      <c r="C593" s="141" t="s">
        <v>368</v>
      </c>
      <c r="D593" s="140">
        <f t="shared" si="76"/>
        <v>42321</v>
      </c>
      <c r="E593" s="142" t="s">
        <v>1228</v>
      </c>
      <c r="F593" s="142"/>
      <c r="G593" s="143" t="s">
        <v>34</v>
      </c>
      <c r="H593" s="144"/>
      <c r="I593" s="144">
        <v>5775000</v>
      </c>
      <c r="J593" s="145">
        <f t="shared" si="85"/>
        <v>69855620</v>
      </c>
      <c r="K593" s="145"/>
    </row>
    <row r="594" spans="1:11" s="125" customFormat="1" ht="17.25" customHeight="1">
      <c r="A594" s="125">
        <f t="shared" si="84"/>
        <v>11</v>
      </c>
      <c r="B594" s="140">
        <v>42321</v>
      </c>
      <c r="C594" s="141" t="s">
        <v>368</v>
      </c>
      <c r="D594" s="140">
        <f t="shared" si="76"/>
        <v>42321</v>
      </c>
      <c r="E594" s="142" t="s">
        <v>992</v>
      </c>
      <c r="F594" s="142"/>
      <c r="G594" s="143" t="s">
        <v>94</v>
      </c>
      <c r="H594" s="144"/>
      <c r="I594" s="144">
        <v>20000</v>
      </c>
      <c r="J594" s="145">
        <f t="shared" si="85"/>
        <v>69835620</v>
      </c>
      <c r="K594" s="145"/>
    </row>
    <row r="595" spans="1:11" s="125" customFormat="1" ht="17.25" customHeight="1">
      <c r="A595" s="125">
        <f t="shared" si="84"/>
        <v>11</v>
      </c>
      <c r="B595" s="140">
        <v>42321</v>
      </c>
      <c r="C595" s="141" t="s">
        <v>368</v>
      </c>
      <c r="D595" s="140">
        <f t="shared" si="76"/>
        <v>42321</v>
      </c>
      <c r="E595" s="142" t="s">
        <v>993</v>
      </c>
      <c r="F595" s="142"/>
      <c r="G595" s="143" t="s">
        <v>35</v>
      </c>
      <c r="H595" s="144"/>
      <c r="I595" s="144">
        <v>2000</v>
      </c>
      <c r="J595" s="145">
        <f t="shared" si="85"/>
        <v>69833620</v>
      </c>
      <c r="K595" s="145"/>
    </row>
    <row r="596" spans="1:11" s="125" customFormat="1" ht="17.25" customHeight="1">
      <c r="A596" s="125">
        <f t="shared" ref="A596:A598" si="86">IF(B596&lt;&gt;"",MONTH(B596),"")</f>
        <v>11</v>
      </c>
      <c r="B596" s="140">
        <v>42321</v>
      </c>
      <c r="C596" s="141" t="s">
        <v>368</v>
      </c>
      <c r="D596" s="140">
        <f t="shared" si="76"/>
        <v>42321</v>
      </c>
      <c r="E596" s="142" t="s">
        <v>711</v>
      </c>
      <c r="F596" s="142"/>
      <c r="G596" s="143" t="s">
        <v>34</v>
      </c>
      <c r="H596" s="144"/>
      <c r="I596" s="144">
        <v>40000000</v>
      </c>
      <c r="J596" s="145">
        <f t="shared" ref="J596:J598" si="87">IF(B596&lt;&gt;"",J595+H596-I596,0)</f>
        <v>29833620</v>
      </c>
      <c r="K596" s="145"/>
    </row>
    <row r="597" spans="1:11" s="125" customFormat="1" ht="17.25" customHeight="1">
      <c r="A597" s="125">
        <f t="shared" si="86"/>
        <v>11</v>
      </c>
      <c r="B597" s="140">
        <v>42321</v>
      </c>
      <c r="C597" s="141" t="s">
        <v>368</v>
      </c>
      <c r="D597" s="140">
        <f t="shared" si="76"/>
        <v>42321</v>
      </c>
      <c r="E597" s="142" t="s">
        <v>992</v>
      </c>
      <c r="F597" s="142"/>
      <c r="G597" s="143" t="s">
        <v>94</v>
      </c>
      <c r="H597" s="144"/>
      <c r="I597" s="144">
        <v>25000</v>
      </c>
      <c r="J597" s="145">
        <f t="shared" si="87"/>
        <v>29808620</v>
      </c>
      <c r="K597" s="145"/>
    </row>
    <row r="598" spans="1:11" s="125" customFormat="1" ht="17.25" customHeight="1">
      <c r="A598" s="125">
        <f t="shared" si="86"/>
        <v>11</v>
      </c>
      <c r="B598" s="140">
        <v>42321</v>
      </c>
      <c r="C598" s="141" t="s">
        <v>368</v>
      </c>
      <c r="D598" s="140">
        <f t="shared" si="76"/>
        <v>42321</v>
      </c>
      <c r="E598" s="142" t="s">
        <v>993</v>
      </c>
      <c r="F598" s="142"/>
      <c r="G598" s="143" t="s">
        <v>35</v>
      </c>
      <c r="H598" s="144"/>
      <c r="I598" s="144">
        <v>2500</v>
      </c>
      <c r="J598" s="145">
        <f t="shared" si="87"/>
        <v>29806120</v>
      </c>
      <c r="K598" s="145"/>
    </row>
    <row r="599" spans="1:11" s="125" customFormat="1" ht="17.25" customHeight="1">
      <c r="A599" s="125">
        <f t="shared" ref="A599:A602" si="88">IF(B599&lt;&gt;"",MONTH(B599),"")</f>
        <v>11</v>
      </c>
      <c r="B599" s="140">
        <v>42321</v>
      </c>
      <c r="C599" s="141" t="s">
        <v>368</v>
      </c>
      <c r="D599" s="140">
        <f t="shared" si="76"/>
        <v>42321</v>
      </c>
      <c r="E599" s="142" t="s">
        <v>1230</v>
      </c>
      <c r="F599" s="142"/>
      <c r="G599" s="143" t="s">
        <v>34</v>
      </c>
      <c r="H599" s="144"/>
      <c r="I599" s="144">
        <v>23142350</v>
      </c>
      <c r="J599" s="145">
        <f t="shared" ref="J599:J602" si="89">IF(B599&lt;&gt;"",J598+H599-I599,0)</f>
        <v>6663770</v>
      </c>
      <c r="K599" s="145"/>
    </row>
    <row r="600" spans="1:11" s="125" customFormat="1" ht="17.25" customHeight="1">
      <c r="A600" s="125">
        <f t="shared" si="88"/>
        <v>11</v>
      </c>
      <c r="B600" s="140">
        <v>42321</v>
      </c>
      <c r="C600" s="141" t="s">
        <v>368</v>
      </c>
      <c r="D600" s="140">
        <f t="shared" si="76"/>
        <v>42321</v>
      </c>
      <c r="E600" s="142" t="s">
        <v>992</v>
      </c>
      <c r="F600" s="142"/>
      <c r="G600" s="143" t="s">
        <v>94</v>
      </c>
      <c r="H600" s="144"/>
      <c r="I600" s="144">
        <v>25000</v>
      </c>
      <c r="J600" s="145">
        <f t="shared" si="89"/>
        <v>6638770</v>
      </c>
      <c r="K600" s="145"/>
    </row>
    <row r="601" spans="1:11" s="125" customFormat="1" ht="17.25" customHeight="1">
      <c r="A601" s="125">
        <f t="shared" si="88"/>
        <v>11</v>
      </c>
      <c r="B601" s="140">
        <v>42321</v>
      </c>
      <c r="C601" s="141" t="s">
        <v>368</v>
      </c>
      <c r="D601" s="140">
        <f t="shared" si="76"/>
        <v>42321</v>
      </c>
      <c r="E601" s="142" t="s">
        <v>993</v>
      </c>
      <c r="F601" s="142"/>
      <c r="G601" s="143" t="s">
        <v>35</v>
      </c>
      <c r="H601" s="144"/>
      <c r="I601" s="144">
        <v>2500</v>
      </c>
      <c r="J601" s="145">
        <f t="shared" si="89"/>
        <v>6636270</v>
      </c>
      <c r="K601" s="145"/>
    </row>
    <row r="602" spans="1:11" s="125" customFormat="1" ht="17.25" customHeight="1">
      <c r="A602" s="125">
        <f t="shared" si="88"/>
        <v>11</v>
      </c>
      <c r="B602" s="140">
        <v>42326</v>
      </c>
      <c r="C602" s="141" t="s">
        <v>368</v>
      </c>
      <c r="D602" s="140">
        <f t="shared" si="76"/>
        <v>42326</v>
      </c>
      <c r="E602" s="142" t="s">
        <v>1195</v>
      </c>
      <c r="F602" s="142"/>
      <c r="G602" s="143" t="s">
        <v>374</v>
      </c>
      <c r="H602" s="144"/>
      <c r="I602" s="144">
        <v>6357724</v>
      </c>
      <c r="J602" s="145">
        <f t="shared" si="89"/>
        <v>278546</v>
      </c>
      <c r="K602" s="145"/>
    </row>
    <row r="603" spans="1:11" s="125" customFormat="1" ht="17.25" customHeight="1">
      <c r="A603" s="125">
        <f t="shared" ref="A603" si="90">IF(B603&lt;&gt;"",MONTH(B603),"")</f>
        <v>11</v>
      </c>
      <c r="B603" s="140">
        <v>42328</v>
      </c>
      <c r="C603" s="141" t="s">
        <v>371</v>
      </c>
      <c r="D603" s="140">
        <f t="shared" si="76"/>
        <v>42328</v>
      </c>
      <c r="E603" s="142" t="s">
        <v>1192</v>
      </c>
      <c r="F603" s="142"/>
      <c r="G603" s="143" t="s">
        <v>367</v>
      </c>
      <c r="H603" s="144">
        <v>45000000</v>
      </c>
      <c r="I603" s="144"/>
      <c r="J603" s="145">
        <f t="shared" ref="J603" si="91">IF(B603&lt;&gt;"",J602+H603-I603,0)</f>
        <v>45278546</v>
      </c>
      <c r="K603" s="145"/>
    </row>
    <row r="604" spans="1:11" s="125" customFormat="1" ht="17.25" customHeight="1">
      <c r="A604" s="125">
        <f t="shared" ref="A604" si="92">IF(B604&lt;&gt;"",MONTH(B604),"")</f>
        <v>11</v>
      </c>
      <c r="B604" s="140">
        <v>42328</v>
      </c>
      <c r="C604" s="141" t="s">
        <v>371</v>
      </c>
      <c r="D604" s="140">
        <f t="shared" si="76"/>
        <v>42328</v>
      </c>
      <c r="E604" s="142" t="s">
        <v>372</v>
      </c>
      <c r="F604" s="142"/>
      <c r="G604" s="143" t="s">
        <v>370</v>
      </c>
      <c r="H604" s="144">
        <v>1370670000</v>
      </c>
      <c r="I604" s="144"/>
      <c r="J604" s="145">
        <f t="shared" ref="J604" si="93">IF(B604&lt;&gt;"",J603+H604-I604,0)</f>
        <v>1415948546</v>
      </c>
      <c r="K604" s="145"/>
    </row>
    <row r="605" spans="1:11" s="125" customFormat="1" ht="17.25" customHeight="1">
      <c r="A605" s="125">
        <f t="shared" ref="A605" si="94">IF(B605&lt;&gt;"",MONTH(B605),"")</f>
        <v>11</v>
      </c>
      <c r="B605" s="140">
        <v>42329</v>
      </c>
      <c r="C605" s="141" t="s">
        <v>368</v>
      </c>
      <c r="D605" s="140">
        <f t="shared" si="76"/>
        <v>42329</v>
      </c>
      <c r="E605" s="142" t="s">
        <v>62</v>
      </c>
      <c r="F605" s="142"/>
      <c r="G605" s="143" t="s">
        <v>367</v>
      </c>
      <c r="H605" s="144"/>
      <c r="I605" s="144">
        <v>1370000000</v>
      </c>
      <c r="J605" s="145">
        <f t="shared" ref="J605" si="95">IF(B605&lt;&gt;"",J604+H605-I605,0)</f>
        <v>45948546</v>
      </c>
      <c r="K605" s="145"/>
    </row>
    <row r="606" spans="1:11" s="125" customFormat="1" ht="17.25" customHeight="1">
      <c r="A606" s="125">
        <f t="shared" ref="A606:A610" si="96">IF(B606&lt;&gt;"",MONTH(B606),"")</f>
        <v>11</v>
      </c>
      <c r="B606" s="140">
        <v>42332</v>
      </c>
      <c r="C606" s="141" t="s">
        <v>371</v>
      </c>
      <c r="D606" s="140">
        <f t="shared" si="76"/>
        <v>42332</v>
      </c>
      <c r="E606" s="142" t="s">
        <v>413</v>
      </c>
      <c r="F606" s="142"/>
      <c r="G606" s="143" t="s">
        <v>414</v>
      </c>
      <c r="H606" s="144">
        <v>14837</v>
      </c>
      <c r="I606" s="144"/>
      <c r="J606" s="145">
        <f t="shared" ref="J606:J642" si="97">IF(B606&lt;&gt;"",J605+H606-I606,0)</f>
        <v>45963383</v>
      </c>
      <c r="K606" s="145"/>
    </row>
    <row r="607" spans="1:11" s="125" customFormat="1" ht="17.25" customHeight="1">
      <c r="A607" s="125">
        <f t="shared" si="96"/>
        <v>11</v>
      </c>
      <c r="B607" s="140">
        <v>42335</v>
      </c>
      <c r="C607" s="141" t="s">
        <v>368</v>
      </c>
      <c r="D607" s="140">
        <f t="shared" si="76"/>
        <v>42335</v>
      </c>
      <c r="E607" s="142" t="s">
        <v>1229</v>
      </c>
      <c r="F607" s="142"/>
      <c r="G607" s="143" t="s">
        <v>34</v>
      </c>
      <c r="H607" s="144"/>
      <c r="I607" s="144">
        <v>21078420</v>
      </c>
      <c r="J607" s="145">
        <f t="shared" si="97"/>
        <v>24884963</v>
      </c>
      <c r="K607" s="145"/>
    </row>
    <row r="608" spans="1:11" s="125" customFormat="1" ht="17.25" customHeight="1">
      <c r="A608" s="125">
        <f t="shared" si="96"/>
        <v>11</v>
      </c>
      <c r="B608" s="140">
        <v>42335</v>
      </c>
      <c r="C608" s="141" t="s">
        <v>368</v>
      </c>
      <c r="D608" s="140">
        <f t="shared" si="76"/>
        <v>42335</v>
      </c>
      <c r="E608" s="142" t="s">
        <v>992</v>
      </c>
      <c r="F608" s="142"/>
      <c r="G608" s="143" t="s">
        <v>94</v>
      </c>
      <c r="H608" s="144"/>
      <c r="I608" s="144">
        <v>25000</v>
      </c>
      <c r="J608" s="145">
        <f t="shared" si="97"/>
        <v>24859963</v>
      </c>
      <c r="K608" s="145"/>
    </row>
    <row r="609" spans="1:11" s="125" customFormat="1" ht="17.25" customHeight="1">
      <c r="A609" s="125">
        <f t="shared" si="96"/>
        <v>11</v>
      </c>
      <c r="B609" s="140">
        <v>42335</v>
      </c>
      <c r="C609" s="141" t="s">
        <v>368</v>
      </c>
      <c r="D609" s="140">
        <f t="shared" si="76"/>
        <v>42335</v>
      </c>
      <c r="E609" s="142" t="s">
        <v>993</v>
      </c>
      <c r="F609" s="142"/>
      <c r="G609" s="143" t="s">
        <v>35</v>
      </c>
      <c r="H609" s="144"/>
      <c r="I609" s="144">
        <v>2500</v>
      </c>
      <c r="J609" s="145">
        <f t="shared" si="97"/>
        <v>24857463</v>
      </c>
      <c r="K609" s="145"/>
    </row>
    <row r="610" spans="1:11" s="125" customFormat="1" ht="17.25" customHeight="1">
      <c r="A610" s="125">
        <f t="shared" si="96"/>
        <v>11</v>
      </c>
      <c r="B610" s="140">
        <v>42335</v>
      </c>
      <c r="C610" s="141" t="s">
        <v>371</v>
      </c>
      <c r="D610" s="140">
        <f t="shared" si="76"/>
        <v>42335</v>
      </c>
      <c r="E610" s="142" t="s">
        <v>372</v>
      </c>
      <c r="F610" s="142"/>
      <c r="G610" s="143" t="s">
        <v>370</v>
      </c>
      <c r="H610" s="144">
        <v>395648000</v>
      </c>
      <c r="I610" s="144"/>
      <c r="J610" s="145">
        <f t="shared" si="97"/>
        <v>420505463</v>
      </c>
      <c r="K610" s="145"/>
    </row>
    <row r="611" spans="1:11" s="125" customFormat="1" ht="17.25" customHeight="1">
      <c r="A611" s="125">
        <f t="shared" ref="A611:A661" si="98">IF(B611&lt;&gt;"",MONTH(B611),"")</f>
        <v>11</v>
      </c>
      <c r="B611" s="140">
        <v>42336</v>
      </c>
      <c r="C611" s="141" t="s">
        <v>368</v>
      </c>
      <c r="D611" s="140">
        <f t="shared" si="76"/>
        <v>42336</v>
      </c>
      <c r="E611" s="142" t="s">
        <v>62</v>
      </c>
      <c r="F611" s="142"/>
      <c r="G611" s="143" t="s">
        <v>367</v>
      </c>
      <c r="H611" s="144"/>
      <c r="I611" s="144">
        <v>420000000</v>
      </c>
      <c r="J611" s="145">
        <f t="shared" si="97"/>
        <v>505463</v>
      </c>
      <c r="K611" s="145"/>
    </row>
    <row r="612" spans="1:11" s="125" customFormat="1" ht="17.25" customHeight="1">
      <c r="A612" s="125">
        <f t="shared" si="98"/>
        <v>12</v>
      </c>
      <c r="B612" s="140">
        <v>42339</v>
      </c>
      <c r="C612" s="141" t="s">
        <v>371</v>
      </c>
      <c r="D612" s="140">
        <f t="shared" si="76"/>
        <v>42339</v>
      </c>
      <c r="E612" s="142" t="s">
        <v>1326</v>
      </c>
      <c r="F612" s="142"/>
      <c r="G612" s="143" t="s">
        <v>367</v>
      </c>
      <c r="H612" s="144">
        <v>400000000</v>
      </c>
      <c r="I612" s="144"/>
      <c r="J612" s="145">
        <f t="shared" si="97"/>
        <v>400505463</v>
      </c>
      <c r="K612" s="145"/>
    </row>
    <row r="613" spans="1:11" s="125" customFormat="1" ht="17.25" customHeight="1">
      <c r="A613" s="125">
        <f t="shared" si="98"/>
        <v>12</v>
      </c>
      <c r="B613" s="140">
        <v>42339</v>
      </c>
      <c r="C613" s="141" t="s">
        <v>368</v>
      </c>
      <c r="D613" s="140">
        <f t="shared" si="76"/>
        <v>42339</v>
      </c>
      <c r="E613" s="142" t="s">
        <v>420</v>
      </c>
      <c r="F613" s="142"/>
      <c r="G613" s="143" t="s">
        <v>36</v>
      </c>
      <c r="H613" s="144"/>
      <c r="I613" s="144">
        <v>40000000</v>
      </c>
      <c r="J613" s="145">
        <f t="shared" si="97"/>
        <v>360505463</v>
      </c>
      <c r="K613" s="145"/>
    </row>
    <row r="614" spans="1:11" s="125" customFormat="1" ht="17.25" customHeight="1">
      <c r="A614" s="125">
        <f t="shared" si="98"/>
        <v>12</v>
      </c>
      <c r="B614" s="140">
        <v>42339</v>
      </c>
      <c r="C614" s="141" t="s">
        <v>368</v>
      </c>
      <c r="D614" s="140">
        <f t="shared" si="76"/>
        <v>42339</v>
      </c>
      <c r="E614" s="142" t="s">
        <v>394</v>
      </c>
      <c r="F614" s="142"/>
      <c r="G614" s="143" t="s">
        <v>94</v>
      </c>
      <c r="H614" s="144"/>
      <c r="I614" s="144">
        <v>20000</v>
      </c>
      <c r="J614" s="145">
        <f t="shared" si="97"/>
        <v>360485463</v>
      </c>
      <c r="K614" s="145"/>
    </row>
    <row r="615" spans="1:11" s="125" customFormat="1" ht="17.25" customHeight="1">
      <c r="A615" s="125">
        <f t="shared" si="98"/>
        <v>12</v>
      </c>
      <c r="B615" s="140">
        <v>42339</v>
      </c>
      <c r="C615" s="141" t="s">
        <v>368</v>
      </c>
      <c r="D615" s="140">
        <f t="shared" si="76"/>
        <v>42339</v>
      </c>
      <c r="E615" s="142" t="s">
        <v>395</v>
      </c>
      <c r="F615" s="142"/>
      <c r="G615" s="143" t="s">
        <v>35</v>
      </c>
      <c r="H615" s="144"/>
      <c r="I615" s="144">
        <v>2000</v>
      </c>
      <c r="J615" s="145">
        <f t="shared" si="97"/>
        <v>360483463</v>
      </c>
      <c r="K615" s="145"/>
    </row>
    <row r="616" spans="1:11" s="125" customFormat="1" ht="17.25" customHeight="1">
      <c r="A616" s="125">
        <f t="shared" si="98"/>
        <v>12</v>
      </c>
      <c r="B616" s="140">
        <v>42339</v>
      </c>
      <c r="C616" s="141" t="s">
        <v>371</v>
      </c>
      <c r="D616" s="140">
        <f t="shared" si="76"/>
        <v>42339</v>
      </c>
      <c r="E616" s="142" t="s">
        <v>420</v>
      </c>
      <c r="F616" s="142"/>
      <c r="G616" s="143" t="s">
        <v>36</v>
      </c>
      <c r="H616" s="144">
        <v>100000000</v>
      </c>
      <c r="I616" s="144"/>
      <c r="J616" s="145">
        <f t="shared" si="97"/>
        <v>460483463</v>
      </c>
      <c r="K616" s="145"/>
    </row>
    <row r="617" spans="1:11" s="125" customFormat="1" ht="17.25" customHeight="1">
      <c r="A617" s="125">
        <f t="shared" si="98"/>
        <v>12</v>
      </c>
      <c r="B617" s="140">
        <v>42339</v>
      </c>
      <c r="C617" s="141" t="s">
        <v>368</v>
      </c>
      <c r="D617" s="140">
        <f t="shared" si="76"/>
        <v>42339</v>
      </c>
      <c r="E617" s="142" t="s">
        <v>677</v>
      </c>
      <c r="F617" s="142"/>
      <c r="G617" s="143" t="s">
        <v>370</v>
      </c>
      <c r="H617" s="144"/>
      <c r="I617" s="144">
        <v>389025100</v>
      </c>
      <c r="J617" s="145">
        <f t="shared" si="97"/>
        <v>71458363</v>
      </c>
      <c r="K617" s="145"/>
    </row>
    <row r="618" spans="1:11" s="125" customFormat="1" ht="17.25" customHeight="1">
      <c r="A618" s="125">
        <f t="shared" si="98"/>
        <v>12</v>
      </c>
      <c r="B618" s="140">
        <v>42339</v>
      </c>
      <c r="C618" s="141" t="s">
        <v>368</v>
      </c>
      <c r="D618" s="140">
        <f t="shared" si="76"/>
        <v>42339</v>
      </c>
      <c r="E618" s="142" t="s">
        <v>853</v>
      </c>
      <c r="F618" s="142"/>
      <c r="G618" s="143" t="s">
        <v>374</v>
      </c>
      <c r="H618" s="144"/>
      <c r="I618" s="144">
        <v>2912678</v>
      </c>
      <c r="J618" s="145">
        <f t="shared" ref="J618" si="99">IF(B618&lt;&gt;"",J617+H618-I618,0)</f>
        <v>68545685</v>
      </c>
      <c r="K618" s="145"/>
    </row>
    <row r="619" spans="1:11" s="125" customFormat="1" ht="17.25" customHeight="1">
      <c r="A619" s="125">
        <f t="shared" si="98"/>
        <v>12</v>
      </c>
      <c r="B619" s="140">
        <v>42339</v>
      </c>
      <c r="C619" s="141" t="s">
        <v>371</v>
      </c>
      <c r="D619" s="140">
        <f t="shared" si="76"/>
        <v>42339</v>
      </c>
      <c r="E619" s="142" t="s">
        <v>372</v>
      </c>
      <c r="F619" s="142"/>
      <c r="G619" s="143" t="s">
        <v>370</v>
      </c>
      <c r="H619" s="144">
        <v>2000898000</v>
      </c>
      <c r="I619" s="144"/>
      <c r="J619" s="145">
        <f t="shared" ref="J619" si="100">IF(B619&lt;&gt;"",J618+H619-I619,0)</f>
        <v>2069443685</v>
      </c>
      <c r="K619" s="145"/>
    </row>
    <row r="620" spans="1:11" s="125" customFormat="1" ht="17.25" customHeight="1">
      <c r="A620" s="125">
        <f t="shared" si="98"/>
        <v>12</v>
      </c>
      <c r="B620" s="140">
        <v>42339</v>
      </c>
      <c r="C620" s="141" t="s">
        <v>368</v>
      </c>
      <c r="D620" s="140">
        <f t="shared" si="76"/>
        <v>42339</v>
      </c>
      <c r="E620" s="142" t="s">
        <v>62</v>
      </c>
      <c r="F620" s="142"/>
      <c r="G620" s="143" t="s">
        <v>367</v>
      </c>
      <c r="H620" s="144"/>
      <c r="I620" s="144">
        <v>2000000000</v>
      </c>
      <c r="J620" s="145">
        <f t="shared" si="97"/>
        <v>69443685</v>
      </c>
      <c r="K620" s="145"/>
    </row>
    <row r="621" spans="1:11" s="125" customFormat="1" ht="17.25" customHeight="1">
      <c r="A621" s="125">
        <f t="shared" si="98"/>
        <v>12</v>
      </c>
      <c r="B621" s="140">
        <v>42340</v>
      </c>
      <c r="C621" s="141" t="s">
        <v>371</v>
      </c>
      <c r="D621" s="140">
        <f t="shared" si="76"/>
        <v>42340</v>
      </c>
      <c r="E621" s="142" t="s">
        <v>1326</v>
      </c>
      <c r="F621" s="142"/>
      <c r="G621" s="143" t="s">
        <v>367</v>
      </c>
      <c r="H621" s="144">
        <v>930000000</v>
      </c>
      <c r="I621" s="144"/>
      <c r="J621" s="145">
        <f t="shared" si="97"/>
        <v>999443685</v>
      </c>
      <c r="K621" s="145"/>
    </row>
    <row r="622" spans="1:11" s="125" customFormat="1" ht="17.25" customHeight="1">
      <c r="A622" s="125">
        <f t="shared" ref="A622" si="101">IF(B622&lt;&gt;"",MONTH(B622),"")</f>
        <v>12</v>
      </c>
      <c r="B622" s="140">
        <v>42341</v>
      </c>
      <c r="C622" s="141" t="s">
        <v>368</v>
      </c>
      <c r="D622" s="140">
        <f t="shared" si="76"/>
        <v>42341</v>
      </c>
      <c r="E622" s="142" t="s">
        <v>62</v>
      </c>
      <c r="F622" s="142"/>
      <c r="G622" s="143" t="s">
        <v>367</v>
      </c>
      <c r="H622" s="144"/>
      <c r="I622" s="144">
        <v>300000000</v>
      </c>
      <c r="J622" s="145">
        <f t="shared" ref="J622" si="102">IF(B622&lt;&gt;"",J621+H622-I622,0)</f>
        <v>699443685</v>
      </c>
      <c r="K622" s="145"/>
    </row>
    <row r="623" spans="1:11" s="125" customFormat="1" ht="17.25" customHeight="1">
      <c r="A623" s="125">
        <f t="shared" ref="A623:A629" si="103">IF(B623&lt;&gt;"",MONTH(B623),"")</f>
        <v>12</v>
      </c>
      <c r="B623" s="140">
        <v>42341</v>
      </c>
      <c r="C623" s="141" t="s">
        <v>368</v>
      </c>
      <c r="D623" s="140">
        <f t="shared" si="76"/>
        <v>42341</v>
      </c>
      <c r="E623" s="142" t="s">
        <v>418</v>
      </c>
      <c r="F623" s="142"/>
      <c r="G623" s="143" t="s">
        <v>94</v>
      </c>
      <c r="H623" s="144"/>
      <c r="I623" s="144">
        <v>69167</v>
      </c>
      <c r="J623" s="145">
        <f t="shared" ref="J623:J624" si="104">IF(B623&lt;&gt;"",J622+H623-I623,0)</f>
        <v>699374518</v>
      </c>
      <c r="K623" s="145"/>
    </row>
    <row r="624" spans="1:11" s="125" customFormat="1" ht="17.25" customHeight="1">
      <c r="A624" s="125">
        <f t="shared" si="103"/>
        <v>12</v>
      </c>
      <c r="B624" s="140">
        <v>42341</v>
      </c>
      <c r="C624" s="141" t="s">
        <v>368</v>
      </c>
      <c r="D624" s="140">
        <f t="shared" si="76"/>
        <v>42341</v>
      </c>
      <c r="E624" s="142" t="s">
        <v>419</v>
      </c>
      <c r="F624" s="142"/>
      <c r="G624" s="143" t="s">
        <v>35</v>
      </c>
      <c r="H624" s="144"/>
      <c r="I624" s="144">
        <v>6917</v>
      </c>
      <c r="J624" s="145">
        <f t="shared" si="104"/>
        <v>699367601</v>
      </c>
      <c r="K624" s="145"/>
    </row>
    <row r="625" spans="1:11" s="125" customFormat="1" ht="17.25" customHeight="1">
      <c r="A625" s="125">
        <f t="shared" si="103"/>
        <v>12</v>
      </c>
      <c r="B625" s="140">
        <v>42345</v>
      </c>
      <c r="C625" s="141" t="s">
        <v>368</v>
      </c>
      <c r="D625" s="140">
        <f t="shared" si="76"/>
        <v>42345</v>
      </c>
      <c r="E625" s="142" t="s">
        <v>120</v>
      </c>
      <c r="F625" s="142"/>
      <c r="G625" s="143" t="s">
        <v>367</v>
      </c>
      <c r="H625" s="144"/>
      <c r="I625" s="144">
        <v>160000000</v>
      </c>
      <c r="J625" s="145">
        <f t="shared" si="97"/>
        <v>539367601</v>
      </c>
      <c r="K625" s="145"/>
    </row>
    <row r="626" spans="1:11" s="125" customFormat="1" ht="17.25" customHeight="1">
      <c r="A626" s="125">
        <f t="shared" si="103"/>
        <v>12</v>
      </c>
      <c r="B626" s="140">
        <v>42345</v>
      </c>
      <c r="C626" s="141" t="s">
        <v>368</v>
      </c>
      <c r="D626" s="140">
        <f t="shared" si="76"/>
        <v>42345</v>
      </c>
      <c r="E626" s="142" t="s">
        <v>1348</v>
      </c>
      <c r="F626" s="142"/>
      <c r="G626" s="143" t="s">
        <v>34</v>
      </c>
      <c r="H626" s="144"/>
      <c r="I626" s="144">
        <v>22314270</v>
      </c>
      <c r="J626" s="145">
        <f t="shared" si="97"/>
        <v>517053331</v>
      </c>
      <c r="K626" s="145"/>
    </row>
    <row r="627" spans="1:11" s="125" customFormat="1" ht="17.25" customHeight="1">
      <c r="A627" s="125">
        <f t="shared" si="103"/>
        <v>12</v>
      </c>
      <c r="B627" s="140">
        <v>42345</v>
      </c>
      <c r="C627" s="141" t="s">
        <v>368</v>
      </c>
      <c r="D627" s="140">
        <f t="shared" si="76"/>
        <v>42345</v>
      </c>
      <c r="E627" s="142" t="s">
        <v>394</v>
      </c>
      <c r="F627" s="142"/>
      <c r="G627" s="143" t="s">
        <v>94</v>
      </c>
      <c r="H627" s="144"/>
      <c r="I627" s="144">
        <v>25000</v>
      </c>
      <c r="J627" s="145">
        <f t="shared" si="97"/>
        <v>517028331</v>
      </c>
      <c r="K627" s="145"/>
    </row>
    <row r="628" spans="1:11" s="125" customFormat="1" ht="17.25" customHeight="1">
      <c r="A628" s="125">
        <f t="shared" si="103"/>
        <v>12</v>
      </c>
      <c r="B628" s="140">
        <v>42345</v>
      </c>
      <c r="C628" s="141" t="s">
        <v>368</v>
      </c>
      <c r="D628" s="140">
        <f t="shared" si="76"/>
        <v>42345</v>
      </c>
      <c r="E628" s="142" t="s">
        <v>395</v>
      </c>
      <c r="F628" s="142"/>
      <c r="G628" s="143" t="s">
        <v>35</v>
      </c>
      <c r="H628" s="144"/>
      <c r="I628" s="144">
        <v>2500</v>
      </c>
      <c r="J628" s="145">
        <f t="shared" si="97"/>
        <v>517025831</v>
      </c>
      <c r="K628" s="145"/>
    </row>
    <row r="629" spans="1:11" s="125" customFormat="1" ht="17.25" customHeight="1">
      <c r="A629" s="125">
        <f t="shared" si="103"/>
        <v>12</v>
      </c>
      <c r="B629" s="140">
        <v>42345</v>
      </c>
      <c r="C629" s="141" t="s">
        <v>368</v>
      </c>
      <c r="D629" s="140">
        <f t="shared" si="76"/>
        <v>42345</v>
      </c>
      <c r="E629" s="142" t="s">
        <v>420</v>
      </c>
      <c r="F629" s="142"/>
      <c r="G629" s="143" t="s">
        <v>36</v>
      </c>
      <c r="H629" s="144"/>
      <c r="I629" s="144">
        <v>510000000</v>
      </c>
      <c r="J629" s="145">
        <f t="shared" si="97"/>
        <v>7025831</v>
      </c>
      <c r="K629" s="145"/>
    </row>
    <row r="630" spans="1:11" s="125" customFormat="1" ht="17.25" customHeight="1">
      <c r="A630" s="125">
        <f>IF(B630&lt;&gt;"",MONTH(B630),"")</f>
        <v>12</v>
      </c>
      <c r="B630" s="140">
        <v>42349</v>
      </c>
      <c r="C630" s="141" t="s">
        <v>371</v>
      </c>
      <c r="D630" s="140">
        <f t="shared" si="76"/>
        <v>42349</v>
      </c>
      <c r="E630" s="142" t="s">
        <v>1326</v>
      </c>
      <c r="F630" s="142"/>
      <c r="G630" s="143" t="s">
        <v>367</v>
      </c>
      <c r="H630" s="144">
        <v>150000000</v>
      </c>
      <c r="I630" s="144"/>
      <c r="J630" s="145">
        <f t="shared" si="97"/>
        <v>157025831</v>
      </c>
      <c r="K630" s="145"/>
    </row>
    <row r="631" spans="1:11" s="125" customFormat="1" ht="17.25" customHeight="1">
      <c r="A631" s="125">
        <f t="shared" ref="A631:A636" si="105">IF(B631&lt;&gt;"",MONTH(B631),"")</f>
        <v>12</v>
      </c>
      <c r="B631" s="140">
        <v>42349</v>
      </c>
      <c r="C631" s="141" t="s">
        <v>368</v>
      </c>
      <c r="D631" s="140">
        <f t="shared" si="76"/>
        <v>42349</v>
      </c>
      <c r="E631" s="142" t="s">
        <v>711</v>
      </c>
      <c r="F631" s="142"/>
      <c r="G631" s="143" t="s">
        <v>34</v>
      </c>
      <c r="H631" s="144"/>
      <c r="I631" s="144">
        <v>50000000</v>
      </c>
      <c r="J631" s="145">
        <f t="shared" si="97"/>
        <v>107025831</v>
      </c>
      <c r="K631" s="145"/>
    </row>
    <row r="632" spans="1:11" s="125" customFormat="1" ht="17.25" customHeight="1">
      <c r="A632" s="125">
        <f t="shared" si="105"/>
        <v>12</v>
      </c>
      <c r="B632" s="140">
        <v>42349</v>
      </c>
      <c r="C632" s="141" t="s">
        <v>368</v>
      </c>
      <c r="D632" s="140">
        <f t="shared" si="76"/>
        <v>42349</v>
      </c>
      <c r="E632" s="142" t="s">
        <v>394</v>
      </c>
      <c r="F632" s="142"/>
      <c r="G632" s="143" t="s">
        <v>94</v>
      </c>
      <c r="H632" s="144"/>
      <c r="I632" s="144">
        <v>45000</v>
      </c>
      <c r="J632" s="145">
        <f t="shared" si="97"/>
        <v>106980831</v>
      </c>
      <c r="K632" s="145"/>
    </row>
    <row r="633" spans="1:11" s="125" customFormat="1" ht="17.25" customHeight="1">
      <c r="A633" s="125">
        <f t="shared" si="105"/>
        <v>12</v>
      </c>
      <c r="B633" s="140">
        <v>42349</v>
      </c>
      <c r="C633" s="141" t="s">
        <v>368</v>
      </c>
      <c r="D633" s="140">
        <f t="shared" si="76"/>
        <v>42349</v>
      </c>
      <c r="E633" s="142" t="s">
        <v>395</v>
      </c>
      <c r="F633" s="142"/>
      <c r="G633" s="143" t="s">
        <v>35</v>
      </c>
      <c r="H633" s="144"/>
      <c r="I633" s="144">
        <v>4500</v>
      </c>
      <c r="J633" s="145">
        <f t="shared" si="97"/>
        <v>106976331</v>
      </c>
      <c r="K633" s="145"/>
    </row>
    <row r="634" spans="1:11" s="125" customFormat="1" ht="17.25" customHeight="1">
      <c r="A634" s="125">
        <f t="shared" si="105"/>
        <v>12</v>
      </c>
      <c r="B634" s="140">
        <v>42349</v>
      </c>
      <c r="C634" s="141" t="s">
        <v>368</v>
      </c>
      <c r="D634" s="140">
        <f t="shared" si="76"/>
        <v>42349</v>
      </c>
      <c r="E634" s="142" t="s">
        <v>1349</v>
      </c>
      <c r="F634" s="142"/>
      <c r="G634" s="143" t="s">
        <v>34</v>
      </c>
      <c r="H634" s="144"/>
      <c r="I634" s="144">
        <v>21033430</v>
      </c>
      <c r="J634" s="145">
        <f t="shared" si="97"/>
        <v>85942901</v>
      </c>
      <c r="K634" s="145"/>
    </row>
    <row r="635" spans="1:11" s="125" customFormat="1" ht="17.25" customHeight="1">
      <c r="A635" s="125">
        <f t="shared" si="105"/>
        <v>12</v>
      </c>
      <c r="B635" s="140">
        <v>42349</v>
      </c>
      <c r="C635" s="141" t="s">
        <v>368</v>
      </c>
      <c r="D635" s="140">
        <f t="shared" si="76"/>
        <v>42349</v>
      </c>
      <c r="E635" s="142" t="s">
        <v>394</v>
      </c>
      <c r="F635" s="142"/>
      <c r="G635" s="143" t="s">
        <v>94</v>
      </c>
      <c r="H635" s="144"/>
      <c r="I635" s="144">
        <v>45000</v>
      </c>
      <c r="J635" s="145">
        <f t="shared" si="97"/>
        <v>85897901</v>
      </c>
      <c r="K635" s="145"/>
    </row>
    <row r="636" spans="1:11" s="125" customFormat="1" ht="17.25" customHeight="1">
      <c r="A636" s="125">
        <f t="shared" si="105"/>
        <v>12</v>
      </c>
      <c r="B636" s="140">
        <v>42349</v>
      </c>
      <c r="C636" s="141" t="s">
        <v>368</v>
      </c>
      <c r="D636" s="140">
        <f t="shared" si="76"/>
        <v>42349</v>
      </c>
      <c r="E636" s="142" t="s">
        <v>395</v>
      </c>
      <c r="F636" s="142"/>
      <c r="G636" s="143" t="s">
        <v>35</v>
      </c>
      <c r="H636" s="144"/>
      <c r="I636" s="144">
        <v>4500</v>
      </c>
      <c r="J636" s="145">
        <f t="shared" si="97"/>
        <v>85893401</v>
      </c>
      <c r="K636" s="145"/>
    </row>
    <row r="637" spans="1:11" s="125" customFormat="1" ht="17.25" customHeight="1">
      <c r="A637" s="125">
        <f t="shared" ref="A637:A639" si="106">IF(B637&lt;&gt;"",MONTH(B637),"")</f>
        <v>12</v>
      </c>
      <c r="B637" s="140">
        <v>42349</v>
      </c>
      <c r="C637" s="141" t="s">
        <v>368</v>
      </c>
      <c r="D637" s="140">
        <f t="shared" si="76"/>
        <v>42349</v>
      </c>
      <c r="E637" s="142" t="s">
        <v>1190</v>
      </c>
      <c r="F637" s="142"/>
      <c r="G637" s="143" t="s">
        <v>34</v>
      </c>
      <c r="H637" s="144"/>
      <c r="I637" s="144">
        <v>9000000</v>
      </c>
      <c r="J637" s="145">
        <f t="shared" si="97"/>
        <v>76893401</v>
      </c>
      <c r="K637" s="145"/>
    </row>
    <row r="638" spans="1:11" s="125" customFormat="1" ht="17.25" customHeight="1">
      <c r="A638" s="125">
        <f t="shared" si="106"/>
        <v>12</v>
      </c>
      <c r="B638" s="140">
        <v>42349</v>
      </c>
      <c r="C638" s="141" t="s">
        <v>368</v>
      </c>
      <c r="D638" s="140">
        <f t="shared" si="76"/>
        <v>42349</v>
      </c>
      <c r="E638" s="142" t="s">
        <v>394</v>
      </c>
      <c r="F638" s="142"/>
      <c r="G638" s="143" t="s">
        <v>94</v>
      </c>
      <c r="H638" s="144"/>
      <c r="I638" s="144">
        <v>40000</v>
      </c>
      <c r="J638" s="145">
        <f t="shared" si="97"/>
        <v>76853401</v>
      </c>
      <c r="K638" s="145"/>
    </row>
    <row r="639" spans="1:11" s="125" customFormat="1" ht="17.25" customHeight="1">
      <c r="A639" s="125">
        <f t="shared" si="106"/>
        <v>12</v>
      </c>
      <c r="B639" s="140">
        <v>42349</v>
      </c>
      <c r="C639" s="141" t="s">
        <v>368</v>
      </c>
      <c r="D639" s="140">
        <f t="shared" si="76"/>
        <v>42349</v>
      </c>
      <c r="E639" s="142" t="s">
        <v>395</v>
      </c>
      <c r="F639" s="142"/>
      <c r="G639" s="143" t="s">
        <v>35</v>
      </c>
      <c r="H639" s="144"/>
      <c r="I639" s="144">
        <v>4000</v>
      </c>
      <c r="J639" s="145">
        <f t="shared" si="97"/>
        <v>76849401</v>
      </c>
      <c r="K639" s="145"/>
    </row>
    <row r="640" spans="1:11" s="125" customFormat="1" ht="17.25" customHeight="1">
      <c r="A640" s="125">
        <f t="shared" ref="A640:A642" si="107">IF(B640&lt;&gt;"",MONTH(B640),"")</f>
        <v>12</v>
      </c>
      <c r="B640" s="140">
        <v>42349</v>
      </c>
      <c r="C640" s="141" t="s">
        <v>368</v>
      </c>
      <c r="D640" s="140">
        <f t="shared" si="76"/>
        <v>42349</v>
      </c>
      <c r="E640" s="142" t="s">
        <v>1350</v>
      </c>
      <c r="F640" s="142"/>
      <c r="G640" s="143" t="s">
        <v>34</v>
      </c>
      <c r="H640" s="144"/>
      <c r="I640" s="144">
        <v>50000000</v>
      </c>
      <c r="J640" s="145">
        <f t="shared" si="97"/>
        <v>26849401</v>
      </c>
      <c r="K640" s="145"/>
    </row>
    <row r="641" spans="1:11" s="125" customFormat="1" ht="17.25" customHeight="1">
      <c r="A641" s="125">
        <f t="shared" si="107"/>
        <v>12</v>
      </c>
      <c r="B641" s="140">
        <v>42349</v>
      </c>
      <c r="C641" s="141" t="s">
        <v>368</v>
      </c>
      <c r="D641" s="140">
        <f t="shared" si="76"/>
        <v>42349</v>
      </c>
      <c r="E641" s="142" t="s">
        <v>394</v>
      </c>
      <c r="F641" s="142"/>
      <c r="G641" s="143" t="s">
        <v>94</v>
      </c>
      <c r="H641" s="144"/>
      <c r="I641" s="144">
        <v>40000</v>
      </c>
      <c r="J641" s="145">
        <f t="shared" si="97"/>
        <v>26809401</v>
      </c>
      <c r="K641" s="145"/>
    </row>
    <row r="642" spans="1:11" s="125" customFormat="1" ht="17.25" customHeight="1">
      <c r="A642" s="125">
        <f t="shared" si="107"/>
        <v>12</v>
      </c>
      <c r="B642" s="140">
        <v>42349</v>
      </c>
      <c r="C642" s="141" t="s">
        <v>368</v>
      </c>
      <c r="D642" s="140">
        <f t="shared" si="76"/>
        <v>42349</v>
      </c>
      <c r="E642" s="142" t="s">
        <v>395</v>
      </c>
      <c r="F642" s="142"/>
      <c r="G642" s="143" t="s">
        <v>35</v>
      </c>
      <c r="H642" s="144"/>
      <c r="I642" s="144">
        <v>4000</v>
      </c>
      <c r="J642" s="145">
        <f t="shared" si="97"/>
        <v>26805401</v>
      </c>
      <c r="K642" s="145"/>
    </row>
    <row r="643" spans="1:11" s="125" customFormat="1" ht="17.25" customHeight="1">
      <c r="A643" s="125">
        <f t="shared" ref="A643:A645" si="108">IF(B643&lt;&gt;"",MONTH(B643),"")</f>
        <v>12</v>
      </c>
      <c r="B643" s="140">
        <v>42349</v>
      </c>
      <c r="C643" s="141" t="s">
        <v>368</v>
      </c>
      <c r="D643" s="140">
        <f t="shared" ref="D643:D661" si="109">B643</f>
        <v>42349</v>
      </c>
      <c r="E643" s="142" t="s">
        <v>1351</v>
      </c>
      <c r="F643" s="142"/>
      <c r="G643" s="143" t="s">
        <v>34</v>
      </c>
      <c r="H643" s="144"/>
      <c r="I643" s="144">
        <v>3440000</v>
      </c>
      <c r="J643" s="145">
        <f t="shared" ref="J643:J645" si="110">IF(B643&lt;&gt;"",J642+H643-I643,0)</f>
        <v>23365401</v>
      </c>
      <c r="K643" s="145"/>
    </row>
    <row r="644" spans="1:11" s="125" customFormat="1" ht="17.25" customHeight="1">
      <c r="A644" s="125">
        <f t="shared" si="108"/>
        <v>12</v>
      </c>
      <c r="B644" s="140">
        <v>42349</v>
      </c>
      <c r="C644" s="141" t="s">
        <v>368</v>
      </c>
      <c r="D644" s="140">
        <f t="shared" si="109"/>
        <v>42349</v>
      </c>
      <c r="E644" s="142" t="s">
        <v>394</v>
      </c>
      <c r="F644" s="142"/>
      <c r="G644" s="143" t="s">
        <v>94</v>
      </c>
      <c r="H644" s="144"/>
      <c r="I644" s="144">
        <v>40000</v>
      </c>
      <c r="J644" s="145">
        <f t="shared" si="110"/>
        <v>23325401</v>
      </c>
      <c r="K644" s="145"/>
    </row>
    <row r="645" spans="1:11" s="125" customFormat="1" ht="17.25" customHeight="1">
      <c r="A645" s="125">
        <f t="shared" si="108"/>
        <v>12</v>
      </c>
      <c r="B645" s="140">
        <v>42349</v>
      </c>
      <c r="C645" s="141" t="s">
        <v>368</v>
      </c>
      <c r="D645" s="140">
        <f t="shared" si="109"/>
        <v>42349</v>
      </c>
      <c r="E645" s="142" t="s">
        <v>395</v>
      </c>
      <c r="F645" s="142"/>
      <c r="G645" s="143" t="s">
        <v>35</v>
      </c>
      <c r="H645" s="144"/>
      <c r="I645" s="144">
        <v>4000</v>
      </c>
      <c r="J645" s="145">
        <f t="shared" si="110"/>
        <v>23321401</v>
      </c>
      <c r="K645" s="145"/>
    </row>
    <row r="646" spans="1:11" s="125" customFormat="1" ht="17.25" customHeight="1">
      <c r="A646" s="125">
        <f t="shared" ref="A646:A649" si="111">IF(B646&lt;&gt;"",MONTH(B646),"")</f>
        <v>12</v>
      </c>
      <c r="B646" s="140">
        <v>42349</v>
      </c>
      <c r="C646" s="141" t="s">
        <v>368</v>
      </c>
      <c r="D646" s="140">
        <f t="shared" si="109"/>
        <v>42349</v>
      </c>
      <c r="E646" s="142" t="s">
        <v>1351</v>
      </c>
      <c r="F646" s="142"/>
      <c r="G646" s="143" t="s">
        <v>34</v>
      </c>
      <c r="H646" s="144"/>
      <c r="I646" s="144">
        <v>780000</v>
      </c>
      <c r="J646" s="145">
        <f t="shared" ref="J646:J661" si="112">IF(B646&lt;&gt;"",J645+H646-I646,0)</f>
        <v>22541401</v>
      </c>
      <c r="K646" s="145"/>
    </row>
    <row r="647" spans="1:11" s="125" customFormat="1" ht="17.25" customHeight="1">
      <c r="A647" s="125">
        <f t="shared" si="111"/>
        <v>12</v>
      </c>
      <c r="B647" s="140">
        <v>42349</v>
      </c>
      <c r="C647" s="141" t="s">
        <v>368</v>
      </c>
      <c r="D647" s="140">
        <f t="shared" si="109"/>
        <v>42349</v>
      </c>
      <c r="E647" s="142" t="s">
        <v>394</v>
      </c>
      <c r="F647" s="142"/>
      <c r="G647" s="143" t="s">
        <v>94</v>
      </c>
      <c r="H647" s="144"/>
      <c r="I647" s="144">
        <v>40000</v>
      </c>
      <c r="J647" s="145">
        <f t="shared" si="112"/>
        <v>22501401</v>
      </c>
      <c r="K647" s="145"/>
    </row>
    <row r="648" spans="1:11" s="125" customFormat="1" ht="17.25" customHeight="1">
      <c r="A648" s="125">
        <f t="shared" si="111"/>
        <v>12</v>
      </c>
      <c r="B648" s="140">
        <v>42349</v>
      </c>
      <c r="C648" s="141" t="s">
        <v>368</v>
      </c>
      <c r="D648" s="140">
        <f t="shared" si="109"/>
        <v>42349</v>
      </c>
      <c r="E648" s="142" t="s">
        <v>395</v>
      </c>
      <c r="F648" s="142"/>
      <c r="G648" s="143" t="s">
        <v>35</v>
      </c>
      <c r="H648" s="144"/>
      <c r="I648" s="144">
        <v>4000</v>
      </c>
      <c r="J648" s="145">
        <f t="shared" si="112"/>
        <v>22497401</v>
      </c>
      <c r="K648" s="145"/>
    </row>
    <row r="649" spans="1:11" s="125" customFormat="1" ht="17.25" customHeight="1">
      <c r="A649" s="125">
        <f t="shared" si="111"/>
        <v>12</v>
      </c>
      <c r="B649" s="140">
        <v>42353</v>
      </c>
      <c r="C649" s="141" t="s">
        <v>368</v>
      </c>
      <c r="D649" s="140">
        <f t="shared" si="109"/>
        <v>42353</v>
      </c>
      <c r="E649" s="142" t="s">
        <v>420</v>
      </c>
      <c r="F649" s="142"/>
      <c r="G649" s="143" t="s">
        <v>36</v>
      </c>
      <c r="H649" s="144"/>
      <c r="I649" s="144">
        <v>10000000</v>
      </c>
      <c r="J649" s="145">
        <f t="shared" si="112"/>
        <v>12497401</v>
      </c>
      <c r="K649" s="145"/>
    </row>
    <row r="650" spans="1:11" s="125" customFormat="1" ht="17.25" customHeight="1">
      <c r="A650" s="125">
        <f t="shared" ref="A650:A655" si="113">IF(B650&lt;&gt;"",MONTH(B650),"")</f>
        <v>12</v>
      </c>
      <c r="B650" s="140">
        <v>42355</v>
      </c>
      <c r="C650" s="141" t="s">
        <v>371</v>
      </c>
      <c r="D650" s="140">
        <f t="shared" si="109"/>
        <v>42355</v>
      </c>
      <c r="E650" s="142" t="s">
        <v>372</v>
      </c>
      <c r="F650" s="142"/>
      <c r="G650" s="143" t="s">
        <v>370</v>
      </c>
      <c r="H650" s="144">
        <v>328938000</v>
      </c>
      <c r="I650" s="144"/>
      <c r="J650" s="145">
        <f t="shared" si="112"/>
        <v>341435401</v>
      </c>
      <c r="K650" s="145"/>
    </row>
    <row r="651" spans="1:11" s="125" customFormat="1" ht="17.25" customHeight="1">
      <c r="A651" s="125">
        <f t="shared" si="113"/>
        <v>12</v>
      </c>
      <c r="B651" s="140">
        <v>42356</v>
      </c>
      <c r="C651" s="141" t="s">
        <v>368</v>
      </c>
      <c r="D651" s="140">
        <f t="shared" si="109"/>
        <v>42356</v>
      </c>
      <c r="E651" s="142" t="s">
        <v>120</v>
      </c>
      <c r="F651" s="142"/>
      <c r="G651" s="143" t="s">
        <v>367</v>
      </c>
      <c r="H651" s="144"/>
      <c r="I651" s="144">
        <v>340000000</v>
      </c>
      <c r="J651" s="145">
        <f t="shared" si="112"/>
        <v>1435401</v>
      </c>
      <c r="K651" s="145"/>
    </row>
    <row r="652" spans="1:11" s="125" customFormat="1" ht="17.25" customHeight="1">
      <c r="A652" s="125">
        <f t="shared" si="113"/>
        <v>12</v>
      </c>
      <c r="B652" s="140">
        <v>42359</v>
      </c>
      <c r="C652" s="141" t="s">
        <v>371</v>
      </c>
      <c r="D652" s="140">
        <f>B652</f>
        <v>42359</v>
      </c>
      <c r="E652" s="142" t="s">
        <v>372</v>
      </c>
      <c r="F652" s="142"/>
      <c r="G652" s="143" t="s">
        <v>370</v>
      </c>
      <c r="H652" s="144">
        <v>1127000000</v>
      </c>
      <c r="I652" s="144"/>
      <c r="J652" s="145">
        <f t="shared" si="112"/>
        <v>1128435401</v>
      </c>
      <c r="K652" s="145"/>
    </row>
    <row r="653" spans="1:11" s="125" customFormat="1" ht="17.25" customHeight="1">
      <c r="A653" s="125">
        <f t="shared" si="113"/>
        <v>12</v>
      </c>
      <c r="B653" s="140">
        <v>42359</v>
      </c>
      <c r="C653" s="141" t="s">
        <v>368</v>
      </c>
      <c r="D653" s="140">
        <f>B653</f>
        <v>42359</v>
      </c>
      <c r="E653" s="142" t="s">
        <v>120</v>
      </c>
      <c r="F653" s="142"/>
      <c r="G653" s="143" t="s">
        <v>367</v>
      </c>
      <c r="H653" s="144"/>
      <c r="I653" s="144">
        <v>1120000000</v>
      </c>
      <c r="J653" s="145">
        <f t="shared" si="112"/>
        <v>8435401</v>
      </c>
      <c r="K653" s="145"/>
    </row>
    <row r="654" spans="1:11" s="125" customFormat="1" ht="17.25" customHeight="1">
      <c r="A654" s="125">
        <f t="shared" si="113"/>
        <v>12</v>
      </c>
      <c r="B654" s="140">
        <v>42360</v>
      </c>
      <c r="C654" s="141" t="s">
        <v>371</v>
      </c>
      <c r="D654" s="140">
        <f>B654</f>
        <v>42360</v>
      </c>
      <c r="E654" s="142" t="s">
        <v>372</v>
      </c>
      <c r="F654" s="142"/>
      <c r="G654" s="143" t="s">
        <v>370</v>
      </c>
      <c r="H654" s="144">
        <v>1983520000</v>
      </c>
      <c r="I654" s="144"/>
      <c r="J654" s="145">
        <f t="shared" si="112"/>
        <v>1991955401</v>
      </c>
      <c r="K654" s="145"/>
    </row>
    <row r="655" spans="1:11" s="125" customFormat="1" ht="17.25" customHeight="1">
      <c r="A655" s="125">
        <f t="shared" si="113"/>
        <v>12</v>
      </c>
      <c r="B655" s="140">
        <v>42360</v>
      </c>
      <c r="C655" s="141" t="s">
        <v>368</v>
      </c>
      <c r="D655" s="140">
        <f>B655</f>
        <v>42360</v>
      </c>
      <c r="E655" s="142" t="s">
        <v>120</v>
      </c>
      <c r="F655" s="142"/>
      <c r="G655" s="143" t="s">
        <v>367</v>
      </c>
      <c r="H655" s="144"/>
      <c r="I655" s="144">
        <v>1980000000</v>
      </c>
      <c r="J655" s="145">
        <f t="shared" si="112"/>
        <v>11955401</v>
      </c>
      <c r="K655" s="145"/>
    </row>
    <row r="656" spans="1:11" s="125" customFormat="1" ht="17.25" customHeight="1">
      <c r="A656" s="125">
        <f t="shared" si="98"/>
        <v>12</v>
      </c>
      <c r="B656" s="140">
        <v>42361</v>
      </c>
      <c r="C656" s="141" t="s">
        <v>371</v>
      </c>
      <c r="D656" s="140">
        <f t="shared" si="109"/>
        <v>42361</v>
      </c>
      <c r="E656" s="142" t="s">
        <v>1326</v>
      </c>
      <c r="F656" s="142"/>
      <c r="G656" s="143" t="s">
        <v>367</v>
      </c>
      <c r="H656" s="144">
        <v>50000000</v>
      </c>
      <c r="I656" s="144"/>
      <c r="J656" s="145">
        <f t="shared" si="112"/>
        <v>61955401</v>
      </c>
      <c r="K656" s="145"/>
    </row>
    <row r="657" spans="1:11" s="125" customFormat="1" ht="17.25" customHeight="1">
      <c r="A657" s="125">
        <f t="shared" si="98"/>
        <v>12</v>
      </c>
      <c r="B657" s="140">
        <v>42361</v>
      </c>
      <c r="C657" s="141" t="s">
        <v>368</v>
      </c>
      <c r="D657" s="140">
        <f t="shared" si="109"/>
        <v>42361</v>
      </c>
      <c r="E657" s="142" t="s">
        <v>1352</v>
      </c>
      <c r="F657" s="142"/>
      <c r="G657" s="143" t="s">
        <v>34</v>
      </c>
      <c r="H657" s="144"/>
      <c r="I657" s="144">
        <v>53455050</v>
      </c>
      <c r="J657" s="145">
        <f t="shared" si="112"/>
        <v>8500351</v>
      </c>
      <c r="K657" s="145"/>
    </row>
    <row r="658" spans="1:11" s="125" customFormat="1" ht="17.25" customHeight="1">
      <c r="A658" s="125">
        <f t="shared" si="98"/>
        <v>12</v>
      </c>
      <c r="B658" s="140">
        <v>42361</v>
      </c>
      <c r="C658" s="141" t="s">
        <v>368</v>
      </c>
      <c r="D658" s="140">
        <f t="shared" si="109"/>
        <v>42361</v>
      </c>
      <c r="E658" s="142" t="s">
        <v>394</v>
      </c>
      <c r="F658" s="142"/>
      <c r="G658" s="143" t="s">
        <v>94</v>
      </c>
      <c r="H658" s="144"/>
      <c r="I658" s="144">
        <v>46728</v>
      </c>
      <c r="J658" s="145">
        <f t="shared" si="112"/>
        <v>8453623</v>
      </c>
      <c r="K658" s="145"/>
    </row>
    <row r="659" spans="1:11" s="125" customFormat="1" ht="17.25" customHeight="1">
      <c r="A659" s="125">
        <f t="shared" si="98"/>
        <v>12</v>
      </c>
      <c r="B659" s="140">
        <v>42361</v>
      </c>
      <c r="C659" s="141" t="s">
        <v>368</v>
      </c>
      <c r="D659" s="140">
        <f t="shared" si="109"/>
        <v>42361</v>
      </c>
      <c r="E659" s="142" t="s">
        <v>395</v>
      </c>
      <c r="F659" s="142"/>
      <c r="G659" s="143" t="s">
        <v>35</v>
      </c>
      <c r="H659" s="144"/>
      <c r="I659" s="144">
        <v>4673</v>
      </c>
      <c r="J659" s="145">
        <f t="shared" si="112"/>
        <v>8448950</v>
      </c>
      <c r="K659" s="145"/>
    </row>
    <row r="660" spans="1:11" s="125" customFormat="1" ht="17.25" customHeight="1">
      <c r="A660" s="125">
        <f t="shared" ref="A660" si="114">IF(B660&lt;&gt;"",MONTH(B660),"")</f>
        <v>12</v>
      </c>
      <c r="B660" s="140">
        <v>42362</v>
      </c>
      <c r="C660" s="141" t="s">
        <v>371</v>
      </c>
      <c r="D660" s="140">
        <f t="shared" ref="D660" si="115">B660</f>
        <v>42362</v>
      </c>
      <c r="E660" s="142" t="s">
        <v>413</v>
      </c>
      <c r="F660" s="142"/>
      <c r="G660" s="143" t="s">
        <v>414</v>
      </c>
      <c r="H660" s="144">
        <v>40887</v>
      </c>
      <c r="I660" s="144"/>
      <c r="J660" s="145">
        <f t="shared" si="112"/>
        <v>8489837</v>
      </c>
      <c r="K660" s="145"/>
    </row>
    <row r="661" spans="1:11" s="125" customFormat="1" ht="17.25" customHeight="1">
      <c r="A661" s="125">
        <f t="shared" si="98"/>
        <v>12</v>
      </c>
      <c r="B661" s="140">
        <v>42363</v>
      </c>
      <c r="C661" s="141" t="s">
        <v>371</v>
      </c>
      <c r="D661" s="140">
        <f t="shared" si="109"/>
        <v>42363</v>
      </c>
      <c r="E661" s="142" t="s">
        <v>1326</v>
      </c>
      <c r="F661" s="142"/>
      <c r="G661" s="143" t="s">
        <v>367</v>
      </c>
      <c r="H661" s="144">
        <v>400000000</v>
      </c>
      <c r="I661" s="144"/>
      <c r="J661" s="145">
        <f t="shared" si="112"/>
        <v>408489837</v>
      </c>
      <c r="K661" s="145"/>
    </row>
    <row r="662" spans="1:11" s="125" customFormat="1" ht="17.25" customHeight="1">
      <c r="A662" s="125">
        <f t="shared" ref="A662:A664" si="116">IF(B662&lt;&gt;"",MONTH(B662),"")</f>
        <v>12</v>
      </c>
      <c r="B662" s="140">
        <v>42363</v>
      </c>
      <c r="C662" s="141" t="s">
        <v>368</v>
      </c>
      <c r="D662" s="140">
        <f t="shared" ref="D662:D664" si="117">B662</f>
        <v>42363</v>
      </c>
      <c r="E662" s="142" t="s">
        <v>1353</v>
      </c>
      <c r="F662" s="142"/>
      <c r="G662" s="143" t="s">
        <v>34</v>
      </c>
      <c r="H662" s="144"/>
      <c r="I662" s="144">
        <v>100000000</v>
      </c>
      <c r="J662" s="145">
        <f t="shared" ref="J662:J664" si="118">IF(B662&lt;&gt;"",J661+H662-I662,0)</f>
        <v>308489837</v>
      </c>
      <c r="K662" s="145"/>
    </row>
    <row r="663" spans="1:11" s="125" customFormat="1" ht="17.25" customHeight="1">
      <c r="A663" s="125">
        <f t="shared" si="116"/>
        <v>12</v>
      </c>
      <c r="B663" s="140">
        <v>42363</v>
      </c>
      <c r="C663" s="141" t="s">
        <v>368</v>
      </c>
      <c r="D663" s="140">
        <f t="shared" si="117"/>
        <v>42363</v>
      </c>
      <c r="E663" s="142" t="s">
        <v>394</v>
      </c>
      <c r="F663" s="142"/>
      <c r="G663" s="143" t="s">
        <v>94</v>
      </c>
      <c r="H663" s="144"/>
      <c r="I663" s="144">
        <v>77453</v>
      </c>
      <c r="J663" s="145">
        <f t="shared" si="118"/>
        <v>308412384</v>
      </c>
      <c r="K663" s="145"/>
    </row>
    <row r="664" spans="1:11" s="125" customFormat="1" ht="17.25" customHeight="1">
      <c r="A664" s="125">
        <f t="shared" si="116"/>
        <v>12</v>
      </c>
      <c r="B664" s="140">
        <v>42363</v>
      </c>
      <c r="C664" s="141" t="s">
        <v>368</v>
      </c>
      <c r="D664" s="140">
        <f t="shared" si="117"/>
        <v>42363</v>
      </c>
      <c r="E664" s="142" t="s">
        <v>395</v>
      </c>
      <c r="F664" s="142"/>
      <c r="G664" s="143" t="s">
        <v>35</v>
      </c>
      <c r="H664" s="144"/>
      <c r="I664" s="144">
        <v>7745</v>
      </c>
      <c r="J664" s="145">
        <f t="shared" si="118"/>
        <v>308404639</v>
      </c>
      <c r="K664" s="145"/>
    </row>
    <row r="665" spans="1:11" s="125" customFormat="1" ht="17.25" customHeight="1">
      <c r="A665" s="125">
        <f t="shared" ref="A665:A667" si="119">IF(B665&lt;&gt;"",MONTH(B665),"")</f>
        <v>12</v>
      </c>
      <c r="B665" s="140">
        <v>42363</v>
      </c>
      <c r="C665" s="141" t="s">
        <v>368</v>
      </c>
      <c r="D665" s="140">
        <f t="shared" ref="D665:D667" si="120">B665</f>
        <v>42363</v>
      </c>
      <c r="E665" s="142" t="s">
        <v>1354</v>
      </c>
      <c r="F665" s="142"/>
      <c r="G665" s="143" t="s">
        <v>34</v>
      </c>
      <c r="H665" s="144"/>
      <c r="I665" s="144">
        <v>105600000</v>
      </c>
      <c r="J665" s="145">
        <f t="shared" ref="J665:J667" si="121">IF(B665&lt;&gt;"",J664+H665-I665,0)</f>
        <v>202804639</v>
      </c>
      <c r="K665" s="145"/>
    </row>
    <row r="666" spans="1:11" s="125" customFormat="1" ht="17.25" customHeight="1">
      <c r="A666" s="125">
        <f t="shared" si="119"/>
        <v>12</v>
      </c>
      <c r="B666" s="140">
        <v>42363</v>
      </c>
      <c r="C666" s="141" t="s">
        <v>368</v>
      </c>
      <c r="D666" s="140">
        <f t="shared" si="120"/>
        <v>42363</v>
      </c>
      <c r="E666" s="142" t="s">
        <v>394</v>
      </c>
      <c r="F666" s="142"/>
      <c r="G666" s="143" t="s">
        <v>94</v>
      </c>
      <c r="H666" s="144"/>
      <c r="I666" s="144">
        <v>63360</v>
      </c>
      <c r="J666" s="145">
        <f t="shared" si="121"/>
        <v>202741279</v>
      </c>
      <c r="K666" s="145"/>
    </row>
    <row r="667" spans="1:11" s="125" customFormat="1" ht="17.25" customHeight="1">
      <c r="A667" s="125">
        <f t="shared" si="119"/>
        <v>12</v>
      </c>
      <c r="B667" s="140">
        <v>42363</v>
      </c>
      <c r="C667" s="141" t="s">
        <v>368</v>
      </c>
      <c r="D667" s="140">
        <f t="shared" si="120"/>
        <v>42363</v>
      </c>
      <c r="E667" s="142" t="s">
        <v>395</v>
      </c>
      <c r="F667" s="142"/>
      <c r="G667" s="143" t="s">
        <v>35</v>
      </c>
      <c r="H667" s="144"/>
      <c r="I667" s="144">
        <v>6336</v>
      </c>
      <c r="J667" s="145">
        <f t="shared" si="121"/>
        <v>202734943</v>
      </c>
      <c r="K667" s="145"/>
    </row>
    <row r="668" spans="1:11" s="125" customFormat="1" ht="17.25" customHeight="1">
      <c r="A668" s="125">
        <f t="shared" ref="A668:A670" si="122">IF(B668&lt;&gt;"",MONTH(B668),"")</f>
        <v>12</v>
      </c>
      <c r="B668" s="140">
        <v>42363</v>
      </c>
      <c r="C668" s="141" t="s">
        <v>368</v>
      </c>
      <c r="D668" s="140">
        <f t="shared" ref="D668:D670" si="123">B668</f>
        <v>42363</v>
      </c>
      <c r="E668" s="142" t="s">
        <v>804</v>
      </c>
      <c r="F668" s="142"/>
      <c r="G668" s="143" t="s">
        <v>34</v>
      </c>
      <c r="H668" s="144"/>
      <c r="I668" s="144">
        <v>34645600</v>
      </c>
      <c r="J668" s="145">
        <f t="shared" ref="J668:J675" si="124">IF(B668&lt;&gt;"",J667+H668-I668,0)</f>
        <v>168089343</v>
      </c>
      <c r="K668" s="145"/>
    </row>
    <row r="669" spans="1:11" s="125" customFormat="1" ht="17.25" customHeight="1">
      <c r="A669" s="125">
        <f t="shared" si="122"/>
        <v>12</v>
      </c>
      <c r="B669" s="140">
        <v>42363</v>
      </c>
      <c r="C669" s="141" t="s">
        <v>368</v>
      </c>
      <c r="D669" s="140">
        <f t="shared" si="123"/>
        <v>42363</v>
      </c>
      <c r="E669" s="142" t="s">
        <v>394</v>
      </c>
      <c r="F669" s="142"/>
      <c r="G669" s="143" t="s">
        <v>94</v>
      </c>
      <c r="H669" s="144"/>
      <c r="I669" s="144">
        <v>40000</v>
      </c>
      <c r="J669" s="145">
        <f t="shared" si="124"/>
        <v>168049343</v>
      </c>
      <c r="K669" s="145"/>
    </row>
    <row r="670" spans="1:11" s="125" customFormat="1" ht="17.25" customHeight="1">
      <c r="A670" s="125">
        <f t="shared" si="122"/>
        <v>12</v>
      </c>
      <c r="B670" s="140">
        <v>42363</v>
      </c>
      <c r="C670" s="141" t="s">
        <v>368</v>
      </c>
      <c r="D670" s="140">
        <f t="shared" si="123"/>
        <v>42363</v>
      </c>
      <c r="E670" s="142" t="s">
        <v>395</v>
      </c>
      <c r="F670" s="142"/>
      <c r="G670" s="143" t="s">
        <v>35</v>
      </c>
      <c r="H670" s="144"/>
      <c r="I670" s="144">
        <v>4000</v>
      </c>
      <c r="J670" s="145">
        <f t="shared" si="124"/>
        <v>168045343</v>
      </c>
      <c r="K670" s="145"/>
    </row>
    <row r="671" spans="1:11" s="344" customFormat="1" ht="17.25" customHeight="1">
      <c r="A671" s="344">
        <f t="shared" ref="A671:A678" si="125">IF(B671&lt;&gt;"",MONTH(B671),"")</f>
        <v>12</v>
      </c>
      <c r="B671" s="345">
        <v>42363</v>
      </c>
      <c r="C671" s="346" t="s">
        <v>368</v>
      </c>
      <c r="D671" s="345">
        <f t="shared" ref="D671:D678" si="126">B671</f>
        <v>42363</v>
      </c>
      <c r="E671" s="347" t="s">
        <v>402</v>
      </c>
      <c r="F671" s="347"/>
      <c r="G671" s="333" t="s">
        <v>38</v>
      </c>
      <c r="H671" s="325"/>
      <c r="I671" s="325">
        <v>100000000</v>
      </c>
      <c r="J671" s="348">
        <f t="shared" si="124"/>
        <v>68045343</v>
      </c>
      <c r="K671" s="348"/>
    </row>
    <row r="672" spans="1:11" s="344" customFormat="1" ht="17.25" customHeight="1">
      <c r="A672" s="344">
        <f t="shared" ref="A672:A673" si="127">IF(B672&lt;&gt;"",MONTH(B672),"")</f>
        <v>12</v>
      </c>
      <c r="B672" s="345">
        <v>42363</v>
      </c>
      <c r="C672" s="346" t="s">
        <v>368</v>
      </c>
      <c r="D672" s="345">
        <f t="shared" ref="D672:D673" si="128">B672</f>
        <v>42363</v>
      </c>
      <c r="E672" s="347" t="s">
        <v>402</v>
      </c>
      <c r="F672" s="347"/>
      <c r="G672" s="333" t="s">
        <v>38</v>
      </c>
      <c r="H672" s="325"/>
      <c r="I672" s="325"/>
      <c r="J672" s="348">
        <f t="shared" si="124"/>
        <v>68045343</v>
      </c>
      <c r="K672" s="348"/>
    </row>
    <row r="673" spans="1:11" s="344" customFormat="1" ht="17.25" customHeight="1">
      <c r="A673" s="344">
        <f t="shared" si="127"/>
        <v>12</v>
      </c>
      <c r="B673" s="345">
        <v>42363</v>
      </c>
      <c r="C673" s="346" t="s">
        <v>368</v>
      </c>
      <c r="D673" s="345">
        <f t="shared" si="128"/>
        <v>42363</v>
      </c>
      <c r="E673" s="347" t="s">
        <v>402</v>
      </c>
      <c r="F673" s="347"/>
      <c r="G673" s="333" t="s">
        <v>38</v>
      </c>
      <c r="H673" s="325"/>
      <c r="I673" s="325"/>
      <c r="J673" s="348">
        <f t="shared" si="124"/>
        <v>68045343</v>
      </c>
      <c r="K673" s="348"/>
    </row>
    <row r="674" spans="1:11" s="125" customFormat="1" ht="17.25" customHeight="1">
      <c r="A674" s="125">
        <f t="shared" si="125"/>
        <v>12</v>
      </c>
      <c r="B674" s="140">
        <v>42363</v>
      </c>
      <c r="C674" s="141" t="s">
        <v>368</v>
      </c>
      <c r="D674" s="140">
        <f t="shared" si="126"/>
        <v>42363</v>
      </c>
      <c r="E674" s="142" t="s">
        <v>394</v>
      </c>
      <c r="F674" s="142"/>
      <c r="G674" s="143" t="s">
        <v>94</v>
      </c>
      <c r="H674" s="144"/>
      <c r="I674" s="144">
        <v>80000</v>
      </c>
      <c r="J674" s="145">
        <f t="shared" si="124"/>
        <v>67965343</v>
      </c>
      <c r="K674" s="145"/>
    </row>
    <row r="675" spans="1:11" s="125" customFormat="1" ht="17.25" customHeight="1">
      <c r="A675" s="125">
        <f t="shared" si="125"/>
        <v>12</v>
      </c>
      <c r="B675" s="140">
        <v>42363</v>
      </c>
      <c r="C675" s="141" t="s">
        <v>368</v>
      </c>
      <c r="D675" s="140">
        <f t="shared" si="126"/>
        <v>42363</v>
      </c>
      <c r="E675" s="142" t="s">
        <v>395</v>
      </c>
      <c r="F675" s="142"/>
      <c r="G675" s="143" t="s">
        <v>35</v>
      </c>
      <c r="H675" s="144"/>
      <c r="I675" s="144">
        <v>8000</v>
      </c>
      <c r="J675" s="145">
        <f t="shared" si="124"/>
        <v>67957343</v>
      </c>
      <c r="K675" s="145"/>
    </row>
    <row r="676" spans="1:11" s="125" customFormat="1" ht="17.25" customHeight="1">
      <c r="A676" s="125">
        <f t="shared" si="125"/>
        <v>12</v>
      </c>
      <c r="B676" s="140">
        <v>42363</v>
      </c>
      <c r="C676" s="141" t="s">
        <v>368</v>
      </c>
      <c r="D676" s="140">
        <f t="shared" si="126"/>
        <v>42363</v>
      </c>
      <c r="E676" s="142" t="s">
        <v>1355</v>
      </c>
      <c r="F676" s="142"/>
      <c r="G676" s="143" t="s">
        <v>34</v>
      </c>
      <c r="H676" s="144"/>
      <c r="I676" s="144">
        <v>50282184</v>
      </c>
      <c r="J676" s="145">
        <f t="shared" ref="J676:J678" si="129">IF(B676&lt;&gt;"",J675+H676-I676,0)</f>
        <v>17675159</v>
      </c>
      <c r="K676" s="145"/>
    </row>
    <row r="677" spans="1:11" s="125" customFormat="1" ht="17.25" customHeight="1">
      <c r="A677" s="125">
        <f t="shared" si="125"/>
        <v>12</v>
      </c>
      <c r="B677" s="140">
        <v>42363</v>
      </c>
      <c r="C677" s="141" t="s">
        <v>368</v>
      </c>
      <c r="D677" s="140">
        <f t="shared" si="126"/>
        <v>42363</v>
      </c>
      <c r="E677" s="142" t="s">
        <v>394</v>
      </c>
      <c r="F677" s="142"/>
      <c r="G677" s="143" t="s">
        <v>94</v>
      </c>
      <c r="H677" s="144"/>
      <c r="I677" s="144">
        <v>40000</v>
      </c>
      <c r="J677" s="145">
        <f t="shared" si="129"/>
        <v>17635159</v>
      </c>
      <c r="K677" s="145"/>
    </row>
    <row r="678" spans="1:11" s="125" customFormat="1" ht="17.25" customHeight="1">
      <c r="A678" s="125">
        <f t="shared" si="125"/>
        <v>12</v>
      </c>
      <c r="B678" s="140">
        <v>42363</v>
      </c>
      <c r="C678" s="141" t="s">
        <v>368</v>
      </c>
      <c r="D678" s="140">
        <f t="shared" si="126"/>
        <v>42363</v>
      </c>
      <c r="E678" s="142" t="s">
        <v>395</v>
      </c>
      <c r="F678" s="142"/>
      <c r="G678" s="143" t="s">
        <v>35</v>
      </c>
      <c r="H678" s="144"/>
      <c r="I678" s="144">
        <v>4000</v>
      </c>
      <c r="J678" s="145">
        <f t="shared" si="129"/>
        <v>17631159</v>
      </c>
      <c r="K678" s="145"/>
    </row>
    <row r="679" spans="1:11" s="125" customFormat="1" ht="17.25" customHeight="1">
      <c r="A679" s="125">
        <f t="shared" ref="A679:A681" si="130">IF(B679&lt;&gt;"",MONTH(B679),"")</f>
        <v>12</v>
      </c>
      <c r="B679" s="140">
        <v>42363</v>
      </c>
      <c r="C679" s="141" t="s">
        <v>368</v>
      </c>
      <c r="D679" s="140">
        <f t="shared" ref="D679:D681" si="131">B679</f>
        <v>42363</v>
      </c>
      <c r="E679" s="142" t="s">
        <v>1356</v>
      </c>
      <c r="F679" s="142"/>
      <c r="G679" s="143" t="s">
        <v>34</v>
      </c>
      <c r="H679" s="144"/>
      <c r="I679" s="144">
        <v>5274306</v>
      </c>
      <c r="J679" s="145">
        <f t="shared" ref="J679:J681" si="132">IF(B679&lt;&gt;"",J678+H679-I679,0)</f>
        <v>12356853</v>
      </c>
      <c r="K679" s="145"/>
    </row>
    <row r="680" spans="1:11" s="125" customFormat="1" ht="17.25" customHeight="1">
      <c r="A680" s="125">
        <f t="shared" si="130"/>
        <v>12</v>
      </c>
      <c r="B680" s="140">
        <v>42363</v>
      </c>
      <c r="C680" s="141" t="s">
        <v>368</v>
      </c>
      <c r="D680" s="140">
        <f t="shared" si="131"/>
        <v>42363</v>
      </c>
      <c r="E680" s="142" t="s">
        <v>394</v>
      </c>
      <c r="F680" s="142"/>
      <c r="G680" s="143" t="s">
        <v>94</v>
      </c>
      <c r="H680" s="144"/>
      <c r="I680" s="144">
        <v>40000</v>
      </c>
      <c r="J680" s="145">
        <f t="shared" si="132"/>
        <v>12316853</v>
      </c>
      <c r="K680" s="145"/>
    </row>
    <row r="681" spans="1:11" s="125" customFormat="1" ht="17.25" customHeight="1">
      <c r="A681" s="125">
        <f t="shared" si="130"/>
        <v>12</v>
      </c>
      <c r="B681" s="140">
        <v>42363</v>
      </c>
      <c r="C681" s="141" t="s">
        <v>368</v>
      </c>
      <c r="D681" s="140">
        <f t="shared" si="131"/>
        <v>42363</v>
      </c>
      <c r="E681" s="142" t="s">
        <v>395</v>
      </c>
      <c r="F681" s="142"/>
      <c r="G681" s="143" t="s">
        <v>35</v>
      </c>
      <c r="H681" s="144"/>
      <c r="I681" s="144">
        <v>4000</v>
      </c>
      <c r="J681" s="145">
        <f t="shared" si="132"/>
        <v>12312853</v>
      </c>
      <c r="K681" s="145"/>
    </row>
    <row r="682" spans="1:11" s="125" customFormat="1" ht="17.25" customHeight="1">
      <c r="A682" s="125">
        <f t="shared" ref="A682:A683" si="133">IF(B682&lt;&gt;"",MONTH(B682),"")</f>
        <v>12</v>
      </c>
      <c r="B682" s="140">
        <v>42363</v>
      </c>
      <c r="C682" s="141" t="s">
        <v>368</v>
      </c>
      <c r="D682" s="140">
        <f t="shared" ref="D682:D683" si="134">B682</f>
        <v>42363</v>
      </c>
      <c r="E682" s="142" t="s">
        <v>1357</v>
      </c>
      <c r="F682" s="142"/>
      <c r="G682" s="143" t="s">
        <v>94</v>
      </c>
      <c r="H682" s="144"/>
      <c r="I682" s="144">
        <v>50000</v>
      </c>
      <c r="J682" s="145">
        <f t="shared" ref="J682:J683" si="135">IF(B682&lt;&gt;"",J681+H682-I682,0)</f>
        <v>12262853</v>
      </c>
      <c r="K682" s="145"/>
    </row>
    <row r="683" spans="1:11" s="125" customFormat="1" ht="17.25" customHeight="1">
      <c r="A683" s="125">
        <f t="shared" si="133"/>
        <v>12</v>
      </c>
      <c r="B683" s="140">
        <v>42363</v>
      </c>
      <c r="C683" s="141" t="s">
        <v>368</v>
      </c>
      <c r="D683" s="140">
        <f t="shared" si="134"/>
        <v>42363</v>
      </c>
      <c r="E683" s="142" t="s">
        <v>1358</v>
      </c>
      <c r="F683" s="142"/>
      <c r="G683" s="143" t="s">
        <v>35</v>
      </c>
      <c r="H683" s="144"/>
      <c r="I683" s="144">
        <v>5000</v>
      </c>
      <c r="J683" s="145">
        <f t="shared" si="135"/>
        <v>12257853</v>
      </c>
      <c r="K683" s="145"/>
    </row>
    <row r="684" spans="1:11" s="125" customFormat="1" ht="17.25" customHeight="1">
      <c r="A684" s="125">
        <f t="shared" ref="A684:A689" si="136">IF(B684&lt;&gt;"",MONTH(B684),"")</f>
        <v>12</v>
      </c>
      <c r="B684" s="140">
        <v>42363</v>
      </c>
      <c r="C684" s="141" t="s">
        <v>368</v>
      </c>
      <c r="D684" s="140">
        <f t="shared" ref="D684:D689" si="137">B684</f>
        <v>42363</v>
      </c>
      <c r="E684" s="142" t="s">
        <v>1357</v>
      </c>
      <c r="F684" s="142"/>
      <c r="G684" s="143" t="s">
        <v>94</v>
      </c>
      <c r="H684" s="144"/>
      <c r="I684" s="144">
        <v>50000</v>
      </c>
      <c r="J684" s="145">
        <f t="shared" ref="J684:J689" si="138">IF(B684&lt;&gt;"",J683+H684-I684,0)</f>
        <v>12207853</v>
      </c>
      <c r="K684" s="145"/>
    </row>
    <row r="685" spans="1:11" s="125" customFormat="1" ht="17.25" customHeight="1">
      <c r="A685" s="125">
        <f t="shared" si="136"/>
        <v>12</v>
      </c>
      <c r="B685" s="140">
        <v>42363</v>
      </c>
      <c r="C685" s="141" t="s">
        <v>368</v>
      </c>
      <c r="D685" s="140">
        <f t="shared" si="137"/>
        <v>42363</v>
      </c>
      <c r="E685" s="142" t="s">
        <v>1358</v>
      </c>
      <c r="F685" s="142"/>
      <c r="G685" s="143" t="s">
        <v>35</v>
      </c>
      <c r="H685" s="144"/>
      <c r="I685" s="144">
        <v>5000</v>
      </c>
      <c r="J685" s="145">
        <f t="shared" si="138"/>
        <v>12202853</v>
      </c>
      <c r="K685" s="145"/>
    </row>
    <row r="686" spans="1:11" s="125" customFormat="1" ht="17.25" customHeight="1">
      <c r="A686" s="125">
        <f t="shared" si="136"/>
        <v>12</v>
      </c>
      <c r="B686" s="140">
        <v>42363</v>
      </c>
      <c r="C686" s="141" t="s">
        <v>368</v>
      </c>
      <c r="D686" s="140">
        <f t="shared" si="137"/>
        <v>42363</v>
      </c>
      <c r="E686" s="142" t="s">
        <v>1357</v>
      </c>
      <c r="F686" s="142"/>
      <c r="G686" s="143" t="s">
        <v>94</v>
      </c>
      <c r="H686" s="144"/>
      <c r="I686" s="144">
        <v>50000</v>
      </c>
      <c r="J686" s="145">
        <f t="shared" si="138"/>
        <v>12152853</v>
      </c>
      <c r="K686" s="145"/>
    </row>
    <row r="687" spans="1:11" s="125" customFormat="1" ht="17.25" customHeight="1">
      <c r="A687" s="125">
        <f t="shared" si="136"/>
        <v>12</v>
      </c>
      <c r="B687" s="140">
        <v>42363</v>
      </c>
      <c r="C687" s="141" t="s">
        <v>368</v>
      </c>
      <c r="D687" s="140">
        <f t="shared" si="137"/>
        <v>42363</v>
      </c>
      <c r="E687" s="142" t="s">
        <v>1358</v>
      </c>
      <c r="F687" s="142"/>
      <c r="G687" s="143" t="s">
        <v>35</v>
      </c>
      <c r="H687" s="144"/>
      <c r="I687" s="144">
        <v>5000</v>
      </c>
      <c r="J687" s="145">
        <f t="shared" si="138"/>
        <v>12147853</v>
      </c>
      <c r="K687" s="145"/>
    </row>
    <row r="688" spans="1:11" s="125" customFormat="1" ht="17.25" customHeight="1">
      <c r="A688" s="125">
        <f t="shared" si="136"/>
        <v>12</v>
      </c>
      <c r="B688" s="140">
        <v>42363</v>
      </c>
      <c r="C688" s="141" t="s">
        <v>368</v>
      </c>
      <c r="D688" s="140">
        <f t="shared" si="137"/>
        <v>42363</v>
      </c>
      <c r="E688" s="142" t="s">
        <v>1357</v>
      </c>
      <c r="F688" s="142"/>
      <c r="G688" s="143" t="s">
        <v>94</v>
      </c>
      <c r="H688" s="144"/>
      <c r="I688" s="144">
        <v>50000</v>
      </c>
      <c r="J688" s="145">
        <f t="shared" si="138"/>
        <v>12097853</v>
      </c>
      <c r="K688" s="145"/>
    </row>
    <row r="689" spans="1:12" s="125" customFormat="1" ht="17.25" customHeight="1">
      <c r="A689" s="125">
        <f t="shared" si="136"/>
        <v>12</v>
      </c>
      <c r="B689" s="140">
        <v>42363</v>
      </c>
      <c r="C689" s="141" t="s">
        <v>368</v>
      </c>
      <c r="D689" s="140">
        <f t="shared" si="137"/>
        <v>42363</v>
      </c>
      <c r="E689" s="142" t="s">
        <v>1358</v>
      </c>
      <c r="F689" s="142"/>
      <c r="G689" s="143" t="s">
        <v>35</v>
      </c>
      <c r="H689" s="144"/>
      <c r="I689" s="144">
        <v>5000</v>
      </c>
      <c r="J689" s="145">
        <f t="shared" si="138"/>
        <v>12092853</v>
      </c>
      <c r="K689" s="145"/>
    </row>
    <row r="690" spans="1:12" s="108" customFormat="1" ht="17.25" customHeight="1">
      <c r="A690" s="125" t="str">
        <f t="shared" si="55"/>
        <v/>
      </c>
      <c r="B690" s="146"/>
      <c r="C690" s="147"/>
      <c r="D690" s="146"/>
      <c r="E690" s="148"/>
      <c r="F690" s="148"/>
      <c r="G690" s="147"/>
      <c r="H690" s="149"/>
      <c r="I690" s="149"/>
      <c r="J690" s="150"/>
      <c r="K690" s="145"/>
    </row>
    <row r="691" spans="1:12" s="125" customFormat="1" ht="17.25" customHeight="1">
      <c r="A691" s="125" t="str">
        <f t="shared" si="55"/>
        <v/>
      </c>
      <c r="B691" s="151"/>
      <c r="C691" s="152"/>
      <c r="D691" s="151"/>
      <c r="E691" s="136" t="s">
        <v>29</v>
      </c>
      <c r="F691" s="136"/>
      <c r="G691" s="153"/>
      <c r="H691" s="154">
        <f>SUM(H12:H690)</f>
        <v>63140680802</v>
      </c>
      <c r="I691" s="154">
        <f>SUM(I12:I690)</f>
        <v>63133028789</v>
      </c>
      <c r="J691" s="154">
        <f>J11+H691-I691</f>
        <v>12092853</v>
      </c>
      <c r="K691" s="153"/>
    </row>
    <row r="692" spans="1:12" s="125" customFormat="1" ht="17.25" customHeight="1">
      <c r="A692" s="125" t="str">
        <f t="shared" si="55"/>
        <v/>
      </c>
      <c r="B692" s="151"/>
      <c r="C692" s="152"/>
      <c r="D692" s="151"/>
      <c r="E692" s="136" t="s">
        <v>431</v>
      </c>
      <c r="F692" s="136"/>
      <c r="G692" s="153"/>
      <c r="H692" s="136"/>
      <c r="I692" s="136"/>
      <c r="J692" s="154">
        <f>J691</f>
        <v>12092853</v>
      </c>
      <c r="K692" s="153"/>
      <c r="L692" s="138"/>
    </row>
    <row r="693" spans="1:12" s="125" customFormat="1" ht="22.5" customHeight="1">
      <c r="B693" s="352" t="s">
        <v>432</v>
      </c>
      <c r="C693" s="353"/>
      <c r="D693" s="354"/>
      <c r="E693" s="355"/>
      <c r="F693" s="355"/>
      <c r="H693" s="138"/>
      <c r="I693" s="138"/>
    </row>
    <row r="694" spans="1:12" s="125" customFormat="1" ht="12.75">
      <c r="B694" s="356" t="s">
        <v>433</v>
      </c>
      <c r="C694" s="357"/>
      <c r="D694" s="354"/>
      <c r="E694" s="355"/>
      <c r="F694" s="355"/>
    </row>
    <row r="695" spans="1:12" s="125" customFormat="1" ht="12.75">
      <c r="B695" s="358"/>
      <c r="C695" s="359"/>
      <c r="D695" s="360"/>
      <c r="E695" s="355"/>
      <c r="F695" s="355"/>
      <c r="I695" s="486" t="s">
        <v>1386</v>
      </c>
      <c r="J695" s="486"/>
      <c r="K695" s="486"/>
    </row>
    <row r="696" spans="1:12" s="125" customFormat="1" ht="17.25" customHeight="1">
      <c r="B696" s="487" t="s">
        <v>33</v>
      </c>
      <c r="C696" s="487"/>
      <c r="D696" s="361"/>
      <c r="E696" s="355"/>
      <c r="F696" s="355"/>
      <c r="G696" s="217" t="s">
        <v>13</v>
      </c>
      <c r="H696" s="362"/>
      <c r="I696" s="359"/>
      <c r="J696" s="363" t="s">
        <v>14</v>
      </c>
      <c r="K696" s="363"/>
      <c r="L696" s="364"/>
    </row>
    <row r="697" spans="1:12" s="125" customFormat="1" ht="12.75">
      <c r="B697" s="488" t="s">
        <v>15</v>
      </c>
      <c r="C697" s="488"/>
      <c r="D697" s="365"/>
      <c r="E697" s="355"/>
      <c r="F697" s="355"/>
      <c r="G697" s="350" t="s">
        <v>15</v>
      </c>
      <c r="H697" s="357"/>
      <c r="I697" s="488" t="s">
        <v>16</v>
      </c>
      <c r="J697" s="488"/>
      <c r="K697" s="488"/>
      <c r="L697" s="355"/>
    </row>
  </sheetData>
  <autoFilter ref="A10:N697"/>
  <mergeCells count="18">
    <mergeCell ref="I695:K695"/>
    <mergeCell ref="B696:C696"/>
    <mergeCell ref="B697:C697"/>
    <mergeCell ref="I697:K697"/>
    <mergeCell ref="E8:E9"/>
    <mergeCell ref="H8:J8"/>
    <mergeCell ref="K8:K9"/>
    <mergeCell ref="G8:G9"/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</mergeCells>
  <phoneticPr fontId="54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10"/>
  </sheetPr>
  <dimension ref="A1:N287"/>
  <sheetViews>
    <sheetView topLeftCell="A8" workbookViewId="0">
      <pane ySplit="4" topLeftCell="A253" activePane="bottomLeft" state="frozen"/>
      <selection activeCell="A8" sqref="A8"/>
      <selection pane="bottomLeft" activeCell="F241" sqref="F241:F270"/>
    </sheetView>
  </sheetViews>
  <sheetFormatPr defaultRowHeight="15.75"/>
  <cols>
    <col min="1" max="1" width="4.140625" style="193" customWidth="1"/>
    <col min="2" max="2" width="10.5703125" style="193" customWidth="1"/>
    <col min="3" max="3" width="6.140625" style="194" customWidth="1"/>
    <col min="4" max="4" width="9.85546875" style="193" customWidth="1"/>
    <col min="5" max="5" width="30.7109375" style="193" customWidth="1"/>
    <col min="6" max="6" width="14.28515625" style="193" customWidth="1"/>
    <col min="7" max="7" width="6.42578125" style="193" customWidth="1"/>
    <col min="8" max="8" width="7.7109375" style="195" customWidth="1"/>
    <col min="9" max="9" width="12.140625" style="196" customWidth="1"/>
    <col min="10" max="10" width="13.28515625" style="196" customWidth="1"/>
    <col min="11" max="11" width="13.5703125" style="196" customWidth="1"/>
    <col min="12" max="12" width="7" style="193" customWidth="1"/>
    <col min="13" max="13" width="11.7109375" style="193" customWidth="1"/>
    <col min="14" max="14" width="12" style="193" bestFit="1" customWidth="1"/>
    <col min="15" max="16384" width="9.140625" style="193"/>
  </cols>
  <sheetData>
    <row r="1" spans="1:14" s="159" customFormat="1" ht="16.5" customHeight="1">
      <c r="B1" s="160" t="s">
        <v>350</v>
      </c>
      <c r="C1" s="118"/>
      <c r="H1" s="161"/>
      <c r="I1" s="162"/>
      <c r="J1" s="506" t="s">
        <v>351</v>
      </c>
      <c r="K1" s="506"/>
      <c r="L1" s="506"/>
      <c r="M1" s="121"/>
      <c r="N1" s="121"/>
    </row>
    <row r="2" spans="1:14" s="159" customFormat="1" ht="16.5" customHeight="1">
      <c r="B2" s="507" t="s">
        <v>352</v>
      </c>
      <c r="C2" s="508"/>
      <c r="D2" s="507"/>
      <c r="E2" s="507"/>
      <c r="F2" s="122"/>
      <c r="H2" s="161"/>
      <c r="I2" s="162"/>
      <c r="J2" s="509" t="s">
        <v>353</v>
      </c>
      <c r="K2" s="509"/>
      <c r="L2" s="509"/>
      <c r="M2" s="119"/>
      <c r="N2" s="119"/>
    </row>
    <row r="3" spans="1:14" s="159" customFormat="1" ht="16.5" customHeight="1">
      <c r="B3" s="507"/>
      <c r="C3" s="508"/>
      <c r="D3" s="507"/>
      <c r="E3" s="507"/>
      <c r="F3" s="122"/>
      <c r="H3" s="161"/>
      <c r="I3" s="162"/>
      <c r="J3" s="509" t="s">
        <v>354</v>
      </c>
      <c r="K3" s="509"/>
      <c r="L3" s="509"/>
    </row>
    <row r="4" spans="1:14" s="159" customFormat="1" ht="19.5" customHeight="1">
      <c r="B4" s="510" t="s">
        <v>355</v>
      </c>
      <c r="C4" s="510"/>
      <c r="D4" s="510"/>
      <c r="E4" s="510"/>
      <c r="F4" s="510"/>
      <c r="G4" s="510"/>
      <c r="H4" s="510"/>
      <c r="I4" s="510"/>
      <c r="J4" s="510"/>
      <c r="K4" s="510"/>
      <c r="L4" s="510"/>
    </row>
    <row r="5" spans="1:14" s="159" customFormat="1" ht="15">
      <c r="B5" s="492" t="s">
        <v>356</v>
      </c>
      <c r="C5" s="492"/>
      <c r="D5" s="492"/>
      <c r="E5" s="492"/>
      <c r="F5" s="492"/>
      <c r="G5" s="492"/>
      <c r="H5" s="492"/>
      <c r="I5" s="492"/>
      <c r="J5" s="492"/>
      <c r="K5" s="492"/>
      <c r="L5" s="492"/>
    </row>
    <row r="6" spans="1:14" s="159" customFormat="1" ht="15">
      <c r="B6" s="492" t="s">
        <v>434</v>
      </c>
      <c r="C6" s="492"/>
      <c r="D6" s="492"/>
      <c r="E6" s="492"/>
      <c r="F6" s="492"/>
      <c r="G6" s="492"/>
      <c r="H6" s="492"/>
      <c r="I6" s="492"/>
      <c r="J6" s="492"/>
      <c r="K6" s="492"/>
      <c r="L6" s="492"/>
    </row>
    <row r="7" spans="1:14" s="159" customFormat="1" ht="4.5" customHeight="1">
      <c r="B7" s="120"/>
      <c r="C7" s="120"/>
      <c r="D7" s="120"/>
      <c r="E7" s="120"/>
      <c r="F7" s="120"/>
      <c r="G7" s="120"/>
      <c r="H7" s="163"/>
      <c r="I7" s="164"/>
      <c r="J7" s="164"/>
      <c r="K7" s="164"/>
      <c r="L7" s="120"/>
    </row>
    <row r="8" spans="1:14" s="167" customFormat="1" ht="20.25" customHeight="1">
      <c r="A8" s="476" t="s">
        <v>175</v>
      </c>
      <c r="B8" s="493" t="s">
        <v>358</v>
      </c>
      <c r="C8" s="495" t="s">
        <v>359</v>
      </c>
      <c r="D8" s="496"/>
      <c r="E8" s="497" t="s">
        <v>3</v>
      </c>
      <c r="F8" s="166"/>
      <c r="G8" s="497" t="s">
        <v>22</v>
      </c>
      <c r="H8" s="501" t="s">
        <v>435</v>
      </c>
      <c r="I8" s="499" t="s">
        <v>125</v>
      </c>
      <c r="J8" s="500"/>
      <c r="K8" s="496"/>
      <c r="L8" s="497" t="s">
        <v>4</v>
      </c>
    </row>
    <row r="9" spans="1:14" s="167" customFormat="1" ht="30.75" customHeight="1">
      <c r="A9" s="477"/>
      <c r="B9" s="494"/>
      <c r="C9" s="165" t="s">
        <v>360</v>
      </c>
      <c r="D9" s="166" t="s">
        <v>361</v>
      </c>
      <c r="E9" s="498"/>
      <c r="F9" s="168"/>
      <c r="G9" s="498"/>
      <c r="H9" s="502"/>
      <c r="I9" s="169" t="s">
        <v>362</v>
      </c>
      <c r="J9" s="169" t="s">
        <v>363</v>
      </c>
      <c r="K9" s="169" t="s">
        <v>364</v>
      </c>
      <c r="L9" s="498"/>
    </row>
    <row r="10" spans="1:14" s="172" customFormat="1" ht="12">
      <c r="A10" s="128"/>
      <c r="B10" s="170" t="s">
        <v>7</v>
      </c>
      <c r="C10" s="170" t="s">
        <v>8</v>
      </c>
      <c r="D10" s="170" t="s">
        <v>9</v>
      </c>
      <c r="E10" s="170" t="s">
        <v>10</v>
      </c>
      <c r="F10" s="170"/>
      <c r="G10" s="170" t="s">
        <v>11</v>
      </c>
      <c r="H10" s="171"/>
      <c r="I10" s="170">
        <v>1</v>
      </c>
      <c r="J10" s="170">
        <v>2</v>
      </c>
      <c r="K10" s="170">
        <v>3</v>
      </c>
      <c r="L10" s="170" t="s">
        <v>27</v>
      </c>
    </row>
    <row r="11" spans="1:14" s="167" customFormat="1" ht="17.25" hidden="1" customHeight="1">
      <c r="A11" s="132"/>
      <c r="B11" s="173"/>
      <c r="C11" s="174"/>
      <c r="D11" s="173"/>
      <c r="E11" s="173" t="s">
        <v>365</v>
      </c>
      <c r="F11" s="173"/>
      <c r="G11" s="173"/>
      <c r="H11" s="175"/>
      <c r="I11" s="176"/>
      <c r="J11" s="176"/>
      <c r="K11" s="176">
        <v>9354.2699999990873</v>
      </c>
      <c r="L11" s="173"/>
      <c r="M11" s="177">
        <f>K11+'Q4-USD'!K11</f>
        <v>11298.81999999925</v>
      </c>
    </row>
    <row r="12" spans="1:14" s="125" customFormat="1" ht="17.25" hidden="1" customHeight="1">
      <c r="A12" s="125">
        <f t="shared" ref="A12:A75" si="0">IF(B12&lt;&gt;"",MONTH(B12),"")</f>
        <v>1</v>
      </c>
      <c r="B12" s="140">
        <v>42009</v>
      </c>
      <c r="C12" s="141" t="s">
        <v>371</v>
      </c>
      <c r="D12" s="140">
        <f t="shared" ref="D12:D43" si="1">IF(B12="","",B12)</f>
        <v>42009</v>
      </c>
      <c r="E12" s="142" t="s">
        <v>436</v>
      </c>
      <c r="F12" s="145">
        <f t="shared" ref="F12:F43" si="2">(I12+J12)*H12</f>
        <v>40565000</v>
      </c>
      <c r="G12" s="141" t="s">
        <v>370</v>
      </c>
      <c r="H12" s="178">
        <v>21350</v>
      </c>
      <c r="I12" s="179">
        <v>1900</v>
      </c>
      <c r="J12" s="180"/>
      <c r="K12" s="181">
        <f>IF(B12&lt;&gt;"",K11+I12-J12,0)</f>
        <v>11254.269999999087</v>
      </c>
      <c r="L12" s="145"/>
    </row>
    <row r="13" spans="1:14" s="125" customFormat="1" ht="17.25" hidden="1" customHeight="1">
      <c r="A13" s="125">
        <f t="shared" si="0"/>
        <v>1</v>
      </c>
      <c r="B13" s="140">
        <v>42009</v>
      </c>
      <c r="C13" s="141" t="s">
        <v>368</v>
      </c>
      <c r="D13" s="140">
        <f t="shared" si="1"/>
        <v>42009</v>
      </c>
      <c r="E13" s="142" t="s">
        <v>369</v>
      </c>
      <c r="F13" s="145">
        <f t="shared" si="2"/>
        <v>867105000</v>
      </c>
      <c r="G13" s="141" t="s">
        <v>36</v>
      </c>
      <c r="H13" s="178">
        <v>21410</v>
      </c>
      <c r="I13" s="179">
        <v>40500</v>
      </c>
      <c r="J13" s="180"/>
      <c r="K13" s="181">
        <f t="shared" ref="K13:K76" si="3">IF(B13&lt;&gt;"",K12+I13-J13,0)</f>
        <v>51754.269999999087</v>
      </c>
      <c r="L13" s="145"/>
    </row>
    <row r="14" spans="1:14" s="125" customFormat="1" ht="17.25" hidden="1" customHeight="1">
      <c r="A14" s="125">
        <f t="shared" si="0"/>
        <v>1</v>
      </c>
      <c r="B14" s="140">
        <v>42009</v>
      </c>
      <c r="C14" s="141" t="s">
        <v>368</v>
      </c>
      <c r="D14" s="140">
        <f t="shared" si="1"/>
        <v>42009</v>
      </c>
      <c r="E14" s="142" t="s">
        <v>437</v>
      </c>
      <c r="F14" s="145">
        <f t="shared" si="2"/>
        <v>1099525000</v>
      </c>
      <c r="G14" s="143" t="s">
        <v>438</v>
      </c>
      <c r="H14" s="178">
        <v>21350</v>
      </c>
      <c r="I14" s="179"/>
      <c r="J14" s="180">
        <v>51500</v>
      </c>
      <c r="K14" s="181">
        <f t="shared" si="3"/>
        <v>254.2699999990873</v>
      </c>
      <c r="L14" s="145"/>
    </row>
    <row r="15" spans="1:14" s="125" customFormat="1" ht="17.25" hidden="1" customHeight="1">
      <c r="A15" s="125">
        <f t="shared" si="0"/>
        <v>1</v>
      </c>
      <c r="B15" s="140">
        <v>42009</v>
      </c>
      <c r="C15" s="141" t="s">
        <v>368</v>
      </c>
      <c r="D15" s="140">
        <f t="shared" si="1"/>
        <v>42009</v>
      </c>
      <c r="E15" s="142" t="s">
        <v>439</v>
      </c>
      <c r="F15" s="145">
        <f t="shared" si="2"/>
        <v>4124819.9999999381</v>
      </c>
      <c r="G15" s="143" t="s">
        <v>374</v>
      </c>
      <c r="H15" s="178">
        <v>21350</v>
      </c>
      <c r="I15" s="179"/>
      <c r="J15" s="180">
        <v>193.19999999999709</v>
      </c>
      <c r="K15" s="181">
        <f t="shared" si="3"/>
        <v>61.069999999090214</v>
      </c>
      <c r="L15" s="145"/>
    </row>
    <row r="16" spans="1:14" s="125" customFormat="1" ht="17.25" hidden="1" customHeight="1">
      <c r="A16" s="125">
        <f t="shared" si="0"/>
        <v>1</v>
      </c>
      <c r="B16" s="140">
        <v>42010</v>
      </c>
      <c r="C16" s="141" t="s">
        <v>371</v>
      </c>
      <c r="D16" s="140">
        <f t="shared" si="1"/>
        <v>42010</v>
      </c>
      <c r="E16" s="142" t="s">
        <v>440</v>
      </c>
      <c r="F16" s="145">
        <f t="shared" si="2"/>
        <v>1046150000</v>
      </c>
      <c r="G16" s="143" t="s">
        <v>438</v>
      </c>
      <c r="H16" s="178">
        <v>21350</v>
      </c>
      <c r="I16" s="179">
        <v>49000</v>
      </c>
      <c r="J16" s="180"/>
      <c r="K16" s="181">
        <f t="shared" si="3"/>
        <v>49061.06999999909</v>
      </c>
      <c r="L16" s="145"/>
    </row>
    <row r="17" spans="1:12" s="125" customFormat="1" ht="17.25" hidden="1" customHeight="1">
      <c r="A17" s="125">
        <f t="shared" si="0"/>
        <v>1</v>
      </c>
      <c r="B17" s="140">
        <v>42010</v>
      </c>
      <c r="C17" s="141" t="s">
        <v>371</v>
      </c>
      <c r="D17" s="140">
        <f t="shared" si="1"/>
        <v>42010</v>
      </c>
      <c r="E17" s="142" t="s">
        <v>372</v>
      </c>
      <c r="F17" s="145">
        <f t="shared" si="2"/>
        <v>1048600000</v>
      </c>
      <c r="G17" s="143" t="s">
        <v>36</v>
      </c>
      <c r="H17" s="178">
        <v>21400</v>
      </c>
      <c r="I17" s="179"/>
      <c r="J17" s="180">
        <v>49000</v>
      </c>
      <c r="K17" s="181">
        <f t="shared" si="3"/>
        <v>61.069999999090214</v>
      </c>
      <c r="L17" s="145"/>
    </row>
    <row r="18" spans="1:12" s="125" customFormat="1" ht="17.25" hidden="1" customHeight="1">
      <c r="A18" s="125">
        <f t="shared" si="0"/>
        <v>1</v>
      </c>
      <c r="B18" s="140">
        <v>42020</v>
      </c>
      <c r="C18" s="141" t="s">
        <v>371</v>
      </c>
      <c r="D18" s="140">
        <f t="shared" si="1"/>
        <v>42020</v>
      </c>
      <c r="E18" s="142" t="s">
        <v>441</v>
      </c>
      <c r="F18" s="145">
        <f t="shared" si="2"/>
        <v>3907404412.7999997</v>
      </c>
      <c r="G18" s="141" t="s">
        <v>442</v>
      </c>
      <c r="H18" s="178">
        <v>21315</v>
      </c>
      <c r="I18" s="179">
        <v>183317.12</v>
      </c>
      <c r="J18" s="180"/>
      <c r="K18" s="181">
        <f t="shared" si="3"/>
        <v>183378.18999999907</v>
      </c>
      <c r="L18" s="145"/>
    </row>
    <row r="19" spans="1:12" s="125" customFormat="1" ht="17.25" hidden="1" customHeight="1">
      <c r="A19" s="125">
        <f t="shared" si="0"/>
        <v>1</v>
      </c>
      <c r="B19" s="140">
        <v>42020</v>
      </c>
      <c r="C19" s="141" t="s">
        <v>368</v>
      </c>
      <c r="D19" s="140">
        <f t="shared" si="1"/>
        <v>42020</v>
      </c>
      <c r="E19" s="142" t="s">
        <v>372</v>
      </c>
      <c r="F19" s="145">
        <f t="shared" si="2"/>
        <v>1067000000</v>
      </c>
      <c r="G19" s="143" t="s">
        <v>36</v>
      </c>
      <c r="H19" s="178">
        <v>21340</v>
      </c>
      <c r="I19" s="179"/>
      <c r="J19" s="180">
        <v>50000</v>
      </c>
      <c r="K19" s="181">
        <f t="shared" si="3"/>
        <v>133378.18999999907</v>
      </c>
      <c r="L19" s="145"/>
    </row>
    <row r="20" spans="1:12" s="125" customFormat="1" ht="17.25" hidden="1" customHeight="1">
      <c r="A20" s="125">
        <f t="shared" si="0"/>
        <v>1</v>
      </c>
      <c r="B20" s="140">
        <v>42023</v>
      </c>
      <c r="C20" s="141" t="s">
        <v>371</v>
      </c>
      <c r="D20" s="140">
        <f t="shared" si="1"/>
        <v>42023</v>
      </c>
      <c r="E20" s="142" t="s">
        <v>443</v>
      </c>
      <c r="F20" s="145">
        <f t="shared" si="2"/>
        <v>2088870000</v>
      </c>
      <c r="G20" s="143" t="s">
        <v>438</v>
      </c>
      <c r="H20" s="178">
        <v>21315</v>
      </c>
      <c r="I20" s="179">
        <v>98000</v>
      </c>
      <c r="J20" s="180"/>
      <c r="K20" s="181">
        <f t="shared" si="3"/>
        <v>231378.18999999907</v>
      </c>
      <c r="L20" s="145"/>
    </row>
    <row r="21" spans="1:12" s="125" customFormat="1" ht="17.25" hidden="1" customHeight="1">
      <c r="A21" s="125">
        <f t="shared" si="0"/>
        <v>1</v>
      </c>
      <c r="B21" s="140">
        <v>42023</v>
      </c>
      <c r="C21" s="141" t="s">
        <v>368</v>
      </c>
      <c r="D21" s="140">
        <f t="shared" si="1"/>
        <v>42023</v>
      </c>
      <c r="E21" s="142" t="s">
        <v>444</v>
      </c>
      <c r="F21" s="145">
        <f t="shared" si="2"/>
        <v>1278900000</v>
      </c>
      <c r="G21" s="143" t="s">
        <v>438</v>
      </c>
      <c r="H21" s="178">
        <v>21315</v>
      </c>
      <c r="I21" s="179"/>
      <c r="J21" s="180">
        <v>60000</v>
      </c>
      <c r="K21" s="181">
        <f t="shared" si="3"/>
        <v>171378.18999999907</v>
      </c>
      <c r="L21" s="145"/>
    </row>
    <row r="22" spans="1:12" s="125" customFormat="1" ht="17.25" hidden="1" customHeight="1">
      <c r="A22" s="125">
        <f t="shared" si="0"/>
        <v>1</v>
      </c>
      <c r="B22" s="140">
        <v>42023</v>
      </c>
      <c r="C22" s="141" t="s">
        <v>368</v>
      </c>
      <c r="D22" s="140">
        <f t="shared" si="1"/>
        <v>42023</v>
      </c>
      <c r="E22" s="142" t="s">
        <v>445</v>
      </c>
      <c r="F22" s="145">
        <f t="shared" si="2"/>
        <v>5456640</v>
      </c>
      <c r="G22" s="143" t="s">
        <v>374</v>
      </c>
      <c r="H22" s="178">
        <v>21315</v>
      </c>
      <c r="I22" s="179"/>
      <c r="J22" s="180">
        <v>256</v>
      </c>
      <c r="K22" s="181">
        <f t="shared" si="3"/>
        <v>171122.18999999907</v>
      </c>
      <c r="L22" s="145"/>
    </row>
    <row r="23" spans="1:12" s="125" customFormat="1" ht="17.25" hidden="1" customHeight="1">
      <c r="A23" s="125">
        <f t="shared" si="0"/>
        <v>1</v>
      </c>
      <c r="B23" s="140">
        <v>42023</v>
      </c>
      <c r="C23" s="141" t="s">
        <v>368</v>
      </c>
      <c r="D23" s="140">
        <f t="shared" si="1"/>
        <v>42023</v>
      </c>
      <c r="E23" s="142" t="s">
        <v>446</v>
      </c>
      <c r="F23" s="145">
        <f t="shared" si="2"/>
        <v>809970000</v>
      </c>
      <c r="G23" s="143" t="s">
        <v>438</v>
      </c>
      <c r="H23" s="178">
        <v>21315</v>
      </c>
      <c r="I23" s="179"/>
      <c r="J23" s="180">
        <v>38000</v>
      </c>
      <c r="K23" s="181">
        <f t="shared" si="3"/>
        <v>133122.18999999907</v>
      </c>
      <c r="L23" s="145"/>
    </row>
    <row r="24" spans="1:12" s="125" customFormat="1" ht="17.25" hidden="1" customHeight="1">
      <c r="A24" s="125">
        <f t="shared" si="0"/>
        <v>1</v>
      </c>
      <c r="B24" s="140">
        <v>42023</v>
      </c>
      <c r="C24" s="141" t="s">
        <v>368</v>
      </c>
      <c r="D24" s="140">
        <f t="shared" si="1"/>
        <v>42023</v>
      </c>
      <c r="E24" s="142" t="s">
        <v>447</v>
      </c>
      <c r="F24" s="145">
        <f t="shared" si="2"/>
        <v>3456014.0999999996</v>
      </c>
      <c r="G24" s="143" t="s">
        <v>374</v>
      </c>
      <c r="H24" s="178">
        <v>21315</v>
      </c>
      <c r="I24" s="179"/>
      <c r="J24" s="180">
        <v>162.13999999999999</v>
      </c>
      <c r="K24" s="181">
        <f t="shared" si="3"/>
        <v>132960.04999999906</v>
      </c>
      <c r="L24" s="145"/>
    </row>
    <row r="25" spans="1:12" s="125" customFormat="1" ht="17.25" hidden="1" customHeight="1">
      <c r="A25" s="125">
        <f t="shared" si="0"/>
        <v>1</v>
      </c>
      <c r="B25" s="140">
        <v>42023</v>
      </c>
      <c r="C25" s="141" t="s">
        <v>368</v>
      </c>
      <c r="D25" s="140">
        <f t="shared" si="1"/>
        <v>42023</v>
      </c>
      <c r="E25" s="142" t="s">
        <v>448</v>
      </c>
      <c r="F25" s="145">
        <f t="shared" si="2"/>
        <v>4096742.9999999995</v>
      </c>
      <c r="G25" s="141" t="s">
        <v>374</v>
      </c>
      <c r="H25" s="178">
        <v>21315</v>
      </c>
      <c r="I25" s="179"/>
      <c r="J25" s="180">
        <v>192.2</v>
      </c>
      <c r="K25" s="181">
        <f t="shared" si="3"/>
        <v>132767.84999999905</v>
      </c>
      <c r="L25" s="145"/>
    </row>
    <row r="26" spans="1:12" s="125" customFormat="1" ht="17.25" hidden="1" customHeight="1">
      <c r="A26" s="125">
        <f t="shared" si="0"/>
        <v>1</v>
      </c>
      <c r="B26" s="140">
        <v>42023</v>
      </c>
      <c r="C26" s="141" t="s">
        <v>368</v>
      </c>
      <c r="D26" s="140">
        <f t="shared" si="1"/>
        <v>42023</v>
      </c>
      <c r="E26" s="142" t="s">
        <v>449</v>
      </c>
      <c r="F26" s="145">
        <f t="shared" si="2"/>
        <v>4481691.8999999994</v>
      </c>
      <c r="G26" s="141" t="s">
        <v>374</v>
      </c>
      <c r="H26" s="178">
        <v>21315</v>
      </c>
      <c r="I26" s="179"/>
      <c r="J26" s="180">
        <v>210.26</v>
      </c>
      <c r="K26" s="181">
        <f t="shared" si="3"/>
        <v>132557.58999999904</v>
      </c>
      <c r="L26" s="145"/>
    </row>
    <row r="27" spans="1:12" s="125" customFormat="1" ht="17.25" hidden="1" customHeight="1">
      <c r="A27" s="125">
        <f t="shared" si="0"/>
        <v>1</v>
      </c>
      <c r="B27" s="140">
        <v>42023</v>
      </c>
      <c r="C27" s="141" t="s">
        <v>368</v>
      </c>
      <c r="D27" s="140">
        <f t="shared" si="1"/>
        <v>42023</v>
      </c>
      <c r="E27" s="142" t="s">
        <v>450</v>
      </c>
      <c r="F27" s="145">
        <f t="shared" si="2"/>
        <v>7929180</v>
      </c>
      <c r="G27" s="141" t="s">
        <v>374</v>
      </c>
      <c r="H27" s="178">
        <v>21315</v>
      </c>
      <c r="I27" s="179"/>
      <c r="J27" s="179">
        <v>372</v>
      </c>
      <c r="K27" s="181">
        <f t="shared" si="3"/>
        <v>132185.58999999904</v>
      </c>
      <c r="L27" s="145"/>
    </row>
    <row r="28" spans="1:12" s="125" customFormat="1" ht="17.25" hidden="1" customHeight="1">
      <c r="A28" s="125">
        <f t="shared" si="0"/>
        <v>1</v>
      </c>
      <c r="B28" s="140">
        <v>42023</v>
      </c>
      <c r="C28" s="141" t="s">
        <v>368</v>
      </c>
      <c r="D28" s="140">
        <f t="shared" si="1"/>
        <v>42023</v>
      </c>
      <c r="E28" s="142" t="s">
        <v>423</v>
      </c>
      <c r="F28" s="145">
        <f t="shared" si="2"/>
        <v>6079038</v>
      </c>
      <c r="G28" s="143" t="s">
        <v>374</v>
      </c>
      <c r="H28" s="178">
        <v>21315</v>
      </c>
      <c r="I28" s="179"/>
      <c r="J28" s="180">
        <v>285.2</v>
      </c>
      <c r="K28" s="181">
        <f t="shared" si="3"/>
        <v>131900.38999999902</v>
      </c>
      <c r="L28" s="145"/>
    </row>
    <row r="29" spans="1:12" s="125" customFormat="1" ht="17.25" hidden="1" customHeight="1">
      <c r="A29" s="125">
        <f t="shared" si="0"/>
        <v>1</v>
      </c>
      <c r="B29" s="140">
        <v>42023</v>
      </c>
      <c r="C29" s="141" t="s">
        <v>368</v>
      </c>
      <c r="D29" s="140">
        <f t="shared" si="1"/>
        <v>42023</v>
      </c>
      <c r="E29" s="142" t="s">
        <v>422</v>
      </c>
      <c r="F29" s="145">
        <f t="shared" si="2"/>
        <v>8149363.9499999993</v>
      </c>
      <c r="G29" s="141" t="s">
        <v>374</v>
      </c>
      <c r="H29" s="178">
        <v>21315</v>
      </c>
      <c r="I29" s="179"/>
      <c r="J29" s="180">
        <v>382.33</v>
      </c>
      <c r="K29" s="181">
        <f t="shared" si="3"/>
        <v>131518.05999999904</v>
      </c>
      <c r="L29" s="145"/>
    </row>
    <row r="30" spans="1:12" s="125" customFormat="1" ht="17.25" hidden="1" customHeight="1">
      <c r="A30" s="125">
        <f t="shared" si="0"/>
        <v>1</v>
      </c>
      <c r="B30" s="140">
        <v>42024</v>
      </c>
      <c r="C30" s="141" t="s">
        <v>368</v>
      </c>
      <c r="D30" s="140">
        <f t="shared" si="1"/>
        <v>42024</v>
      </c>
      <c r="E30" s="142" t="s">
        <v>372</v>
      </c>
      <c r="F30" s="145">
        <f t="shared" si="2"/>
        <v>1281000000</v>
      </c>
      <c r="G30" s="141" t="s">
        <v>36</v>
      </c>
      <c r="H30" s="178">
        <v>21350</v>
      </c>
      <c r="I30" s="179"/>
      <c r="J30" s="180">
        <v>60000</v>
      </c>
      <c r="K30" s="181">
        <f t="shared" si="3"/>
        <v>71518.059999999037</v>
      </c>
      <c r="L30" s="145"/>
    </row>
    <row r="31" spans="1:12" s="125" customFormat="1" ht="17.25" hidden="1" customHeight="1">
      <c r="A31" s="125">
        <f t="shared" si="0"/>
        <v>1</v>
      </c>
      <c r="B31" s="140">
        <v>42026</v>
      </c>
      <c r="C31" s="141" t="s">
        <v>371</v>
      </c>
      <c r="D31" s="140">
        <f t="shared" si="1"/>
        <v>42026</v>
      </c>
      <c r="E31" s="142" t="s">
        <v>436</v>
      </c>
      <c r="F31" s="145">
        <f t="shared" si="2"/>
        <v>213150000</v>
      </c>
      <c r="G31" s="141" t="s">
        <v>370</v>
      </c>
      <c r="H31" s="178">
        <v>21315</v>
      </c>
      <c r="I31" s="179"/>
      <c r="J31" s="180">
        <v>10000</v>
      </c>
      <c r="K31" s="181">
        <f t="shared" si="3"/>
        <v>61518.059999999037</v>
      </c>
      <c r="L31" s="145"/>
    </row>
    <row r="32" spans="1:12" s="125" customFormat="1" ht="17.25" hidden="1" customHeight="1">
      <c r="A32" s="125">
        <f t="shared" si="0"/>
        <v>1</v>
      </c>
      <c r="B32" s="140">
        <v>42028</v>
      </c>
      <c r="C32" s="141" t="s">
        <v>371</v>
      </c>
      <c r="D32" s="140">
        <f t="shared" si="1"/>
        <v>42028</v>
      </c>
      <c r="E32" s="142" t="s">
        <v>413</v>
      </c>
      <c r="F32" s="145">
        <f t="shared" si="2"/>
        <v>53926.95</v>
      </c>
      <c r="G32" s="141" t="s">
        <v>414</v>
      </c>
      <c r="H32" s="178">
        <v>21315</v>
      </c>
      <c r="I32" s="179">
        <v>2.5299999999999998</v>
      </c>
      <c r="J32" s="180"/>
      <c r="K32" s="181">
        <f t="shared" si="3"/>
        <v>61520.589999999036</v>
      </c>
      <c r="L32" s="145"/>
    </row>
    <row r="33" spans="1:14" s="125" customFormat="1" ht="17.25" hidden="1" customHeight="1">
      <c r="A33" s="125">
        <f t="shared" si="0"/>
        <v>1</v>
      </c>
      <c r="B33" s="140">
        <v>42032</v>
      </c>
      <c r="C33" s="141" t="s">
        <v>368</v>
      </c>
      <c r="D33" s="140">
        <f t="shared" si="1"/>
        <v>42032</v>
      </c>
      <c r="E33" s="142" t="s">
        <v>372</v>
      </c>
      <c r="F33" s="145">
        <f t="shared" si="2"/>
        <v>1313025000</v>
      </c>
      <c r="G33" s="143" t="s">
        <v>36</v>
      </c>
      <c r="H33" s="178">
        <v>21350</v>
      </c>
      <c r="I33" s="179"/>
      <c r="J33" s="180">
        <v>61500</v>
      </c>
      <c r="K33" s="181">
        <f t="shared" si="3"/>
        <v>20.589999999036081</v>
      </c>
      <c r="L33" s="145"/>
      <c r="N33" s="139">
        <f>ROUND(M33*H33,0)</f>
        <v>0</v>
      </c>
    </row>
    <row r="34" spans="1:14" s="125" customFormat="1" ht="17.25" hidden="1" customHeight="1">
      <c r="A34" s="125">
        <f t="shared" si="0"/>
        <v>2</v>
      </c>
      <c r="B34" s="140">
        <v>42038</v>
      </c>
      <c r="C34" s="141" t="s">
        <v>371</v>
      </c>
      <c r="D34" s="140">
        <f t="shared" si="1"/>
        <v>42038</v>
      </c>
      <c r="E34" s="142" t="s">
        <v>451</v>
      </c>
      <c r="F34" s="145">
        <f t="shared" si="2"/>
        <v>2285319501</v>
      </c>
      <c r="G34" s="141" t="s">
        <v>442</v>
      </c>
      <c r="H34" s="178">
        <v>21345</v>
      </c>
      <c r="I34" s="179">
        <v>107065.8</v>
      </c>
      <c r="J34" s="180"/>
      <c r="K34" s="181">
        <f t="shared" si="3"/>
        <v>107086.38999999904</v>
      </c>
      <c r="L34" s="145"/>
    </row>
    <row r="35" spans="1:14" s="125" customFormat="1" ht="17.25" hidden="1" customHeight="1">
      <c r="A35" s="125">
        <f t="shared" si="0"/>
        <v>2</v>
      </c>
      <c r="B35" s="140">
        <v>42039</v>
      </c>
      <c r="C35" s="141" t="s">
        <v>371</v>
      </c>
      <c r="D35" s="140">
        <f t="shared" si="1"/>
        <v>42039</v>
      </c>
      <c r="E35" s="142" t="s">
        <v>436</v>
      </c>
      <c r="F35" s="145">
        <f t="shared" si="2"/>
        <v>21345000</v>
      </c>
      <c r="G35" s="141" t="s">
        <v>370</v>
      </c>
      <c r="H35" s="178">
        <v>21345</v>
      </c>
      <c r="I35" s="179">
        <v>1000</v>
      </c>
      <c r="J35" s="179"/>
      <c r="K35" s="181">
        <f t="shared" si="3"/>
        <v>108086.38999999904</v>
      </c>
      <c r="L35" s="145"/>
    </row>
    <row r="36" spans="1:14" s="125" customFormat="1" ht="17.25" hidden="1" customHeight="1">
      <c r="A36" s="125">
        <f t="shared" si="0"/>
        <v>2</v>
      </c>
      <c r="B36" s="140">
        <v>42039</v>
      </c>
      <c r="C36" s="141" t="s">
        <v>371</v>
      </c>
      <c r="D36" s="140">
        <f t="shared" si="1"/>
        <v>42039</v>
      </c>
      <c r="E36" s="142" t="s">
        <v>372</v>
      </c>
      <c r="F36" s="145">
        <f t="shared" si="2"/>
        <v>2305260000</v>
      </c>
      <c r="G36" s="141" t="s">
        <v>36</v>
      </c>
      <c r="H36" s="178">
        <v>21345</v>
      </c>
      <c r="I36" s="179"/>
      <c r="J36" s="180">
        <v>108000</v>
      </c>
      <c r="K36" s="181">
        <f t="shared" si="3"/>
        <v>86.389999999038992</v>
      </c>
      <c r="L36" s="145"/>
    </row>
    <row r="37" spans="1:14" s="125" customFormat="1" ht="17.25" hidden="1" customHeight="1">
      <c r="A37" s="125">
        <f t="shared" si="0"/>
        <v>2</v>
      </c>
      <c r="B37" s="140">
        <v>42049</v>
      </c>
      <c r="C37" s="141" t="s">
        <v>371</v>
      </c>
      <c r="D37" s="140">
        <f t="shared" si="1"/>
        <v>42049</v>
      </c>
      <c r="E37" s="142" t="s">
        <v>441</v>
      </c>
      <c r="F37" s="145">
        <f t="shared" si="2"/>
        <v>4313000796.4499998</v>
      </c>
      <c r="G37" s="143" t="s">
        <v>442</v>
      </c>
      <c r="H37" s="178">
        <v>21345</v>
      </c>
      <c r="I37" s="179">
        <v>202061.41</v>
      </c>
      <c r="J37" s="180"/>
      <c r="K37" s="181">
        <f t="shared" si="3"/>
        <v>202147.79999999906</v>
      </c>
      <c r="L37" s="145"/>
    </row>
    <row r="38" spans="1:14" s="125" customFormat="1" ht="17.25" hidden="1" customHeight="1">
      <c r="A38" s="125">
        <f t="shared" si="0"/>
        <v>2</v>
      </c>
      <c r="B38" s="140">
        <v>42049</v>
      </c>
      <c r="C38" s="141" t="s">
        <v>371</v>
      </c>
      <c r="D38" s="140">
        <f t="shared" si="1"/>
        <v>42049</v>
      </c>
      <c r="E38" s="142" t="s">
        <v>372</v>
      </c>
      <c r="F38" s="145">
        <f t="shared" si="2"/>
        <v>2133000000</v>
      </c>
      <c r="G38" s="141" t="s">
        <v>36</v>
      </c>
      <c r="H38" s="178">
        <v>21330</v>
      </c>
      <c r="I38" s="179"/>
      <c r="J38" s="180">
        <v>100000</v>
      </c>
      <c r="K38" s="181">
        <f t="shared" si="3"/>
        <v>102147.79999999906</v>
      </c>
      <c r="L38" s="145"/>
    </row>
    <row r="39" spans="1:14" s="125" customFormat="1" ht="17.25" hidden="1" customHeight="1">
      <c r="A39" s="125">
        <f t="shared" si="0"/>
        <v>2</v>
      </c>
      <c r="B39" s="140">
        <v>42049</v>
      </c>
      <c r="C39" s="141" t="s">
        <v>368</v>
      </c>
      <c r="D39" s="140">
        <f t="shared" si="1"/>
        <v>42049</v>
      </c>
      <c r="E39" s="142" t="s">
        <v>373</v>
      </c>
      <c r="F39" s="145">
        <f t="shared" si="2"/>
        <v>2364812.5500000003</v>
      </c>
      <c r="G39" s="141" t="s">
        <v>374</v>
      </c>
      <c r="H39" s="178">
        <v>21345</v>
      </c>
      <c r="I39" s="179"/>
      <c r="J39" s="180">
        <v>110.79</v>
      </c>
      <c r="K39" s="181">
        <f t="shared" si="3"/>
        <v>102037.00999999906</v>
      </c>
      <c r="L39" s="145"/>
    </row>
    <row r="40" spans="1:14" s="125" customFormat="1" ht="17.25" hidden="1" customHeight="1">
      <c r="A40" s="125">
        <f t="shared" si="0"/>
        <v>2</v>
      </c>
      <c r="B40" s="140">
        <v>42049</v>
      </c>
      <c r="C40" s="141" t="s">
        <v>368</v>
      </c>
      <c r="D40" s="140">
        <f t="shared" si="1"/>
        <v>42049</v>
      </c>
      <c r="E40" s="142" t="s">
        <v>375</v>
      </c>
      <c r="F40" s="145">
        <f t="shared" si="2"/>
        <v>5608185.2999999998</v>
      </c>
      <c r="G40" s="141" t="s">
        <v>374</v>
      </c>
      <c r="H40" s="178">
        <v>21345</v>
      </c>
      <c r="I40" s="179"/>
      <c r="J40" s="180">
        <v>262.74</v>
      </c>
      <c r="K40" s="181">
        <f t="shared" si="3"/>
        <v>101774.26999999906</v>
      </c>
      <c r="L40" s="145"/>
    </row>
    <row r="41" spans="1:14" s="125" customFormat="1" ht="17.25" hidden="1" customHeight="1">
      <c r="A41" s="125">
        <f t="shared" si="0"/>
        <v>2</v>
      </c>
      <c r="B41" s="140">
        <v>42049</v>
      </c>
      <c r="C41" s="141" t="s">
        <v>368</v>
      </c>
      <c r="D41" s="140">
        <f t="shared" si="1"/>
        <v>42049</v>
      </c>
      <c r="E41" s="142" t="s">
        <v>376</v>
      </c>
      <c r="F41" s="145">
        <f t="shared" si="2"/>
        <v>3486278.85</v>
      </c>
      <c r="G41" s="141" t="s">
        <v>374</v>
      </c>
      <c r="H41" s="178">
        <v>21345</v>
      </c>
      <c r="I41" s="179"/>
      <c r="J41" s="180">
        <v>163.33000000000001</v>
      </c>
      <c r="K41" s="181">
        <f t="shared" si="3"/>
        <v>101610.93999999906</v>
      </c>
      <c r="L41" s="145"/>
    </row>
    <row r="42" spans="1:14" s="125" customFormat="1" ht="17.25" hidden="1" customHeight="1">
      <c r="A42" s="125">
        <f t="shared" si="0"/>
        <v>2</v>
      </c>
      <c r="B42" s="140">
        <v>42049</v>
      </c>
      <c r="C42" s="141" t="s">
        <v>368</v>
      </c>
      <c r="D42" s="140">
        <f t="shared" si="1"/>
        <v>42049</v>
      </c>
      <c r="E42" s="142" t="s">
        <v>377</v>
      </c>
      <c r="F42" s="145">
        <f t="shared" si="2"/>
        <v>4880747.7</v>
      </c>
      <c r="G42" s="141" t="s">
        <v>374</v>
      </c>
      <c r="H42" s="178">
        <v>21345</v>
      </c>
      <c r="I42" s="179"/>
      <c r="J42" s="180">
        <v>228.66</v>
      </c>
      <c r="K42" s="181">
        <f t="shared" si="3"/>
        <v>101382.27999999905</v>
      </c>
      <c r="L42" s="145"/>
    </row>
    <row r="43" spans="1:14" s="125" customFormat="1" ht="17.25" hidden="1" customHeight="1">
      <c r="A43" s="125">
        <f t="shared" si="0"/>
        <v>2</v>
      </c>
      <c r="B43" s="140">
        <v>42059</v>
      </c>
      <c r="C43" s="141" t="s">
        <v>371</v>
      </c>
      <c r="D43" s="140">
        <f t="shared" si="1"/>
        <v>42059</v>
      </c>
      <c r="E43" s="142" t="s">
        <v>452</v>
      </c>
      <c r="F43" s="145">
        <f t="shared" si="2"/>
        <v>80100</v>
      </c>
      <c r="G43" s="141" t="s">
        <v>414</v>
      </c>
      <c r="H43" s="178">
        <v>21360</v>
      </c>
      <c r="I43" s="179">
        <v>3.75</v>
      </c>
      <c r="J43" s="180"/>
      <c r="K43" s="181">
        <f t="shared" si="3"/>
        <v>101386.02999999905</v>
      </c>
      <c r="L43" s="145"/>
    </row>
    <row r="44" spans="1:14" s="125" customFormat="1" ht="17.25" hidden="1" customHeight="1">
      <c r="A44" s="125">
        <f t="shared" si="0"/>
        <v>2</v>
      </c>
      <c r="B44" s="140">
        <v>42059</v>
      </c>
      <c r="C44" s="141" t="s">
        <v>368</v>
      </c>
      <c r="D44" s="140">
        <f t="shared" ref="D44:D75" si="4">IF(B44="","",B44)</f>
        <v>42059</v>
      </c>
      <c r="E44" s="142" t="s">
        <v>436</v>
      </c>
      <c r="F44" s="145">
        <f t="shared" ref="F44:F75" si="5">(I44+J44)*H44</f>
        <v>1185480000</v>
      </c>
      <c r="G44" s="141" t="s">
        <v>370</v>
      </c>
      <c r="H44" s="178">
        <v>21360</v>
      </c>
      <c r="I44" s="179"/>
      <c r="J44" s="180">
        <v>55500</v>
      </c>
      <c r="K44" s="181">
        <f t="shared" si="3"/>
        <v>45886.029999999053</v>
      </c>
      <c r="L44" s="145"/>
    </row>
    <row r="45" spans="1:14" s="125" customFormat="1" ht="17.25" hidden="1" customHeight="1">
      <c r="A45" s="125">
        <f t="shared" si="0"/>
        <v>2</v>
      </c>
      <c r="B45" s="140">
        <v>42059</v>
      </c>
      <c r="C45" s="141" t="s">
        <v>368</v>
      </c>
      <c r="D45" s="140">
        <f t="shared" si="4"/>
        <v>42059</v>
      </c>
      <c r="E45" s="142" t="s">
        <v>448</v>
      </c>
      <c r="F45" s="145">
        <f t="shared" si="5"/>
        <v>4105391.9999999995</v>
      </c>
      <c r="G45" s="141" t="s">
        <v>374</v>
      </c>
      <c r="H45" s="178">
        <v>21360</v>
      </c>
      <c r="I45" s="179"/>
      <c r="J45" s="180">
        <v>192.2</v>
      </c>
      <c r="K45" s="181">
        <f t="shared" si="3"/>
        <v>45693.829999999056</v>
      </c>
      <c r="L45" s="145"/>
    </row>
    <row r="46" spans="1:14" s="125" customFormat="1" ht="17.25" hidden="1" customHeight="1">
      <c r="A46" s="125">
        <f t="shared" si="0"/>
        <v>2</v>
      </c>
      <c r="B46" s="140">
        <v>42059</v>
      </c>
      <c r="C46" s="141" t="s">
        <v>368</v>
      </c>
      <c r="D46" s="140">
        <f t="shared" si="4"/>
        <v>42059</v>
      </c>
      <c r="E46" s="142" t="s">
        <v>449</v>
      </c>
      <c r="F46" s="145">
        <f t="shared" si="5"/>
        <v>4491153.5999999996</v>
      </c>
      <c r="G46" s="141" t="s">
        <v>374</v>
      </c>
      <c r="H46" s="178">
        <v>21360</v>
      </c>
      <c r="I46" s="179"/>
      <c r="J46" s="180">
        <v>210.26</v>
      </c>
      <c r="K46" s="181">
        <f t="shared" si="3"/>
        <v>45483.569999999054</v>
      </c>
      <c r="L46" s="145"/>
    </row>
    <row r="47" spans="1:14" s="125" customFormat="1" ht="17.25" hidden="1" customHeight="1">
      <c r="A47" s="125">
        <f t="shared" si="0"/>
        <v>2</v>
      </c>
      <c r="B47" s="140">
        <v>42059</v>
      </c>
      <c r="C47" s="141" t="s">
        <v>368</v>
      </c>
      <c r="D47" s="140">
        <f t="shared" si="4"/>
        <v>42059</v>
      </c>
      <c r="E47" s="142" t="s">
        <v>450</v>
      </c>
      <c r="F47" s="145">
        <f t="shared" si="5"/>
        <v>7945920</v>
      </c>
      <c r="G47" s="141" t="s">
        <v>374</v>
      </c>
      <c r="H47" s="178">
        <v>21360</v>
      </c>
      <c r="I47" s="179"/>
      <c r="J47" s="180">
        <v>372</v>
      </c>
      <c r="K47" s="181">
        <f t="shared" si="3"/>
        <v>45111.569999999054</v>
      </c>
      <c r="L47" s="145"/>
    </row>
    <row r="48" spans="1:14" s="125" customFormat="1" ht="17.25" hidden="1" customHeight="1">
      <c r="A48" s="125">
        <f t="shared" si="0"/>
        <v>2</v>
      </c>
      <c r="B48" s="140">
        <v>42059</v>
      </c>
      <c r="C48" s="141" t="s">
        <v>368</v>
      </c>
      <c r="D48" s="140">
        <f t="shared" si="4"/>
        <v>42059</v>
      </c>
      <c r="E48" s="142" t="s">
        <v>422</v>
      </c>
      <c r="F48" s="145">
        <f t="shared" si="5"/>
        <v>8166568.7999999998</v>
      </c>
      <c r="G48" s="141" t="s">
        <v>374</v>
      </c>
      <c r="H48" s="178">
        <v>21360</v>
      </c>
      <c r="I48" s="179"/>
      <c r="J48" s="180">
        <v>382.33</v>
      </c>
      <c r="K48" s="181">
        <f t="shared" si="3"/>
        <v>44729.239999999052</v>
      </c>
      <c r="L48" s="145"/>
    </row>
    <row r="49" spans="1:13" s="125" customFormat="1" ht="17.25" hidden="1" customHeight="1">
      <c r="A49" s="125">
        <f t="shared" si="0"/>
        <v>2</v>
      </c>
      <c r="B49" s="140">
        <v>42059</v>
      </c>
      <c r="C49" s="141" t="s">
        <v>368</v>
      </c>
      <c r="D49" s="140">
        <f t="shared" si="4"/>
        <v>42059</v>
      </c>
      <c r="E49" s="142" t="s">
        <v>423</v>
      </c>
      <c r="F49" s="145">
        <f t="shared" si="5"/>
        <v>6091872</v>
      </c>
      <c r="G49" s="141" t="s">
        <v>374</v>
      </c>
      <c r="H49" s="178">
        <v>21360</v>
      </c>
      <c r="I49" s="179"/>
      <c r="J49" s="180">
        <v>285.2</v>
      </c>
      <c r="K49" s="181">
        <f t="shared" si="3"/>
        <v>44444.039999999055</v>
      </c>
      <c r="L49" s="145"/>
    </row>
    <row r="50" spans="1:13" s="125" customFormat="1" ht="17.25" hidden="1" customHeight="1">
      <c r="A50" s="125">
        <f t="shared" si="0"/>
        <v>2</v>
      </c>
      <c r="B50" s="140">
        <v>42059</v>
      </c>
      <c r="C50" s="141" t="s">
        <v>368</v>
      </c>
      <c r="D50" s="140">
        <f t="shared" si="4"/>
        <v>42059</v>
      </c>
      <c r="E50" s="142" t="s">
        <v>424</v>
      </c>
      <c r="F50" s="145">
        <f t="shared" si="5"/>
        <v>11164231.199999999</v>
      </c>
      <c r="G50" s="141" t="s">
        <v>374</v>
      </c>
      <c r="H50" s="178">
        <v>21360</v>
      </c>
      <c r="I50" s="179"/>
      <c r="J50" s="180">
        <v>522.66999999999996</v>
      </c>
      <c r="K50" s="181">
        <f t="shared" si="3"/>
        <v>43921.369999999057</v>
      </c>
      <c r="L50" s="145"/>
    </row>
    <row r="51" spans="1:13" s="125" customFormat="1" ht="17.25" hidden="1" customHeight="1">
      <c r="A51" s="125">
        <f t="shared" si="0"/>
        <v>2</v>
      </c>
      <c r="B51" s="140">
        <v>42059</v>
      </c>
      <c r="C51" s="141" t="s">
        <v>368</v>
      </c>
      <c r="D51" s="140">
        <f t="shared" si="4"/>
        <v>42059</v>
      </c>
      <c r="E51" s="142" t="s">
        <v>425</v>
      </c>
      <c r="F51" s="145">
        <f t="shared" si="5"/>
        <v>2943408.0000000005</v>
      </c>
      <c r="G51" s="141" t="s">
        <v>374</v>
      </c>
      <c r="H51" s="178">
        <v>21360</v>
      </c>
      <c r="I51" s="179"/>
      <c r="J51" s="180">
        <v>137.80000000000001</v>
      </c>
      <c r="K51" s="181">
        <f t="shared" si="3"/>
        <v>43783.569999999054</v>
      </c>
      <c r="L51" s="145"/>
    </row>
    <row r="52" spans="1:13" s="125" customFormat="1" ht="17.25" hidden="1" customHeight="1">
      <c r="A52" s="125">
        <f t="shared" si="0"/>
        <v>2</v>
      </c>
      <c r="B52" s="140">
        <v>42059</v>
      </c>
      <c r="C52" s="141" t="s">
        <v>368</v>
      </c>
      <c r="D52" s="140">
        <f t="shared" si="4"/>
        <v>42059</v>
      </c>
      <c r="E52" s="142" t="s">
        <v>426</v>
      </c>
      <c r="F52" s="145">
        <f t="shared" si="5"/>
        <v>6070512</v>
      </c>
      <c r="G52" s="141" t="s">
        <v>374</v>
      </c>
      <c r="H52" s="178">
        <v>21360</v>
      </c>
      <c r="I52" s="179"/>
      <c r="J52" s="180">
        <v>284.2</v>
      </c>
      <c r="K52" s="181">
        <f t="shared" si="3"/>
        <v>43499.369999999057</v>
      </c>
      <c r="L52" s="145"/>
    </row>
    <row r="53" spans="1:13" s="125" customFormat="1" ht="17.25" hidden="1" customHeight="1">
      <c r="A53" s="125">
        <f t="shared" si="0"/>
        <v>2</v>
      </c>
      <c r="B53" s="140">
        <v>42059</v>
      </c>
      <c r="C53" s="141" t="s">
        <v>368</v>
      </c>
      <c r="D53" s="140">
        <f t="shared" si="4"/>
        <v>42059</v>
      </c>
      <c r="E53" s="142" t="s">
        <v>427</v>
      </c>
      <c r="F53" s="145">
        <f t="shared" si="5"/>
        <v>6000664.7999999998</v>
      </c>
      <c r="G53" s="141" t="s">
        <v>374</v>
      </c>
      <c r="H53" s="178">
        <v>21360</v>
      </c>
      <c r="I53" s="179"/>
      <c r="J53" s="180">
        <v>280.93</v>
      </c>
      <c r="K53" s="181">
        <f t="shared" si="3"/>
        <v>43218.439999999056</v>
      </c>
      <c r="L53" s="145"/>
    </row>
    <row r="54" spans="1:13" s="125" customFormat="1" ht="17.25" hidden="1" customHeight="1">
      <c r="A54" s="125">
        <f t="shared" si="0"/>
        <v>2</v>
      </c>
      <c r="B54" s="140">
        <v>42061</v>
      </c>
      <c r="C54" s="141" t="s">
        <v>371</v>
      </c>
      <c r="D54" s="140">
        <f t="shared" si="4"/>
        <v>42061</v>
      </c>
      <c r="E54" s="142" t="s">
        <v>372</v>
      </c>
      <c r="F54" s="145">
        <f t="shared" si="5"/>
        <v>918480000</v>
      </c>
      <c r="G54" s="141" t="s">
        <v>36</v>
      </c>
      <c r="H54" s="178">
        <v>21360</v>
      </c>
      <c r="I54" s="179"/>
      <c r="J54" s="180">
        <v>43000</v>
      </c>
      <c r="K54" s="181">
        <f t="shared" si="3"/>
        <v>218.43999999905645</v>
      </c>
      <c r="L54" s="145"/>
    </row>
    <row r="55" spans="1:13" s="125" customFormat="1" ht="17.25" hidden="1" customHeight="1">
      <c r="A55" s="125">
        <f t="shared" si="0"/>
        <v>2</v>
      </c>
      <c r="B55" s="140">
        <v>42062</v>
      </c>
      <c r="C55" s="141" t="s">
        <v>371</v>
      </c>
      <c r="D55" s="140">
        <f t="shared" si="4"/>
        <v>42062</v>
      </c>
      <c r="E55" s="142" t="s">
        <v>451</v>
      </c>
      <c r="F55" s="145">
        <f t="shared" si="5"/>
        <v>1494061556.4000001</v>
      </c>
      <c r="G55" s="141" t="s">
        <v>442</v>
      </c>
      <c r="H55" s="178">
        <v>21330</v>
      </c>
      <c r="I55" s="179">
        <v>70045.08</v>
      </c>
      <c r="J55" s="180"/>
      <c r="K55" s="181">
        <f t="shared" si="3"/>
        <v>70263.519999999058</v>
      </c>
      <c r="L55" s="145"/>
    </row>
    <row r="56" spans="1:13" s="125" customFormat="1" ht="17.25" hidden="1" customHeight="1">
      <c r="A56" s="125">
        <f t="shared" si="0"/>
        <v>2</v>
      </c>
      <c r="B56" s="140">
        <v>42062</v>
      </c>
      <c r="C56" s="141" t="s">
        <v>371</v>
      </c>
      <c r="D56" s="140">
        <f t="shared" si="4"/>
        <v>42062</v>
      </c>
      <c r="E56" s="142" t="s">
        <v>451</v>
      </c>
      <c r="F56" s="145">
        <f t="shared" si="5"/>
        <v>663124104</v>
      </c>
      <c r="G56" s="141" t="s">
        <v>442</v>
      </c>
      <c r="H56" s="178">
        <v>21330</v>
      </c>
      <c r="I56" s="179">
        <v>31088.799999999999</v>
      </c>
      <c r="J56" s="180"/>
      <c r="K56" s="181">
        <f t="shared" si="3"/>
        <v>101352.31999999906</v>
      </c>
      <c r="L56" s="145"/>
    </row>
    <row r="57" spans="1:13" s="125" customFormat="1" ht="17.25" hidden="1" customHeight="1">
      <c r="A57" s="125">
        <f t="shared" si="0"/>
        <v>2</v>
      </c>
      <c r="B57" s="140">
        <v>42063</v>
      </c>
      <c r="C57" s="141" t="s">
        <v>368</v>
      </c>
      <c r="D57" s="140">
        <f t="shared" si="4"/>
        <v>42063</v>
      </c>
      <c r="E57" s="142" t="s">
        <v>453</v>
      </c>
      <c r="F57" s="145">
        <f t="shared" si="5"/>
        <v>991845000</v>
      </c>
      <c r="G57" s="143" t="s">
        <v>438</v>
      </c>
      <c r="H57" s="178">
        <v>21330</v>
      </c>
      <c r="I57" s="179"/>
      <c r="J57" s="180">
        <v>46500</v>
      </c>
      <c r="K57" s="181">
        <f t="shared" si="3"/>
        <v>54852.319999999061</v>
      </c>
      <c r="L57" s="145"/>
    </row>
    <row r="58" spans="1:13" s="125" customFormat="1" ht="17.25" hidden="1" customHeight="1">
      <c r="A58" s="125">
        <f t="shared" si="0"/>
        <v>2</v>
      </c>
      <c r="B58" s="140">
        <v>42063</v>
      </c>
      <c r="C58" s="141" t="s">
        <v>368</v>
      </c>
      <c r="D58" s="140">
        <f t="shared" si="4"/>
        <v>42063</v>
      </c>
      <c r="E58" s="142" t="s">
        <v>454</v>
      </c>
      <c r="F58" s="145">
        <f t="shared" si="5"/>
        <v>1322460</v>
      </c>
      <c r="G58" s="141" t="s">
        <v>374</v>
      </c>
      <c r="H58" s="178">
        <v>21330</v>
      </c>
      <c r="I58" s="179"/>
      <c r="J58" s="180">
        <v>62</v>
      </c>
      <c r="K58" s="181">
        <f t="shared" si="3"/>
        <v>54790.319999999061</v>
      </c>
      <c r="L58" s="145"/>
    </row>
    <row r="59" spans="1:13" s="125" customFormat="1" ht="17.25" hidden="1" customHeight="1">
      <c r="A59" s="125">
        <f t="shared" si="0"/>
        <v>2</v>
      </c>
      <c r="B59" s="140">
        <v>42063</v>
      </c>
      <c r="C59" s="141" t="s">
        <v>368</v>
      </c>
      <c r="D59" s="140">
        <f t="shared" si="4"/>
        <v>42063</v>
      </c>
      <c r="E59" s="142" t="s">
        <v>455</v>
      </c>
      <c r="F59" s="145">
        <f t="shared" si="5"/>
        <v>1085057100</v>
      </c>
      <c r="G59" s="143" t="s">
        <v>438</v>
      </c>
      <c r="H59" s="178">
        <v>21330</v>
      </c>
      <c r="I59" s="179"/>
      <c r="J59" s="180">
        <v>50870</v>
      </c>
      <c r="K59" s="181">
        <f t="shared" si="3"/>
        <v>3920.3199999990611</v>
      </c>
      <c r="L59" s="145"/>
    </row>
    <row r="60" spans="1:13" s="125" customFormat="1" ht="17.25" hidden="1" customHeight="1">
      <c r="A60" s="125">
        <f t="shared" si="0"/>
        <v>2</v>
      </c>
      <c r="B60" s="140">
        <v>42063</v>
      </c>
      <c r="C60" s="141" t="s">
        <v>368</v>
      </c>
      <c r="D60" s="140">
        <f t="shared" si="4"/>
        <v>42063</v>
      </c>
      <c r="E60" s="142" t="s">
        <v>456</v>
      </c>
      <c r="F60" s="145">
        <f t="shared" si="5"/>
        <v>1446813.9</v>
      </c>
      <c r="G60" s="141" t="s">
        <v>374</v>
      </c>
      <c r="H60" s="178">
        <v>21330</v>
      </c>
      <c r="I60" s="179"/>
      <c r="J60" s="180">
        <v>67.83</v>
      </c>
      <c r="K60" s="181">
        <f t="shared" si="3"/>
        <v>3852.4899999990612</v>
      </c>
      <c r="L60" s="145"/>
      <c r="M60" s="139"/>
    </row>
    <row r="61" spans="1:13" s="125" customFormat="1" ht="17.25" hidden="1" customHeight="1">
      <c r="A61" s="125">
        <f t="shared" si="0"/>
        <v>3</v>
      </c>
      <c r="B61" s="140">
        <v>42065</v>
      </c>
      <c r="C61" s="141" t="s">
        <v>368</v>
      </c>
      <c r="D61" s="140">
        <f t="shared" si="4"/>
        <v>42065</v>
      </c>
      <c r="E61" s="142" t="s">
        <v>457</v>
      </c>
      <c r="F61" s="145">
        <f t="shared" si="5"/>
        <v>2077355000</v>
      </c>
      <c r="G61" s="143" t="s">
        <v>438</v>
      </c>
      <c r="H61" s="178">
        <v>21350</v>
      </c>
      <c r="I61" s="179">
        <v>97300</v>
      </c>
      <c r="J61" s="180"/>
      <c r="K61" s="181">
        <f t="shared" si="3"/>
        <v>101152.48999999906</v>
      </c>
      <c r="L61" s="145"/>
    </row>
    <row r="62" spans="1:13" s="125" customFormat="1" ht="17.25" hidden="1" customHeight="1">
      <c r="A62" s="125">
        <f t="shared" si="0"/>
        <v>3</v>
      </c>
      <c r="B62" s="140">
        <v>42065</v>
      </c>
      <c r="C62" s="141" t="s">
        <v>368</v>
      </c>
      <c r="D62" s="140">
        <f t="shared" si="4"/>
        <v>42065</v>
      </c>
      <c r="E62" s="142" t="s">
        <v>372</v>
      </c>
      <c r="F62" s="145">
        <f t="shared" si="5"/>
        <v>2077355000</v>
      </c>
      <c r="G62" s="143" t="s">
        <v>36</v>
      </c>
      <c r="H62" s="178">
        <v>21350</v>
      </c>
      <c r="I62" s="179"/>
      <c r="J62" s="180">
        <v>97300</v>
      </c>
      <c r="K62" s="181">
        <f t="shared" si="3"/>
        <v>3852.4899999990594</v>
      </c>
      <c r="L62" s="145"/>
    </row>
    <row r="63" spans="1:13" s="125" customFormat="1" ht="17.25" hidden="1" customHeight="1">
      <c r="A63" s="125">
        <f t="shared" si="0"/>
        <v>3</v>
      </c>
      <c r="B63" s="140">
        <v>42066</v>
      </c>
      <c r="C63" s="141" t="s">
        <v>371</v>
      </c>
      <c r="D63" s="140">
        <f t="shared" si="4"/>
        <v>42066</v>
      </c>
      <c r="E63" s="142" t="s">
        <v>451</v>
      </c>
      <c r="F63" s="145">
        <f t="shared" si="5"/>
        <v>899727555.60000002</v>
      </c>
      <c r="G63" s="143" t="s">
        <v>442</v>
      </c>
      <c r="H63" s="178">
        <v>21330</v>
      </c>
      <c r="I63" s="179">
        <v>42181.32</v>
      </c>
      <c r="J63" s="180"/>
      <c r="K63" s="181">
        <f t="shared" si="3"/>
        <v>46033.809999999059</v>
      </c>
      <c r="L63" s="145"/>
    </row>
    <row r="64" spans="1:13" s="125" customFormat="1" ht="17.25" hidden="1" customHeight="1">
      <c r="A64" s="125">
        <f t="shared" si="0"/>
        <v>3</v>
      </c>
      <c r="B64" s="140">
        <v>42067</v>
      </c>
      <c r="C64" s="141" t="s">
        <v>371</v>
      </c>
      <c r="D64" s="140">
        <f t="shared" si="4"/>
        <v>42067</v>
      </c>
      <c r="E64" s="142" t="s">
        <v>451</v>
      </c>
      <c r="F64" s="145">
        <f t="shared" si="5"/>
        <v>1010141874.0000001</v>
      </c>
      <c r="G64" s="143" t="s">
        <v>442</v>
      </c>
      <c r="H64" s="178">
        <v>21330</v>
      </c>
      <c r="I64" s="179">
        <v>47357.8</v>
      </c>
      <c r="J64" s="180"/>
      <c r="K64" s="181">
        <f t="shared" si="3"/>
        <v>93391.609999999055</v>
      </c>
      <c r="L64" s="145"/>
    </row>
    <row r="65" spans="1:12" s="125" customFormat="1" ht="17.25" hidden="1" customHeight="1">
      <c r="A65" s="125">
        <f t="shared" si="0"/>
        <v>3</v>
      </c>
      <c r="B65" s="140">
        <v>42067</v>
      </c>
      <c r="C65" s="141" t="s">
        <v>371</v>
      </c>
      <c r="D65" s="140">
        <f t="shared" si="4"/>
        <v>42067</v>
      </c>
      <c r="E65" s="142" t="s">
        <v>451</v>
      </c>
      <c r="F65" s="145">
        <f t="shared" si="5"/>
        <v>462710623.5</v>
      </c>
      <c r="G65" s="143" t="s">
        <v>442</v>
      </c>
      <c r="H65" s="178">
        <v>21330</v>
      </c>
      <c r="I65" s="179">
        <v>21692.95</v>
      </c>
      <c r="J65" s="180"/>
      <c r="K65" s="181">
        <f t="shared" si="3"/>
        <v>115084.55999999905</v>
      </c>
      <c r="L65" s="145"/>
    </row>
    <row r="66" spans="1:12" s="125" customFormat="1" ht="18" hidden="1" customHeight="1">
      <c r="A66" s="125">
        <f t="shared" si="0"/>
        <v>3</v>
      </c>
      <c r="B66" s="140">
        <v>42069</v>
      </c>
      <c r="C66" s="141" t="s">
        <v>368</v>
      </c>
      <c r="D66" s="140">
        <f t="shared" si="4"/>
        <v>42069</v>
      </c>
      <c r="E66" s="142" t="s">
        <v>373</v>
      </c>
      <c r="F66" s="145">
        <f t="shared" si="5"/>
        <v>2084794.2</v>
      </c>
      <c r="G66" s="143" t="s">
        <v>374</v>
      </c>
      <c r="H66" s="178">
        <v>21330</v>
      </c>
      <c r="I66" s="179"/>
      <c r="J66" s="180">
        <v>97.74</v>
      </c>
      <c r="K66" s="181">
        <f t="shared" si="3"/>
        <v>114986.81999999905</v>
      </c>
      <c r="L66" s="145"/>
    </row>
    <row r="67" spans="1:12" s="125" customFormat="1" ht="18" hidden="1" customHeight="1">
      <c r="A67" s="125">
        <f t="shared" si="0"/>
        <v>3</v>
      </c>
      <c r="B67" s="140">
        <v>42069</v>
      </c>
      <c r="C67" s="141" t="s">
        <v>368</v>
      </c>
      <c r="D67" s="140">
        <f t="shared" si="4"/>
        <v>42069</v>
      </c>
      <c r="E67" s="142" t="s">
        <v>375</v>
      </c>
      <c r="F67" s="145">
        <f t="shared" si="5"/>
        <v>4944507.3</v>
      </c>
      <c r="G67" s="143" t="s">
        <v>374</v>
      </c>
      <c r="H67" s="178">
        <v>21330</v>
      </c>
      <c r="I67" s="179"/>
      <c r="J67" s="180">
        <v>231.81</v>
      </c>
      <c r="K67" s="181">
        <f t="shared" si="3"/>
        <v>114755.00999999905</v>
      </c>
      <c r="L67" s="145"/>
    </row>
    <row r="68" spans="1:12" s="125" customFormat="1" ht="18" hidden="1" customHeight="1">
      <c r="A68" s="125">
        <f t="shared" si="0"/>
        <v>3</v>
      </c>
      <c r="B68" s="140">
        <v>42069</v>
      </c>
      <c r="C68" s="141" t="s">
        <v>368</v>
      </c>
      <c r="D68" s="140">
        <f t="shared" si="4"/>
        <v>42069</v>
      </c>
      <c r="E68" s="142" t="s">
        <v>376</v>
      </c>
      <c r="F68" s="145">
        <f t="shared" si="5"/>
        <v>3073866.3000000003</v>
      </c>
      <c r="G68" s="143" t="s">
        <v>374</v>
      </c>
      <c r="H68" s="178">
        <v>21330</v>
      </c>
      <c r="I68" s="179"/>
      <c r="J68" s="180">
        <v>144.11000000000001</v>
      </c>
      <c r="K68" s="181">
        <f t="shared" si="3"/>
        <v>114610.89999999905</v>
      </c>
      <c r="L68" s="145"/>
    </row>
    <row r="69" spans="1:12" s="125" customFormat="1" ht="18" hidden="1" customHeight="1">
      <c r="A69" s="125">
        <f t="shared" si="0"/>
        <v>3</v>
      </c>
      <c r="B69" s="140">
        <v>42069</v>
      </c>
      <c r="C69" s="141" t="s">
        <v>368</v>
      </c>
      <c r="D69" s="140">
        <f t="shared" si="4"/>
        <v>42069</v>
      </c>
      <c r="E69" s="142" t="s">
        <v>377</v>
      </c>
      <c r="F69" s="145">
        <f t="shared" si="5"/>
        <v>4303114.2</v>
      </c>
      <c r="G69" s="143" t="s">
        <v>374</v>
      </c>
      <c r="H69" s="178">
        <v>21330</v>
      </c>
      <c r="I69" s="179"/>
      <c r="J69" s="180">
        <v>201.74</v>
      </c>
      <c r="K69" s="181">
        <f t="shared" si="3"/>
        <v>114409.15999999904</v>
      </c>
      <c r="L69" s="145"/>
    </row>
    <row r="70" spans="1:12" s="125" customFormat="1" ht="18" hidden="1" customHeight="1">
      <c r="A70" s="125">
        <f t="shared" si="0"/>
        <v>3</v>
      </c>
      <c r="B70" s="140">
        <v>42072</v>
      </c>
      <c r="C70" s="141" t="s">
        <v>368</v>
      </c>
      <c r="D70" s="140">
        <f t="shared" si="4"/>
        <v>42072</v>
      </c>
      <c r="E70" s="142" t="s">
        <v>458</v>
      </c>
      <c r="F70" s="145">
        <f t="shared" si="5"/>
        <v>1921500000</v>
      </c>
      <c r="G70" s="143" t="s">
        <v>438</v>
      </c>
      <c r="H70" s="178">
        <v>21350</v>
      </c>
      <c r="I70" s="179"/>
      <c r="J70" s="180">
        <v>90000</v>
      </c>
      <c r="K70" s="181">
        <f t="shared" si="3"/>
        <v>24409.159999999043</v>
      </c>
      <c r="L70" s="145"/>
    </row>
    <row r="71" spans="1:12" s="125" customFormat="1" ht="18" hidden="1" customHeight="1">
      <c r="A71" s="125">
        <f t="shared" si="0"/>
        <v>3</v>
      </c>
      <c r="B71" s="140">
        <v>42072</v>
      </c>
      <c r="C71" s="141" t="s">
        <v>368</v>
      </c>
      <c r="D71" s="140">
        <f t="shared" si="4"/>
        <v>42072</v>
      </c>
      <c r="E71" s="142" t="s">
        <v>459</v>
      </c>
      <c r="F71" s="145">
        <f t="shared" si="5"/>
        <v>4867800</v>
      </c>
      <c r="G71" s="143">
        <v>635</v>
      </c>
      <c r="H71" s="178">
        <v>21350</v>
      </c>
      <c r="I71" s="179"/>
      <c r="J71" s="180">
        <v>228</v>
      </c>
      <c r="K71" s="181">
        <f t="shared" si="3"/>
        <v>24181.159999999043</v>
      </c>
      <c r="L71" s="145"/>
    </row>
    <row r="72" spans="1:12" s="125" customFormat="1" ht="18" hidden="1" customHeight="1">
      <c r="A72" s="125">
        <f t="shared" si="0"/>
        <v>3</v>
      </c>
      <c r="B72" s="140">
        <v>42072</v>
      </c>
      <c r="C72" s="141" t="s">
        <v>368</v>
      </c>
      <c r="D72" s="140">
        <f t="shared" si="4"/>
        <v>42072</v>
      </c>
      <c r="E72" s="142" t="s">
        <v>372</v>
      </c>
      <c r="F72" s="145">
        <f t="shared" si="5"/>
        <v>514535000</v>
      </c>
      <c r="G72" s="143" t="s">
        <v>36</v>
      </c>
      <c r="H72" s="178">
        <v>21350</v>
      </c>
      <c r="I72" s="179"/>
      <c r="J72" s="180">
        <v>24100</v>
      </c>
      <c r="K72" s="181">
        <f t="shared" si="3"/>
        <v>81.159999999043066</v>
      </c>
      <c r="L72" s="145"/>
    </row>
    <row r="73" spans="1:12" s="125" customFormat="1" ht="18" hidden="1" customHeight="1">
      <c r="A73" s="125">
        <f t="shared" si="0"/>
        <v>3</v>
      </c>
      <c r="B73" s="140">
        <v>42072</v>
      </c>
      <c r="C73" s="141" t="s">
        <v>368</v>
      </c>
      <c r="D73" s="140">
        <f t="shared" si="4"/>
        <v>42072</v>
      </c>
      <c r="E73" s="142" t="s">
        <v>460</v>
      </c>
      <c r="F73" s="145">
        <f t="shared" si="5"/>
        <v>1921500000</v>
      </c>
      <c r="G73" s="143" t="s">
        <v>438</v>
      </c>
      <c r="H73" s="178">
        <v>21350</v>
      </c>
      <c r="I73" s="179">
        <v>90000</v>
      </c>
      <c r="J73" s="180"/>
      <c r="K73" s="181">
        <f t="shared" si="3"/>
        <v>90081.159999999043</v>
      </c>
      <c r="L73" s="145"/>
    </row>
    <row r="74" spans="1:12" s="125" customFormat="1" ht="18" hidden="1" customHeight="1">
      <c r="A74" s="125">
        <f t="shared" si="0"/>
        <v>3</v>
      </c>
      <c r="B74" s="140">
        <v>42073</v>
      </c>
      <c r="C74" s="141" t="s">
        <v>368</v>
      </c>
      <c r="D74" s="140">
        <f t="shared" si="4"/>
        <v>42073</v>
      </c>
      <c r="E74" s="142" t="s">
        <v>372</v>
      </c>
      <c r="F74" s="145">
        <f t="shared" si="5"/>
        <v>1921500000</v>
      </c>
      <c r="G74" s="143" t="s">
        <v>36</v>
      </c>
      <c r="H74" s="178">
        <v>21350</v>
      </c>
      <c r="I74" s="179"/>
      <c r="J74" s="180">
        <v>90000</v>
      </c>
      <c r="K74" s="181">
        <f t="shared" si="3"/>
        <v>81.159999999043066</v>
      </c>
      <c r="L74" s="145"/>
    </row>
    <row r="75" spans="1:12" s="125" customFormat="1" ht="18" hidden="1" customHeight="1">
      <c r="A75" s="125">
        <f t="shared" si="0"/>
        <v>3</v>
      </c>
      <c r="B75" s="140">
        <v>42075</v>
      </c>
      <c r="C75" s="141" t="s">
        <v>368</v>
      </c>
      <c r="D75" s="140">
        <f t="shared" si="4"/>
        <v>42075</v>
      </c>
      <c r="E75" s="142" t="s">
        <v>461</v>
      </c>
      <c r="F75" s="145">
        <f t="shared" si="5"/>
        <v>320100</v>
      </c>
      <c r="G75" s="143" t="s">
        <v>94</v>
      </c>
      <c r="H75" s="178">
        <v>21340</v>
      </c>
      <c r="I75" s="179"/>
      <c r="J75" s="180">
        <v>15</v>
      </c>
      <c r="K75" s="181">
        <f t="shared" si="3"/>
        <v>66.159999999043066</v>
      </c>
      <c r="L75" s="145"/>
    </row>
    <row r="76" spans="1:12" s="125" customFormat="1" ht="18" hidden="1" customHeight="1">
      <c r="A76" s="125">
        <f t="shared" ref="A76:A139" si="6">IF(B76&lt;&gt;"",MONTH(B76),"")</f>
        <v>3</v>
      </c>
      <c r="B76" s="140">
        <v>42075</v>
      </c>
      <c r="C76" s="141" t="s">
        <v>368</v>
      </c>
      <c r="D76" s="140">
        <f t="shared" ref="D76:D111" si="7">IF(B76="","",B76)</f>
        <v>42075</v>
      </c>
      <c r="E76" s="142" t="s">
        <v>462</v>
      </c>
      <c r="F76" s="145">
        <f t="shared" ref="F76:F99" si="8">(I76+J76)*H76</f>
        <v>32010</v>
      </c>
      <c r="G76" s="143" t="s">
        <v>35</v>
      </c>
      <c r="H76" s="178">
        <v>21340</v>
      </c>
      <c r="I76" s="179"/>
      <c r="J76" s="180">
        <v>1.5</v>
      </c>
      <c r="K76" s="181">
        <f t="shared" si="3"/>
        <v>64.659999999043066</v>
      </c>
      <c r="L76" s="145"/>
    </row>
    <row r="77" spans="1:12" s="125" customFormat="1" ht="17.25" hidden="1" customHeight="1">
      <c r="A77" s="125">
        <f t="shared" si="6"/>
        <v>3</v>
      </c>
      <c r="B77" s="140">
        <v>42081</v>
      </c>
      <c r="C77" s="141" t="s">
        <v>371</v>
      </c>
      <c r="D77" s="140">
        <f t="shared" si="7"/>
        <v>42081</v>
      </c>
      <c r="E77" s="142" t="s">
        <v>451</v>
      </c>
      <c r="F77" s="145">
        <f t="shared" si="8"/>
        <v>16262387.999999998</v>
      </c>
      <c r="G77" s="143" t="s">
        <v>442</v>
      </c>
      <c r="H77" s="178">
        <v>21460</v>
      </c>
      <c r="I77" s="179">
        <v>757.8</v>
      </c>
      <c r="J77" s="180"/>
      <c r="K77" s="181">
        <f t="shared" ref="K77:K140" si="9">IF(B77&lt;&gt;"",K76+I77-J77,0)</f>
        <v>822.45999999904302</v>
      </c>
      <c r="L77" s="145"/>
    </row>
    <row r="78" spans="1:12" s="125" customFormat="1" ht="17.25" hidden="1" customHeight="1">
      <c r="A78" s="125">
        <f t="shared" si="6"/>
        <v>3</v>
      </c>
      <c r="B78" s="140">
        <v>42081</v>
      </c>
      <c r="C78" s="141" t="s">
        <v>368</v>
      </c>
      <c r="D78" s="140">
        <f t="shared" si="7"/>
        <v>42081</v>
      </c>
      <c r="E78" s="142" t="s">
        <v>463</v>
      </c>
      <c r="F78" s="145">
        <f t="shared" si="8"/>
        <v>16263890.199999999</v>
      </c>
      <c r="G78" s="143" t="s">
        <v>374</v>
      </c>
      <c r="H78" s="178">
        <v>21460</v>
      </c>
      <c r="I78" s="179"/>
      <c r="J78" s="180">
        <v>757.87</v>
      </c>
      <c r="K78" s="181">
        <f t="shared" si="9"/>
        <v>64.589999999043016</v>
      </c>
      <c r="L78" s="145"/>
    </row>
    <row r="79" spans="1:12" s="125" customFormat="1" ht="17.25" hidden="1" customHeight="1">
      <c r="A79" s="125">
        <f t="shared" si="6"/>
        <v>3</v>
      </c>
      <c r="B79" s="140">
        <v>42083</v>
      </c>
      <c r="C79" s="141" t="s">
        <v>371</v>
      </c>
      <c r="D79" s="140">
        <f t="shared" si="7"/>
        <v>42083</v>
      </c>
      <c r="E79" s="142" t="s">
        <v>464</v>
      </c>
      <c r="F79" s="145">
        <f t="shared" si="8"/>
        <v>1288157502.4000001</v>
      </c>
      <c r="G79" s="143" t="s">
        <v>442</v>
      </c>
      <c r="H79" s="178">
        <v>21520</v>
      </c>
      <c r="I79" s="179">
        <v>59858.62</v>
      </c>
      <c r="J79" s="180"/>
      <c r="K79" s="181">
        <f t="shared" si="9"/>
        <v>59923.209999999046</v>
      </c>
      <c r="L79" s="145"/>
    </row>
    <row r="80" spans="1:12" s="125" customFormat="1" ht="17.25" hidden="1" customHeight="1">
      <c r="A80" s="125">
        <f t="shared" si="6"/>
        <v>3</v>
      </c>
      <c r="B80" s="140">
        <v>42083</v>
      </c>
      <c r="C80" s="141" t="s">
        <v>368</v>
      </c>
      <c r="D80" s="140">
        <f t="shared" si="7"/>
        <v>42083</v>
      </c>
      <c r="E80" s="142" t="s">
        <v>372</v>
      </c>
      <c r="F80" s="145">
        <f t="shared" si="8"/>
        <v>1285700000</v>
      </c>
      <c r="G80" s="143" t="s">
        <v>36</v>
      </c>
      <c r="H80" s="178">
        <v>21500</v>
      </c>
      <c r="I80" s="179"/>
      <c r="J80" s="180">
        <v>59800</v>
      </c>
      <c r="K80" s="181">
        <f t="shared" si="9"/>
        <v>123.20999999904598</v>
      </c>
      <c r="L80" s="145"/>
    </row>
    <row r="81" spans="1:12" s="125" customFormat="1" ht="17.25" hidden="1" customHeight="1">
      <c r="A81" s="125">
        <f t="shared" si="6"/>
        <v>3</v>
      </c>
      <c r="B81" s="140">
        <v>42087</v>
      </c>
      <c r="C81" s="141" t="s">
        <v>371</v>
      </c>
      <c r="D81" s="140">
        <f t="shared" si="7"/>
        <v>42087</v>
      </c>
      <c r="E81" s="142" t="s">
        <v>413</v>
      </c>
      <c r="F81" s="145">
        <f t="shared" si="8"/>
        <v>51815</v>
      </c>
      <c r="G81" s="143">
        <v>515</v>
      </c>
      <c r="H81" s="178">
        <v>21500</v>
      </c>
      <c r="I81" s="179">
        <v>2.41</v>
      </c>
      <c r="J81" s="180"/>
      <c r="K81" s="181">
        <f t="shared" si="9"/>
        <v>125.61999999904597</v>
      </c>
      <c r="L81" s="145"/>
    </row>
    <row r="82" spans="1:12" s="125" customFormat="1" ht="17.25" hidden="1" customHeight="1">
      <c r="A82" s="125">
        <f t="shared" si="6"/>
        <v>3</v>
      </c>
      <c r="B82" s="140">
        <v>42088</v>
      </c>
      <c r="C82" s="141" t="s">
        <v>371</v>
      </c>
      <c r="D82" s="140">
        <f t="shared" si="7"/>
        <v>42088</v>
      </c>
      <c r="E82" s="142" t="s">
        <v>451</v>
      </c>
      <c r="F82" s="145">
        <f t="shared" si="8"/>
        <v>449764950</v>
      </c>
      <c r="G82" s="143" t="s">
        <v>442</v>
      </c>
      <c r="H82" s="178">
        <v>21500</v>
      </c>
      <c r="I82" s="179">
        <v>20919.3</v>
      </c>
      <c r="J82" s="180"/>
      <c r="K82" s="181">
        <f t="shared" si="9"/>
        <v>21044.919999999045</v>
      </c>
      <c r="L82" s="145"/>
    </row>
    <row r="83" spans="1:12" s="125" customFormat="1" ht="17.25" hidden="1" customHeight="1">
      <c r="A83" s="125">
        <f t="shared" si="6"/>
        <v>3</v>
      </c>
      <c r="B83" s="140">
        <v>42090</v>
      </c>
      <c r="C83" s="141" t="s">
        <v>368</v>
      </c>
      <c r="D83" s="140">
        <f t="shared" si="7"/>
        <v>42090</v>
      </c>
      <c r="E83" s="142" t="s">
        <v>372</v>
      </c>
      <c r="F83" s="145">
        <f t="shared" si="8"/>
        <v>452130000</v>
      </c>
      <c r="G83" s="143" t="s">
        <v>36</v>
      </c>
      <c r="H83" s="178">
        <v>21530</v>
      </c>
      <c r="I83" s="179"/>
      <c r="J83" s="180">
        <v>21000</v>
      </c>
      <c r="K83" s="181">
        <f t="shared" si="9"/>
        <v>44.919999999045103</v>
      </c>
      <c r="L83" s="145"/>
    </row>
    <row r="84" spans="1:12" s="292" customFormat="1" ht="17.25" hidden="1" customHeight="1">
      <c r="A84" s="125">
        <f t="shared" si="6"/>
        <v>3</v>
      </c>
      <c r="B84" s="293">
        <v>42090</v>
      </c>
      <c r="C84" s="294" t="s">
        <v>368</v>
      </c>
      <c r="D84" s="293">
        <f t="shared" si="7"/>
        <v>42090</v>
      </c>
      <c r="E84" s="295" t="s">
        <v>622</v>
      </c>
      <c r="F84" s="296">
        <f t="shared" si="8"/>
        <v>65655625</v>
      </c>
      <c r="G84" s="297" t="s">
        <v>442</v>
      </c>
      <c r="H84" s="298">
        <v>21500</v>
      </c>
      <c r="I84" s="299">
        <v>3053.75</v>
      </c>
      <c r="J84" s="300"/>
      <c r="K84" s="181">
        <f t="shared" si="9"/>
        <v>3098.6699999990451</v>
      </c>
      <c r="L84" s="296"/>
    </row>
    <row r="85" spans="1:12" s="125" customFormat="1" ht="17.25" hidden="1" customHeight="1">
      <c r="A85" s="125">
        <f t="shared" si="6"/>
        <v>3</v>
      </c>
      <c r="B85" s="140">
        <v>42093</v>
      </c>
      <c r="C85" s="141" t="s">
        <v>371</v>
      </c>
      <c r="D85" s="140">
        <f t="shared" si="7"/>
        <v>42093</v>
      </c>
      <c r="E85" s="142" t="s">
        <v>451</v>
      </c>
      <c r="F85" s="145">
        <f t="shared" si="8"/>
        <v>1061778723.2</v>
      </c>
      <c r="G85" s="143" t="s">
        <v>442</v>
      </c>
      <c r="H85" s="178">
        <v>21520</v>
      </c>
      <c r="I85" s="179">
        <v>49339.16</v>
      </c>
      <c r="J85" s="180"/>
      <c r="K85" s="181">
        <f t="shared" si="9"/>
        <v>52437.829999999049</v>
      </c>
      <c r="L85" s="145"/>
    </row>
    <row r="86" spans="1:12" s="125" customFormat="1" ht="17.25" hidden="1" customHeight="1">
      <c r="A86" s="125">
        <f t="shared" si="6"/>
        <v>4</v>
      </c>
      <c r="B86" s="140">
        <v>42096</v>
      </c>
      <c r="C86" s="141" t="s">
        <v>368</v>
      </c>
      <c r="D86" s="140">
        <f t="shared" si="7"/>
        <v>42096</v>
      </c>
      <c r="E86" s="142" t="s">
        <v>577</v>
      </c>
      <c r="F86" s="145">
        <f t="shared" si="8"/>
        <v>1121120000</v>
      </c>
      <c r="G86" s="143" t="s">
        <v>438</v>
      </c>
      <c r="H86" s="178">
        <v>21560</v>
      </c>
      <c r="I86" s="179"/>
      <c r="J86" s="180">
        <v>52000</v>
      </c>
      <c r="K86" s="181">
        <f t="shared" si="9"/>
        <v>437.8299999990486</v>
      </c>
      <c r="L86" s="145"/>
    </row>
    <row r="87" spans="1:12" s="125" customFormat="1" ht="17.25" hidden="1" customHeight="1">
      <c r="A87" s="125">
        <f t="shared" si="6"/>
        <v>4</v>
      </c>
      <c r="B87" s="140">
        <v>42097</v>
      </c>
      <c r="C87" s="141" t="s">
        <v>371</v>
      </c>
      <c r="D87" s="140">
        <f t="shared" si="7"/>
        <v>42097</v>
      </c>
      <c r="E87" s="142" t="s">
        <v>441</v>
      </c>
      <c r="F87" s="145">
        <f t="shared" si="8"/>
        <v>935700766</v>
      </c>
      <c r="G87" s="143" t="s">
        <v>442</v>
      </c>
      <c r="H87" s="178">
        <v>21560</v>
      </c>
      <c r="I87" s="179">
        <v>43399.85</v>
      </c>
      <c r="J87" s="180"/>
      <c r="K87" s="181">
        <f t="shared" si="9"/>
        <v>43837.679999999047</v>
      </c>
      <c r="L87" s="145"/>
    </row>
    <row r="88" spans="1:12" s="125" customFormat="1" ht="17.25" hidden="1" customHeight="1">
      <c r="A88" s="125">
        <f t="shared" si="6"/>
        <v>4</v>
      </c>
      <c r="B88" s="140">
        <v>42097</v>
      </c>
      <c r="C88" s="141" t="s">
        <v>368</v>
      </c>
      <c r="D88" s="140">
        <f t="shared" si="7"/>
        <v>42097</v>
      </c>
      <c r="E88" s="142" t="s">
        <v>578</v>
      </c>
      <c r="F88" s="145">
        <f t="shared" si="8"/>
        <v>873180000</v>
      </c>
      <c r="G88" s="143" t="s">
        <v>438</v>
      </c>
      <c r="H88" s="178">
        <v>21560</v>
      </c>
      <c r="I88" s="179"/>
      <c r="J88" s="180">
        <v>40500</v>
      </c>
      <c r="K88" s="181">
        <f t="shared" si="9"/>
        <v>3337.6799999990471</v>
      </c>
      <c r="L88" s="145"/>
    </row>
    <row r="89" spans="1:12" s="125" customFormat="1" ht="17.25" hidden="1" customHeight="1">
      <c r="A89" s="125">
        <f t="shared" si="6"/>
        <v>4</v>
      </c>
      <c r="B89" s="140">
        <v>42097</v>
      </c>
      <c r="C89" s="141" t="s">
        <v>368</v>
      </c>
      <c r="D89" s="140">
        <f t="shared" si="7"/>
        <v>42097</v>
      </c>
      <c r="E89" s="142" t="s">
        <v>579</v>
      </c>
      <c r="F89" s="145">
        <f t="shared" si="8"/>
        <v>4105024</v>
      </c>
      <c r="G89" s="143" t="s">
        <v>374</v>
      </c>
      <c r="H89" s="178">
        <v>21560</v>
      </c>
      <c r="I89" s="179"/>
      <c r="J89" s="180">
        <v>190.4</v>
      </c>
      <c r="K89" s="181">
        <f t="shared" si="9"/>
        <v>3147.279999999047</v>
      </c>
      <c r="L89" s="145"/>
    </row>
    <row r="90" spans="1:12" s="125" customFormat="1" ht="17.25" hidden="1" customHeight="1">
      <c r="A90" s="125">
        <f t="shared" si="6"/>
        <v>4</v>
      </c>
      <c r="B90" s="140">
        <v>42097</v>
      </c>
      <c r="C90" s="141" t="s">
        <v>371</v>
      </c>
      <c r="D90" s="140">
        <f t="shared" si="7"/>
        <v>42097</v>
      </c>
      <c r="E90" s="142" t="s">
        <v>580</v>
      </c>
      <c r="F90" s="145">
        <f t="shared" si="8"/>
        <v>1929620000</v>
      </c>
      <c r="G90" s="143" t="s">
        <v>438</v>
      </c>
      <c r="H90" s="178">
        <v>21560</v>
      </c>
      <c r="I90" s="179">
        <v>89500</v>
      </c>
      <c r="J90" s="180"/>
      <c r="K90" s="181">
        <f t="shared" si="9"/>
        <v>92647.279999999053</v>
      </c>
      <c r="L90" s="145"/>
    </row>
    <row r="91" spans="1:12" s="125" customFormat="1" ht="17.25" hidden="1" customHeight="1">
      <c r="A91" s="125">
        <f t="shared" si="6"/>
        <v>4</v>
      </c>
      <c r="B91" s="140">
        <v>42097</v>
      </c>
      <c r="C91" s="141" t="s">
        <v>368</v>
      </c>
      <c r="D91" s="140">
        <f t="shared" si="7"/>
        <v>42097</v>
      </c>
      <c r="E91" s="142" t="s">
        <v>372</v>
      </c>
      <c r="F91" s="145">
        <f t="shared" si="8"/>
        <v>1987200000</v>
      </c>
      <c r="G91" s="143" t="s">
        <v>36</v>
      </c>
      <c r="H91" s="178">
        <v>21600</v>
      </c>
      <c r="I91" s="179"/>
      <c r="J91" s="180">
        <v>92000</v>
      </c>
      <c r="K91" s="181">
        <f t="shared" si="9"/>
        <v>647.27999999905296</v>
      </c>
      <c r="L91" s="145"/>
    </row>
    <row r="92" spans="1:12" s="125" customFormat="1" ht="17.25" hidden="1" customHeight="1">
      <c r="A92" s="125">
        <f t="shared" si="6"/>
        <v>4</v>
      </c>
      <c r="B92" s="140">
        <v>42101</v>
      </c>
      <c r="C92" s="141" t="s">
        <v>368</v>
      </c>
      <c r="D92" s="140">
        <f t="shared" si="7"/>
        <v>42101</v>
      </c>
      <c r="E92" s="142" t="s">
        <v>581</v>
      </c>
      <c r="F92" s="145">
        <f t="shared" si="8"/>
        <v>5544504</v>
      </c>
      <c r="G92" s="143" t="s">
        <v>374</v>
      </c>
      <c r="H92" s="178">
        <v>21600</v>
      </c>
      <c r="I92" s="179"/>
      <c r="J92" s="180">
        <v>256.69</v>
      </c>
      <c r="K92" s="181">
        <f t="shared" si="9"/>
        <v>390.58999999905296</v>
      </c>
      <c r="L92" s="145"/>
    </row>
    <row r="93" spans="1:12" s="125" customFormat="1" ht="17.25" hidden="1" customHeight="1">
      <c r="A93" s="125">
        <f t="shared" si="6"/>
        <v>4</v>
      </c>
      <c r="B93" s="140">
        <v>42101</v>
      </c>
      <c r="C93" s="141" t="s">
        <v>368</v>
      </c>
      <c r="D93" s="140">
        <f t="shared" si="7"/>
        <v>42101</v>
      </c>
      <c r="E93" s="142" t="s">
        <v>582</v>
      </c>
      <c r="F93" s="145">
        <f t="shared" si="8"/>
        <v>4825224</v>
      </c>
      <c r="G93" s="143" t="s">
        <v>374</v>
      </c>
      <c r="H93" s="178">
        <v>21600</v>
      </c>
      <c r="I93" s="179"/>
      <c r="J93" s="180">
        <v>223.39</v>
      </c>
      <c r="K93" s="181">
        <f t="shared" si="9"/>
        <v>167.19999999905298</v>
      </c>
      <c r="L93" s="145"/>
    </row>
    <row r="94" spans="1:12" s="125" customFormat="1" ht="17.25" hidden="1" customHeight="1">
      <c r="A94" s="125">
        <f t="shared" si="6"/>
        <v>4</v>
      </c>
      <c r="B94" s="140">
        <v>42101</v>
      </c>
      <c r="C94" s="141" t="s">
        <v>368</v>
      </c>
      <c r="D94" s="140">
        <f t="shared" si="7"/>
        <v>42101</v>
      </c>
      <c r="E94" s="142" t="s">
        <v>583</v>
      </c>
      <c r="F94" s="145">
        <f t="shared" si="8"/>
        <v>3446928.0000000005</v>
      </c>
      <c r="G94" s="143" t="s">
        <v>374</v>
      </c>
      <c r="H94" s="178">
        <v>21600</v>
      </c>
      <c r="I94" s="179"/>
      <c r="J94" s="180">
        <v>159.58000000000001</v>
      </c>
      <c r="K94" s="181">
        <f t="shared" si="9"/>
        <v>7.6199999990529648</v>
      </c>
      <c r="L94" s="145"/>
    </row>
    <row r="95" spans="1:12" s="125" customFormat="1" ht="17.25" hidden="1" customHeight="1">
      <c r="A95" s="125">
        <f t="shared" si="6"/>
        <v>4</v>
      </c>
      <c r="B95" s="140">
        <v>42118</v>
      </c>
      <c r="C95" s="141" t="s">
        <v>371</v>
      </c>
      <c r="D95" s="140">
        <f t="shared" si="7"/>
        <v>42118</v>
      </c>
      <c r="E95" s="142" t="s">
        <v>413</v>
      </c>
      <c r="F95" s="145">
        <f t="shared" si="8"/>
        <v>12744</v>
      </c>
      <c r="G95" s="143" t="s">
        <v>414</v>
      </c>
      <c r="H95" s="178">
        <v>21600</v>
      </c>
      <c r="I95" s="179">
        <v>0.59</v>
      </c>
      <c r="J95" s="180"/>
      <c r="K95" s="181">
        <f t="shared" si="9"/>
        <v>8.2099999990529646</v>
      </c>
      <c r="L95" s="145"/>
    </row>
    <row r="96" spans="1:12" s="125" customFormat="1" ht="17.25" hidden="1" customHeight="1">
      <c r="A96" s="125">
        <f t="shared" si="6"/>
        <v>5</v>
      </c>
      <c r="B96" s="140">
        <v>42145</v>
      </c>
      <c r="C96" s="141" t="s">
        <v>368</v>
      </c>
      <c r="D96" s="140">
        <f t="shared" si="7"/>
        <v>42145</v>
      </c>
      <c r="E96" s="142" t="s">
        <v>694</v>
      </c>
      <c r="F96" s="145">
        <f t="shared" si="8"/>
        <v>108950</v>
      </c>
      <c r="G96" s="143" t="s">
        <v>94</v>
      </c>
      <c r="H96" s="178">
        <v>21790</v>
      </c>
      <c r="I96" s="179"/>
      <c r="J96" s="180">
        <v>5</v>
      </c>
      <c r="K96" s="181">
        <f t="shared" si="9"/>
        <v>3.2099999990529646</v>
      </c>
      <c r="L96" s="145"/>
    </row>
    <row r="97" spans="1:13" s="125" customFormat="1" ht="17.25" hidden="1" customHeight="1">
      <c r="A97" s="125">
        <f t="shared" si="6"/>
        <v>5</v>
      </c>
      <c r="B97" s="140">
        <v>42145</v>
      </c>
      <c r="C97" s="141" t="s">
        <v>368</v>
      </c>
      <c r="D97" s="140">
        <f t="shared" si="7"/>
        <v>42145</v>
      </c>
      <c r="E97" s="142" t="s">
        <v>695</v>
      </c>
      <c r="F97" s="145">
        <f t="shared" ref="F97" si="10">(I97+J97)*H97</f>
        <v>10895</v>
      </c>
      <c r="G97" s="143" t="s">
        <v>35</v>
      </c>
      <c r="H97" s="178">
        <v>21790</v>
      </c>
      <c r="I97" s="179"/>
      <c r="J97" s="180">
        <v>0.5</v>
      </c>
      <c r="K97" s="181">
        <f t="shared" si="9"/>
        <v>2.7099999990529646</v>
      </c>
      <c r="L97" s="145"/>
    </row>
    <row r="98" spans="1:13" s="125" customFormat="1" ht="17.25" hidden="1" customHeight="1">
      <c r="A98" s="125">
        <f t="shared" si="6"/>
        <v>5</v>
      </c>
      <c r="B98" s="140">
        <v>42145</v>
      </c>
      <c r="C98" s="141" t="s">
        <v>368</v>
      </c>
      <c r="D98" s="140">
        <f t="shared" si="7"/>
        <v>42145</v>
      </c>
      <c r="E98" s="142" t="s">
        <v>677</v>
      </c>
      <c r="F98" s="145">
        <f t="shared" si="8"/>
        <v>386125500</v>
      </c>
      <c r="G98" s="143" t="s">
        <v>36</v>
      </c>
      <c r="H98" s="178">
        <v>21815</v>
      </c>
      <c r="I98" s="179">
        <v>17700</v>
      </c>
      <c r="J98" s="180"/>
      <c r="K98" s="181">
        <f t="shared" si="9"/>
        <v>17702.709999999053</v>
      </c>
      <c r="L98" s="145"/>
    </row>
    <row r="99" spans="1:13" s="125" customFormat="1" ht="17.25" hidden="1" customHeight="1">
      <c r="A99" s="125">
        <f t="shared" si="6"/>
        <v>5</v>
      </c>
      <c r="B99" s="140">
        <v>42145</v>
      </c>
      <c r="C99" s="141" t="s">
        <v>371</v>
      </c>
      <c r="D99" s="140">
        <f t="shared" si="7"/>
        <v>42145</v>
      </c>
      <c r="E99" s="142" t="s">
        <v>622</v>
      </c>
      <c r="F99" s="145">
        <f t="shared" si="8"/>
        <v>1121475700.8</v>
      </c>
      <c r="G99" s="143" t="s">
        <v>442</v>
      </c>
      <c r="H99" s="178">
        <v>21840</v>
      </c>
      <c r="I99" s="179">
        <v>51349.62</v>
      </c>
      <c r="J99" s="180"/>
      <c r="K99" s="181">
        <f t="shared" si="9"/>
        <v>69052.329999999056</v>
      </c>
      <c r="L99" s="145"/>
    </row>
    <row r="100" spans="1:13" s="125" customFormat="1" ht="17.25" hidden="1" customHeight="1">
      <c r="A100" s="125">
        <f t="shared" si="6"/>
        <v>5</v>
      </c>
      <c r="B100" s="140">
        <v>42145</v>
      </c>
      <c r="C100" s="141" t="s">
        <v>368</v>
      </c>
      <c r="D100" s="140">
        <f t="shared" si="7"/>
        <v>42145</v>
      </c>
      <c r="E100" s="142" t="s">
        <v>696</v>
      </c>
      <c r="F100" s="145">
        <f t="shared" ref="F100:F103" si="11">(I100+J100)*H100</f>
        <v>1506960000</v>
      </c>
      <c r="G100" s="143" t="s">
        <v>438</v>
      </c>
      <c r="H100" s="178">
        <v>21840</v>
      </c>
      <c r="I100" s="179"/>
      <c r="J100" s="180">
        <v>69000</v>
      </c>
      <c r="K100" s="181">
        <f t="shared" si="9"/>
        <v>52.329999999055872</v>
      </c>
      <c r="L100" s="145"/>
    </row>
    <row r="101" spans="1:13" s="125" customFormat="1" ht="17.25" hidden="1" customHeight="1">
      <c r="A101" s="125">
        <f t="shared" si="6"/>
        <v>5</v>
      </c>
      <c r="B101" s="140">
        <v>42145</v>
      </c>
      <c r="C101" s="141" t="s">
        <v>371</v>
      </c>
      <c r="D101" s="140">
        <f t="shared" si="7"/>
        <v>42145</v>
      </c>
      <c r="E101" s="142" t="s">
        <v>697</v>
      </c>
      <c r="F101" s="145">
        <f t="shared" ref="F101" si="12">(I101+J101)*H101</f>
        <v>1343160000</v>
      </c>
      <c r="G101" s="143" t="s">
        <v>438</v>
      </c>
      <c r="H101" s="178">
        <v>21840</v>
      </c>
      <c r="I101" s="179">
        <v>61500</v>
      </c>
      <c r="J101" s="180"/>
      <c r="K101" s="181">
        <f t="shared" si="9"/>
        <v>61552.329999999056</v>
      </c>
      <c r="L101" s="145"/>
    </row>
    <row r="102" spans="1:13" s="125" customFormat="1" ht="17.25" hidden="1" customHeight="1">
      <c r="A102" s="125">
        <f t="shared" si="6"/>
        <v>5</v>
      </c>
      <c r="B102" s="140">
        <v>42145</v>
      </c>
      <c r="C102" s="141" t="s">
        <v>368</v>
      </c>
      <c r="D102" s="140">
        <f t="shared" ref="D102" si="13">IF(B102="","",B102)</f>
        <v>42145</v>
      </c>
      <c r="E102" s="142" t="s">
        <v>372</v>
      </c>
      <c r="F102" s="145">
        <f t="shared" ref="F102" si="14">(I102+J102)*H102</f>
        <v>1343160000</v>
      </c>
      <c r="G102" s="143" t="s">
        <v>36</v>
      </c>
      <c r="H102" s="178">
        <v>21840</v>
      </c>
      <c r="I102" s="179"/>
      <c r="J102" s="180">
        <v>61500</v>
      </c>
      <c r="K102" s="181">
        <f t="shared" si="9"/>
        <v>52.329999999055872</v>
      </c>
      <c r="L102" s="145"/>
    </row>
    <row r="103" spans="1:13" s="125" customFormat="1" ht="17.25" hidden="1" customHeight="1">
      <c r="A103" s="125">
        <f t="shared" si="6"/>
        <v>5</v>
      </c>
      <c r="B103" s="140">
        <v>42153</v>
      </c>
      <c r="C103" s="141" t="s">
        <v>371</v>
      </c>
      <c r="D103" s="140">
        <f t="shared" si="7"/>
        <v>42153</v>
      </c>
      <c r="E103" s="142" t="s">
        <v>698</v>
      </c>
      <c r="F103" s="145">
        <f t="shared" si="11"/>
        <v>2205668005.1999998</v>
      </c>
      <c r="G103" s="143" t="s">
        <v>442</v>
      </c>
      <c r="H103" s="178">
        <v>21780</v>
      </c>
      <c r="I103" s="179">
        <v>101270.34</v>
      </c>
      <c r="J103" s="180"/>
      <c r="K103" s="181">
        <f t="shared" si="9"/>
        <v>101322.66999999905</v>
      </c>
      <c r="L103" s="145"/>
    </row>
    <row r="104" spans="1:13" s="125" customFormat="1" ht="17.25" hidden="1" customHeight="1">
      <c r="A104" s="125">
        <f t="shared" si="6"/>
        <v>5</v>
      </c>
      <c r="B104" s="140">
        <v>42153</v>
      </c>
      <c r="C104" s="141" t="s">
        <v>368</v>
      </c>
      <c r="D104" s="140">
        <f t="shared" ref="D104" si="15">IF(B104="","",B104)</f>
        <v>42153</v>
      </c>
      <c r="E104" s="142" t="s">
        <v>699</v>
      </c>
      <c r="F104" s="145">
        <f t="shared" ref="F104" si="16">(I104+J104)*H104</f>
        <v>1524600000</v>
      </c>
      <c r="G104" s="143" t="s">
        <v>438</v>
      </c>
      <c r="H104" s="178">
        <v>21780</v>
      </c>
      <c r="I104" s="179"/>
      <c r="J104" s="180">
        <v>70000</v>
      </c>
      <c r="K104" s="181">
        <f t="shared" si="9"/>
        <v>31322.669999999052</v>
      </c>
      <c r="L104" s="145"/>
    </row>
    <row r="105" spans="1:13" s="125" customFormat="1" ht="17.25" hidden="1" customHeight="1">
      <c r="A105" s="125">
        <f t="shared" si="6"/>
        <v>5</v>
      </c>
      <c r="B105" s="140">
        <v>42153</v>
      </c>
      <c r="C105" s="141" t="s">
        <v>368</v>
      </c>
      <c r="D105" s="140">
        <f t="shared" ref="D105" si="17">IF(B105="","",B105)</f>
        <v>42153</v>
      </c>
      <c r="E105" s="142" t="s">
        <v>424</v>
      </c>
      <c r="F105" s="145">
        <f t="shared" ref="F105" si="18">(I105+J105)*H105</f>
        <v>2236152.6</v>
      </c>
      <c r="G105" s="143" t="s">
        <v>374</v>
      </c>
      <c r="H105" s="178">
        <v>21780</v>
      </c>
      <c r="I105" s="179"/>
      <c r="J105" s="180">
        <v>102.67</v>
      </c>
      <c r="K105" s="181">
        <f t="shared" si="9"/>
        <v>31219.999999999054</v>
      </c>
      <c r="L105" s="145"/>
    </row>
    <row r="106" spans="1:13" s="125" customFormat="1" ht="17.25" hidden="1" customHeight="1">
      <c r="A106" s="125">
        <f t="shared" si="6"/>
        <v>5</v>
      </c>
      <c r="B106" s="140">
        <v>42153</v>
      </c>
      <c r="C106" s="141" t="s">
        <v>368</v>
      </c>
      <c r="D106" s="140">
        <f t="shared" ref="D106" si="19">IF(B106="","",B106)</f>
        <v>42153</v>
      </c>
      <c r="E106" s="142" t="s">
        <v>700</v>
      </c>
      <c r="F106" s="145">
        <f t="shared" ref="F106" si="20">(I106+J106)*H106</f>
        <v>424710000</v>
      </c>
      <c r="G106" s="143" t="s">
        <v>438</v>
      </c>
      <c r="H106" s="178">
        <v>21780</v>
      </c>
      <c r="I106" s="179"/>
      <c r="J106" s="180">
        <v>19500</v>
      </c>
      <c r="K106" s="181">
        <f t="shared" si="9"/>
        <v>11719.999999999054</v>
      </c>
      <c r="L106" s="145"/>
    </row>
    <row r="107" spans="1:13" s="125" customFormat="1" ht="17.25" hidden="1" customHeight="1">
      <c r="A107" s="125">
        <f t="shared" si="6"/>
        <v>5</v>
      </c>
      <c r="B107" s="140">
        <v>42153</v>
      </c>
      <c r="C107" s="141" t="s">
        <v>368</v>
      </c>
      <c r="D107" s="140">
        <f t="shared" ref="D107" si="21">IF(B107="","",B107)</f>
        <v>42153</v>
      </c>
      <c r="E107" s="142" t="s">
        <v>425</v>
      </c>
      <c r="F107" s="145">
        <f t="shared" ref="F107" si="22">(I107+J107)*H107</f>
        <v>622908</v>
      </c>
      <c r="G107" s="143" t="s">
        <v>374</v>
      </c>
      <c r="H107" s="178">
        <v>21780</v>
      </c>
      <c r="I107" s="179"/>
      <c r="J107" s="180">
        <v>28.6</v>
      </c>
      <c r="K107" s="181">
        <f t="shared" si="9"/>
        <v>11691.399999999054</v>
      </c>
      <c r="L107" s="145"/>
    </row>
    <row r="108" spans="1:13" s="125" customFormat="1" ht="17.25" hidden="1" customHeight="1">
      <c r="A108" s="125">
        <f t="shared" si="6"/>
        <v>5</v>
      </c>
      <c r="B108" s="140">
        <v>42153</v>
      </c>
      <c r="C108" s="141" t="s">
        <v>368</v>
      </c>
      <c r="D108" s="140">
        <f t="shared" ref="D108:D110" si="23">IF(B108="","",B108)</f>
        <v>42153</v>
      </c>
      <c r="E108" s="142" t="s">
        <v>372</v>
      </c>
      <c r="F108" s="145">
        <f t="shared" ref="F108:F123" si="24">(I108+J108)*H108</f>
        <v>218100000</v>
      </c>
      <c r="G108" s="143" t="s">
        <v>36</v>
      </c>
      <c r="H108" s="178">
        <v>21810</v>
      </c>
      <c r="I108" s="179"/>
      <c r="J108" s="180">
        <v>10000</v>
      </c>
      <c r="K108" s="181">
        <f t="shared" si="9"/>
        <v>1691.3999999990538</v>
      </c>
      <c r="L108" s="145"/>
    </row>
    <row r="109" spans="1:13" s="125" customFormat="1" ht="17.25" hidden="1" customHeight="1">
      <c r="A109" s="125">
        <f t="shared" si="6"/>
        <v>5</v>
      </c>
      <c r="B109" s="140">
        <v>42153</v>
      </c>
      <c r="C109" s="141" t="s">
        <v>368</v>
      </c>
      <c r="D109" s="140">
        <f t="shared" si="23"/>
        <v>42153</v>
      </c>
      <c r="E109" s="142" t="s">
        <v>694</v>
      </c>
      <c r="F109" s="145">
        <f t="shared" si="24"/>
        <v>326850</v>
      </c>
      <c r="G109" s="143" t="s">
        <v>94</v>
      </c>
      <c r="H109" s="178">
        <v>21790</v>
      </c>
      <c r="I109" s="179"/>
      <c r="J109" s="180">
        <v>15</v>
      </c>
      <c r="K109" s="181">
        <f t="shared" si="9"/>
        <v>1676.3999999990538</v>
      </c>
      <c r="L109" s="145"/>
    </row>
    <row r="110" spans="1:13" s="125" customFormat="1" ht="17.25" hidden="1" customHeight="1">
      <c r="A110" s="125">
        <f t="shared" si="6"/>
        <v>5</v>
      </c>
      <c r="B110" s="140">
        <v>42153</v>
      </c>
      <c r="C110" s="141" t="s">
        <v>368</v>
      </c>
      <c r="D110" s="140">
        <f t="shared" si="23"/>
        <v>42153</v>
      </c>
      <c r="E110" s="142" t="s">
        <v>695</v>
      </c>
      <c r="F110" s="145">
        <f t="shared" si="24"/>
        <v>32685</v>
      </c>
      <c r="G110" s="143" t="s">
        <v>35</v>
      </c>
      <c r="H110" s="178">
        <v>21790</v>
      </c>
      <c r="I110" s="179"/>
      <c r="J110" s="180">
        <v>1.5</v>
      </c>
      <c r="K110" s="181">
        <f t="shared" si="9"/>
        <v>1674.8999999990538</v>
      </c>
      <c r="L110" s="145"/>
      <c r="M110" s="228">
        <f>K110+'Q4-USD'!K33</f>
        <v>1766.4399999992097</v>
      </c>
    </row>
    <row r="111" spans="1:13" s="125" customFormat="1" ht="17.25" hidden="1" customHeight="1">
      <c r="A111" s="125">
        <f t="shared" si="6"/>
        <v>6</v>
      </c>
      <c r="B111" s="140">
        <v>42156</v>
      </c>
      <c r="C111" s="141" t="s">
        <v>371</v>
      </c>
      <c r="D111" s="140">
        <f t="shared" si="7"/>
        <v>42156</v>
      </c>
      <c r="E111" s="142" t="s">
        <v>814</v>
      </c>
      <c r="F111" s="145">
        <f t="shared" si="24"/>
        <v>1952442500</v>
      </c>
      <c r="G111" s="143" t="s">
        <v>438</v>
      </c>
      <c r="H111" s="178">
        <v>21815</v>
      </c>
      <c r="I111" s="179">
        <v>89500</v>
      </c>
      <c r="J111" s="180"/>
      <c r="K111" s="181">
        <f t="shared" si="9"/>
        <v>91174.899999999048</v>
      </c>
      <c r="L111" s="145"/>
    </row>
    <row r="112" spans="1:13" s="125" customFormat="1" ht="17.25" hidden="1" customHeight="1">
      <c r="A112" s="125">
        <f t="shared" si="6"/>
        <v>6</v>
      </c>
      <c r="B112" s="140">
        <v>42156</v>
      </c>
      <c r="C112" s="141" t="s">
        <v>368</v>
      </c>
      <c r="D112" s="140">
        <f t="shared" ref="D112:D138" si="25">IF(B112="","",B112)</f>
        <v>42156</v>
      </c>
      <c r="E112" s="142" t="s">
        <v>372</v>
      </c>
      <c r="F112" s="145">
        <f t="shared" si="24"/>
        <v>1952442500</v>
      </c>
      <c r="G112" s="143" t="s">
        <v>36</v>
      </c>
      <c r="H112" s="178">
        <v>21815</v>
      </c>
      <c r="I112" s="179"/>
      <c r="J112" s="180">
        <v>89500</v>
      </c>
      <c r="K112" s="181">
        <f t="shared" si="9"/>
        <v>1674.8999999990483</v>
      </c>
      <c r="L112" s="145"/>
    </row>
    <row r="113" spans="1:12" s="125" customFormat="1" ht="17.25" hidden="1" customHeight="1">
      <c r="A113" s="125">
        <f t="shared" si="6"/>
        <v>6</v>
      </c>
      <c r="B113" s="140">
        <v>42156</v>
      </c>
      <c r="C113" s="141" t="s">
        <v>371</v>
      </c>
      <c r="D113" s="140">
        <f t="shared" si="25"/>
        <v>42156</v>
      </c>
      <c r="E113" s="142" t="s">
        <v>622</v>
      </c>
      <c r="F113" s="145">
        <f t="shared" si="24"/>
        <v>54962878.099999994</v>
      </c>
      <c r="G113" s="143" t="s">
        <v>442</v>
      </c>
      <c r="H113" s="178">
        <v>21790</v>
      </c>
      <c r="I113" s="179">
        <v>2522.39</v>
      </c>
      <c r="J113" s="180"/>
      <c r="K113" s="181">
        <f t="shared" si="9"/>
        <v>4197.2899999990477</v>
      </c>
      <c r="L113" s="145"/>
    </row>
    <row r="114" spans="1:12" s="125" customFormat="1" ht="17.25" hidden="1" customHeight="1">
      <c r="A114" s="125">
        <f t="shared" si="6"/>
        <v>6</v>
      </c>
      <c r="B114" s="140">
        <v>42158</v>
      </c>
      <c r="C114" s="141" t="s">
        <v>368</v>
      </c>
      <c r="D114" s="140">
        <f t="shared" si="25"/>
        <v>42158</v>
      </c>
      <c r="E114" s="142" t="s">
        <v>815</v>
      </c>
      <c r="F114" s="145">
        <f t="shared" si="24"/>
        <v>91300100</v>
      </c>
      <c r="G114" s="143" t="s">
        <v>370</v>
      </c>
      <c r="H114" s="178">
        <v>21790</v>
      </c>
      <c r="I114" s="179"/>
      <c r="J114" s="180">
        <v>4190</v>
      </c>
      <c r="K114" s="181">
        <f t="shared" si="9"/>
        <v>7.2899999990477227</v>
      </c>
      <c r="L114" s="145"/>
    </row>
    <row r="115" spans="1:12" s="125" customFormat="1" ht="17.25" hidden="1" customHeight="1">
      <c r="A115" s="125">
        <f t="shared" si="6"/>
        <v>6</v>
      </c>
      <c r="B115" s="140">
        <v>42159</v>
      </c>
      <c r="C115" s="141" t="s">
        <v>371</v>
      </c>
      <c r="D115" s="140">
        <f t="shared" si="25"/>
        <v>42159</v>
      </c>
      <c r="E115" s="291" t="s">
        <v>816</v>
      </c>
      <c r="F115" s="145">
        <f t="shared" si="24"/>
        <v>338681534.19999999</v>
      </c>
      <c r="G115" s="143" t="s">
        <v>442</v>
      </c>
      <c r="H115" s="178">
        <v>21790</v>
      </c>
      <c r="I115" s="179">
        <v>15542.98</v>
      </c>
      <c r="J115" s="180"/>
      <c r="K115" s="181">
        <f t="shared" si="9"/>
        <v>15550.269999999047</v>
      </c>
      <c r="L115" s="145"/>
    </row>
    <row r="116" spans="1:12" s="125" customFormat="1" ht="17.25" hidden="1" customHeight="1">
      <c r="A116" s="125">
        <f t="shared" si="6"/>
        <v>6</v>
      </c>
      <c r="B116" s="140">
        <v>42161</v>
      </c>
      <c r="C116" s="141" t="s">
        <v>368</v>
      </c>
      <c r="D116" s="140">
        <f t="shared" si="25"/>
        <v>42161</v>
      </c>
      <c r="E116" s="142" t="s">
        <v>373</v>
      </c>
      <c r="F116" s="145">
        <f t="shared" si="24"/>
        <v>2357895.9</v>
      </c>
      <c r="G116" s="143" t="s">
        <v>374</v>
      </c>
      <c r="H116" s="178">
        <v>21790</v>
      </c>
      <c r="I116" s="179"/>
      <c r="J116" s="180">
        <v>108.21</v>
      </c>
      <c r="K116" s="181">
        <f t="shared" si="9"/>
        <v>15442.059999999048</v>
      </c>
      <c r="L116" s="145"/>
    </row>
    <row r="117" spans="1:12" s="125" customFormat="1" ht="17.25" hidden="1" customHeight="1">
      <c r="A117" s="125">
        <f t="shared" si="6"/>
        <v>6</v>
      </c>
      <c r="B117" s="140">
        <v>42161</v>
      </c>
      <c r="C117" s="141" t="s">
        <v>368</v>
      </c>
      <c r="D117" s="140">
        <f t="shared" ref="D117" si="26">IF(B117="","",B117)</f>
        <v>42161</v>
      </c>
      <c r="E117" s="142" t="s">
        <v>375</v>
      </c>
      <c r="F117" s="145">
        <f t="shared" ref="F117" si="27">(I117+J117)*H117</f>
        <v>5592185.5999999996</v>
      </c>
      <c r="G117" s="143" t="s">
        <v>374</v>
      </c>
      <c r="H117" s="178">
        <v>21790</v>
      </c>
      <c r="I117" s="179"/>
      <c r="J117" s="180">
        <v>256.64</v>
      </c>
      <c r="K117" s="181">
        <f t="shared" si="9"/>
        <v>15185.419999999049</v>
      </c>
      <c r="L117" s="145"/>
    </row>
    <row r="118" spans="1:12" s="125" customFormat="1" ht="17.25" hidden="1" customHeight="1">
      <c r="A118" s="125">
        <f t="shared" si="6"/>
        <v>6</v>
      </c>
      <c r="B118" s="140">
        <v>42161</v>
      </c>
      <c r="C118" s="141" t="s">
        <v>368</v>
      </c>
      <c r="D118" s="140">
        <f t="shared" ref="D118" si="28">IF(B118="","",B118)</f>
        <v>42161</v>
      </c>
      <c r="E118" s="142" t="s">
        <v>376</v>
      </c>
      <c r="F118" s="145">
        <f t="shared" ref="F118" si="29">(I118+J118)*H118</f>
        <v>3476594.5000000005</v>
      </c>
      <c r="G118" s="143" t="s">
        <v>374</v>
      </c>
      <c r="H118" s="178">
        <v>21790</v>
      </c>
      <c r="I118" s="179"/>
      <c r="J118" s="180">
        <v>159.55000000000001</v>
      </c>
      <c r="K118" s="181">
        <f t="shared" si="9"/>
        <v>15025.869999999049</v>
      </c>
      <c r="L118" s="145"/>
    </row>
    <row r="119" spans="1:12" s="125" customFormat="1" ht="17.25" hidden="1" customHeight="1">
      <c r="A119" s="125">
        <f t="shared" si="6"/>
        <v>6</v>
      </c>
      <c r="B119" s="140">
        <v>42161</v>
      </c>
      <c r="C119" s="141" t="s">
        <v>368</v>
      </c>
      <c r="D119" s="140">
        <f t="shared" ref="D119" si="30">IF(B119="","",B119)</f>
        <v>42161</v>
      </c>
      <c r="E119" s="142" t="s">
        <v>377</v>
      </c>
      <c r="F119" s="145">
        <f t="shared" ref="F119" si="31">(I119+J119)*H119</f>
        <v>4866796.5</v>
      </c>
      <c r="G119" s="143" t="s">
        <v>374</v>
      </c>
      <c r="H119" s="178">
        <v>21790</v>
      </c>
      <c r="I119" s="179"/>
      <c r="J119" s="180">
        <v>223.35</v>
      </c>
      <c r="K119" s="181">
        <f t="shared" si="9"/>
        <v>14802.519999999049</v>
      </c>
      <c r="L119" s="145"/>
    </row>
    <row r="120" spans="1:12" s="125" customFormat="1" ht="17.25" hidden="1" customHeight="1">
      <c r="A120" s="125">
        <f t="shared" si="6"/>
        <v>6</v>
      </c>
      <c r="B120" s="140">
        <v>42170</v>
      </c>
      <c r="C120" s="141" t="s">
        <v>371</v>
      </c>
      <c r="D120" s="140">
        <f t="shared" ref="D120" si="32">IF(B120="","",B120)</f>
        <v>42170</v>
      </c>
      <c r="E120" s="142" t="s">
        <v>815</v>
      </c>
      <c r="F120" s="145">
        <f t="shared" ref="F120" si="33">(I120+J120)*H120</f>
        <v>52320000</v>
      </c>
      <c r="G120" s="143" t="s">
        <v>370</v>
      </c>
      <c r="H120" s="178">
        <v>21800</v>
      </c>
      <c r="I120" s="179">
        <v>2400</v>
      </c>
      <c r="J120" s="180"/>
      <c r="K120" s="181">
        <f t="shared" si="9"/>
        <v>17202.519999999051</v>
      </c>
      <c r="L120" s="145"/>
    </row>
    <row r="121" spans="1:12" s="125" customFormat="1" ht="17.25" hidden="1" customHeight="1">
      <c r="A121" s="125">
        <f t="shared" si="6"/>
        <v>6</v>
      </c>
      <c r="B121" s="140">
        <v>42170</v>
      </c>
      <c r="C121" s="141" t="s">
        <v>368</v>
      </c>
      <c r="D121" s="140">
        <f t="shared" ref="D121" si="34">IF(B121="","",B121)</f>
        <v>42170</v>
      </c>
      <c r="E121" s="142" t="s">
        <v>372</v>
      </c>
      <c r="F121" s="145">
        <f t="shared" si="24"/>
        <v>374960000</v>
      </c>
      <c r="G121" s="143" t="s">
        <v>36</v>
      </c>
      <c r="H121" s="178">
        <v>21800</v>
      </c>
      <c r="I121" s="179"/>
      <c r="J121" s="180">
        <v>17200</v>
      </c>
      <c r="K121" s="181">
        <f t="shared" si="9"/>
        <v>2.5199999990509241</v>
      </c>
      <c r="L121" s="145"/>
    </row>
    <row r="122" spans="1:12" s="125" customFormat="1" ht="17.25" hidden="1" customHeight="1">
      <c r="A122" s="125">
        <f t="shared" si="6"/>
        <v>6</v>
      </c>
      <c r="B122" s="140">
        <v>42177</v>
      </c>
      <c r="C122" s="141" t="s">
        <v>371</v>
      </c>
      <c r="D122" s="140">
        <f t="shared" si="25"/>
        <v>42177</v>
      </c>
      <c r="E122" s="142" t="s">
        <v>817</v>
      </c>
      <c r="F122" s="145">
        <f t="shared" si="24"/>
        <v>2147660467.6999998</v>
      </c>
      <c r="G122" s="143" t="s">
        <v>442</v>
      </c>
      <c r="H122" s="178">
        <v>21835</v>
      </c>
      <c r="I122" s="179">
        <v>98358.62</v>
      </c>
      <c r="J122" s="180"/>
      <c r="K122" s="181">
        <f t="shared" si="9"/>
        <v>98361.139999999054</v>
      </c>
      <c r="L122" s="145"/>
    </row>
    <row r="123" spans="1:12" s="125" customFormat="1" ht="17.25" hidden="1" customHeight="1">
      <c r="A123" s="125">
        <f t="shared" si="6"/>
        <v>6</v>
      </c>
      <c r="B123" s="140">
        <v>42177</v>
      </c>
      <c r="C123" s="141" t="s">
        <v>368</v>
      </c>
      <c r="D123" s="140">
        <f t="shared" si="25"/>
        <v>42177</v>
      </c>
      <c r="E123" s="142" t="s">
        <v>426</v>
      </c>
      <c r="F123" s="145">
        <f t="shared" si="24"/>
        <v>3928989.9</v>
      </c>
      <c r="G123" s="143" t="s">
        <v>374</v>
      </c>
      <c r="H123" s="178">
        <v>21835</v>
      </c>
      <c r="I123" s="179"/>
      <c r="J123" s="180">
        <v>179.94</v>
      </c>
      <c r="K123" s="181">
        <f t="shared" si="9"/>
        <v>98181.199999999051</v>
      </c>
      <c r="L123" s="145"/>
    </row>
    <row r="124" spans="1:12" s="125" customFormat="1" ht="17.25" hidden="1" customHeight="1">
      <c r="A124" s="125">
        <f t="shared" si="6"/>
        <v>6</v>
      </c>
      <c r="B124" s="140">
        <v>42177</v>
      </c>
      <c r="C124" s="141" t="s">
        <v>368</v>
      </c>
      <c r="D124" s="140">
        <f t="shared" ref="D124" si="35">IF(B124="","",B124)</f>
        <v>42177</v>
      </c>
      <c r="E124" s="142" t="s">
        <v>427</v>
      </c>
      <c r="F124" s="145">
        <f t="shared" ref="F124" si="36">(I124+J124)*H124</f>
        <v>4425736.1500000004</v>
      </c>
      <c r="G124" s="143" t="s">
        <v>374</v>
      </c>
      <c r="H124" s="178">
        <v>21835</v>
      </c>
      <c r="I124" s="179"/>
      <c r="J124" s="180">
        <v>202.69</v>
      </c>
      <c r="K124" s="181">
        <f t="shared" si="9"/>
        <v>97978.509999999049</v>
      </c>
      <c r="L124" s="145"/>
    </row>
    <row r="125" spans="1:12" s="125" customFormat="1" ht="17.25" hidden="1" customHeight="1">
      <c r="A125" s="125">
        <f t="shared" si="6"/>
        <v>6</v>
      </c>
      <c r="B125" s="140">
        <v>42177</v>
      </c>
      <c r="C125" s="141" t="s">
        <v>368</v>
      </c>
      <c r="D125" s="140">
        <f t="shared" ref="D125" si="37">IF(B125="","",B125)</f>
        <v>42177</v>
      </c>
      <c r="E125" s="142" t="s">
        <v>463</v>
      </c>
      <c r="F125" s="145">
        <f t="shared" ref="F125" si="38">(I125+J125)*H125</f>
        <v>8851690.6500000004</v>
      </c>
      <c r="G125" s="143" t="s">
        <v>374</v>
      </c>
      <c r="H125" s="178">
        <v>21835</v>
      </c>
      <c r="I125" s="179"/>
      <c r="J125" s="180">
        <v>405.39</v>
      </c>
      <c r="K125" s="181">
        <f t="shared" si="9"/>
        <v>97573.119999999049</v>
      </c>
      <c r="L125" s="145"/>
    </row>
    <row r="126" spans="1:12" s="125" customFormat="1" ht="17.25" hidden="1" customHeight="1">
      <c r="A126" s="125">
        <f t="shared" si="6"/>
        <v>6</v>
      </c>
      <c r="B126" s="140">
        <v>42177</v>
      </c>
      <c r="C126" s="141" t="s">
        <v>368</v>
      </c>
      <c r="D126" s="140">
        <f t="shared" ref="D126" si="39">IF(B126="","",B126)</f>
        <v>42177</v>
      </c>
      <c r="E126" s="142" t="s">
        <v>707</v>
      </c>
      <c r="F126" s="145">
        <f t="shared" ref="F126" si="40">(I126+J126)*H126</f>
        <v>7322585.6000000006</v>
      </c>
      <c r="G126" s="143" t="s">
        <v>374</v>
      </c>
      <c r="H126" s="178">
        <v>21835</v>
      </c>
      <c r="I126" s="179"/>
      <c r="J126" s="180">
        <v>335.36</v>
      </c>
      <c r="K126" s="181">
        <f t="shared" si="9"/>
        <v>97237.759999999049</v>
      </c>
      <c r="L126" s="145"/>
    </row>
    <row r="127" spans="1:12" s="125" customFormat="1" ht="17.25" hidden="1" customHeight="1">
      <c r="A127" s="125">
        <f t="shared" si="6"/>
        <v>6</v>
      </c>
      <c r="B127" s="140">
        <v>42177</v>
      </c>
      <c r="C127" s="141" t="s">
        <v>368</v>
      </c>
      <c r="D127" s="140">
        <f t="shared" ref="D127" si="41">IF(B127="","",B127)</f>
        <v>42177</v>
      </c>
      <c r="E127" s="142" t="s">
        <v>818</v>
      </c>
      <c r="F127" s="145">
        <f t="shared" ref="F127" si="42">(I127+J127)*H127</f>
        <v>6773435.3499999996</v>
      </c>
      <c r="G127" s="143" t="s">
        <v>374</v>
      </c>
      <c r="H127" s="178">
        <v>21835</v>
      </c>
      <c r="I127" s="179"/>
      <c r="J127" s="180">
        <v>310.20999999999998</v>
      </c>
      <c r="K127" s="181">
        <f t="shared" si="9"/>
        <v>96927.549999999042</v>
      </c>
      <c r="L127" s="145"/>
    </row>
    <row r="128" spans="1:12" s="125" customFormat="1" ht="17.25" hidden="1" customHeight="1">
      <c r="A128" s="125">
        <f t="shared" si="6"/>
        <v>6</v>
      </c>
      <c r="B128" s="140">
        <v>42177</v>
      </c>
      <c r="C128" s="141" t="s">
        <v>368</v>
      </c>
      <c r="D128" s="140">
        <f t="shared" ref="D128" si="43">IF(B128="","",B128)</f>
        <v>42177</v>
      </c>
      <c r="E128" s="142" t="s">
        <v>709</v>
      </c>
      <c r="F128" s="145">
        <f t="shared" ref="F128" si="44">(I128+J128)*H128</f>
        <v>6735879.1500000004</v>
      </c>
      <c r="G128" s="143" t="s">
        <v>374</v>
      </c>
      <c r="H128" s="178">
        <v>21835</v>
      </c>
      <c r="I128" s="179"/>
      <c r="J128" s="180">
        <v>308.49</v>
      </c>
      <c r="K128" s="181">
        <f t="shared" si="9"/>
        <v>96619.059999999037</v>
      </c>
      <c r="L128" s="145"/>
    </row>
    <row r="129" spans="1:12" s="125" customFormat="1" ht="17.25" hidden="1" customHeight="1">
      <c r="A129" s="125">
        <f t="shared" si="6"/>
        <v>6</v>
      </c>
      <c r="B129" s="140">
        <v>42178</v>
      </c>
      <c r="C129" s="141" t="s">
        <v>368</v>
      </c>
      <c r="D129" s="140">
        <f t="shared" ref="D129" si="45">IF(B129="","",B129)</f>
        <v>42178</v>
      </c>
      <c r="E129" s="142" t="s">
        <v>815</v>
      </c>
      <c r="F129" s="145">
        <f t="shared" ref="F129" si="46">(I129+J129)*H129</f>
        <v>952006000</v>
      </c>
      <c r="G129" s="143" t="s">
        <v>370</v>
      </c>
      <c r="H129" s="178">
        <v>21835</v>
      </c>
      <c r="I129" s="179"/>
      <c r="J129" s="180">
        <v>43600</v>
      </c>
      <c r="K129" s="181">
        <f t="shared" si="9"/>
        <v>53019.059999999037</v>
      </c>
      <c r="L129" s="145"/>
    </row>
    <row r="130" spans="1:12" s="125" customFormat="1" ht="17.25" hidden="1" customHeight="1">
      <c r="A130" s="125">
        <f t="shared" si="6"/>
        <v>6</v>
      </c>
      <c r="B130" s="140">
        <v>42179</v>
      </c>
      <c r="C130" s="141" t="s">
        <v>368</v>
      </c>
      <c r="D130" s="140">
        <f t="shared" ref="D130" si="47">IF(B130="","",B130)</f>
        <v>42179</v>
      </c>
      <c r="E130" s="142" t="s">
        <v>413</v>
      </c>
      <c r="F130" s="145">
        <f t="shared" ref="F130" si="48">(I130+J130)*H130</f>
        <v>23145.100000000002</v>
      </c>
      <c r="G130" s="143" t="s">
        <v>414</v>
      </c>
      <c r="H130" s="178">
        <v>21835</v>
      </c>
      <c r="I130" s="179">
        <v>1.06</v>
      </c>
      <c r="J130" s="180"/>
      <c r="K130" s="181">
        <f t="shared" si="9"/>
        <v>53020.119999999035</v>
      </c>
      <c r="L130" s="145"/>
    </row>
    <row r="131" spans="1:12" s="125" customFormat="1" ht="17.25" hidden="1" customHeight="1">
      <c r="A131" s="125">
        <f t="shared" si="6"/>
        <v>6</v>
      </c>
      <c r="B131" s="140">
        <v>42180</v>
      </c>
      <c r="C131" s="141" t="s">
        <v>371</v>
      </c>
      <c r="D131" s="140">
        <f t="shared" ref="D131" si="49">IF(B131="","",B131)</f>
        <v>42180</v>
      </c>
      <c r="E131" s="142" t="s">
        <v>815</v>
      </c>
      <c r="F131" s="145">
        <f t="shared" ref="F131:F138" si="50">(I131+J131)*H131</f>
        <v>395213500</v>
      </c>
      <c r="G131" s="143" t="s">
        <v>370</v>
      </c>
      <c r="H131" s="178">
        <v>21835</v>
      </c>
      <c r="I131" s="179">
        <v>18100</v>
      </c>
      <c r="J131" s="180"/>
      <c r="K131" s="181">
        <f t="shared" si="9"/>
        <v>71120.119999999035</v>
      </c>
      <c r="L131" s="145"/>
    </row>
    <row r="132" spans="1:12" s="125" customFormat="1" ht="17.25" hidden="1" customHeight="1">
      <c r="A132" s="125">
        <f t="shared" si="6"/>
        <v>6</v>
      </c>
      <c r="B132" s="140">
        <v>42180</v>
      </c>
      <c r="C132" s="141" t="s">
        <v>368</v>
      </c>
      <c r="D132" s="140">
        <f t="shared" ref="D132:D133" si="51">IF(B132="","",B132)</f>
        <v>42180</v>
      </c>
      <c r="E132" s="142" t="s">
        <v>819</v>
      </c>
      <c r="F132" s="145">
        <f t="shared" si="50"/>
        <v>949822500</v>
      </c>
      <c r="G132" s="143" t="s">
        <v>438</v>
      </c>
      <c r="H132" s="178">
        <v>21835</v>
      </c>
      <c r="I132" s="179"/>
      <c r="J132" s="180">
        <v>43500</v>
      </c>
      <c r="K132" s="181">
        <f t="shared" si="9"/>
        <v>27620.119999999035</v>
      </c>
      <c r="L132" s="145"/>
    </row>
    <row r="133" spans="1:12" s="125" customFormat="1" ht="17.25" hidden="1" customHeight="1">
      <c r="A133" s="125">
        <f t="shared" si="6"/>
        <v>6</v>
      </c>
      <c r="B133" s="140">
        <v>42180</v>
      </c>
      <c r="C133" s="141" t="s">
        <v>368</v>
      </c>
      <c r="D133" s="140">
        <f t="shared" si="51"/>
        <v>42180</v>
      </c>
      <c r="E133" s="142" t="s">
        <v>820</v>
      </c>
      <c r="F133" s="145">
        <f t="shared" si="50"/>
        <v>886501</v>
      </c>
      <c r="G133" s="143" t="s">
        <v>374</v>
      </c>
      <c r="H133" s="178">
        <v>21835</v>
      </c>
      <c r="I133" s="179"/>
      <c r="J133" s="180">
        <v>40.6</v>
      </c>
      <c r="K133" s="181">
        <f t="shared" si="9"/>
        <v>27579.519999999036</v>
      </c>
      <c r="L133" s="145"/>
    </row>
    <row r="134" spans="1:12" s="125" customFormat="1" ht="17.25" hidden="1" customHeight="1">
      <c r="A134" s="125">
        <f t="shared" si="6"/>
        <v>6</v>
      </c>
      <c r="B134" s="140">
        <v>42180</v>
      </c>
      <c r="C134" s="141" t="s">
        <v>368</v>
      </c>
      <c r="D134" s="140">
        <f t="shared" si="25"/>
        <v>42180</v>
      </c>
      <c r="E134" s="142" t="s">
        <v>821</v>
      </c>
      <c r="F134" s="145">
        <f t="shared" si="50"/>
        <v>600462500</v>
      </c>
      <c r="G134" s="143" t="s">
        <v>438</v>
      </c>
      <c r="H134" s="178">
        <v>21835</v>
      </c>
      <c r="I134" s="179"/>
      <c r="J134" s="180">
        <v>27500</v>
      </c>
      <c r="K134" s="181">
        <f t="shared" si="9"/>
        <v>79.519999999036372</v>
      </c>
      <c r="L134" s="145"/>
    </row>
    <row r="135" spans="1:12" s="125" customFormat="1" ht="17.25" hidden="1" customHeight="1">
      <c r="A135" s="125">
        <f t="shared" si="6"/>
        <v>6</v>
      </c>
      <c r="B135" s="140">
        <v>42180</v>
      </c>
      <c r="C135" s="141" t="s">
        <v>371</v>
      </c>
      <c r="D135" s="140">
        <f t="shared" ref="D135" si="52">IF(B135="","",B135)</f>
        <v>42180</v>
      </c>
      <c r="E135" s="142" t="s">
        <v>822</v>
      </c>
      <c r="F135" s="145">
        <f t="shared" si="50"/>
        <v>1526840000</v>
      </c>
      <c r="G135" s="143" t="s">
        <v>438</v>
      </c>
      <c r="H135" s="178">
        <v>21812</v>
      </c>
      <c r="I135" s="179">
        <v>70000</v>
      </c>
      <c r="J135" s="180"/>
      <c r="K135" s="181">
        <f t="shared" si="9"/>
        <v>70079.519999999029</v>
      </c>
      <c r="L135" s="145"/>
    </row>
    <row r="136" spans="1:12" s="125" customFormat="1" ht="17.25" hidden="1" customHeight="1">
      <c r="A136" s="125">
        <f t="shared" si="6"/>
        <v>6</v>
      </c>
      <c r="B136" s="140">
        <v>42180</v>
      </c>
      <c r="C136" s="141" t="s">
        <v>368</v>
      </c>
      <c r="D136" s="140">
        <f t="shared" ref="D136" si="53">IF(B136="","",B136)</f>
        <v>42180</v>
      </c>
      <c r="E136" s="142" t="s">
        <v>372</v>
      </c>
      <c r="F136" s="145">
        <f t="shared" ref="F136" si="54">(I136+J136)*H136</f>
        <v>1526840000</v>
      </c>
      <c r="G136" s="143" t="s">
        <v>36</v>
      </c>
      <c r="H136" s="178">
        <v>21812</v>
      </c>
      <c r="I136" s="179"/>
      <c r="J136" s="180">
        <v>70000</v>
      </c>
      <c r="K136" s="181">
        <f t="shared" si="9"/>
        <v>79.519999999029096</v>
      </c>
      <c r="L136" s="145"/>
    </row>
    <row r="137" spans="1:12" s="125" customFormat="1" ht="17.25" hidden="1" customHeight="1">
      <c r="A137" s="125">
        <f t="shared" si="6"/>
        <v>6</v>
      </c>
      <c r="B137" s="140">
        <v>42181</v>
      </c>
      <c r="C137" s="141" t="s">
        <v>371</v>
      </c>
      <c r="D137" s="140">
        <f t="shared" si="25"/>
        <v>42181</v>
      </c>
      <c r="E137" s="291" t="s">
        <v>1007</v>
      </c>
      <c r="F137" s="145">
        <f t="shared" si="50"/>
        <v>69958170.5</v>
      </c>
      <c r="G137" s="143" t="s">
        <v>442</v>
      </c>
      <c r="H137" s="178">
        <v>21785</v>
      </c>
      <c r="I137" s="179">
        <v>3211.3</v>
      </c>
      <c r="J137" s="180"/>
      <c r="K137" s="181">
        <f t="shared" si="9"/>
        <v>3290.8199999990293</v>
      </c>
      <c r="L137" s="145"/>
    </row>
    <row r="138" spans="1:12" s="125" customFormat="1" ht="17.25" hidden="1" customHeight="1">
      <c r="A138" s="125">
        <f t="shared" si="6"/>
        <v>6</v>
      </c>
      <c r="B138" s="140">
        <v>42182</v>
      </c>
      <c r="C138" s="141" t="s">
        <v>371</v>
      </c>
      <c r="D138" s="140">
        <f t="shared" si="25"/>
        <v>42182</v>
      </c>
      <c r="E138" s="142" t="s">
        <v>677</v>
      </c>
      <c r="F138" s="145">
        <f t="shared" si="50"/>
        <v>399397500</v>
      </c>
      <c r="G138" s="143" t="s">
        <v>36</v>
      </c>
      <c r="H138" s="178">
        <v>21825</v>
      </c>
      <c r="I138" s="179">
        <v>18300</v>
      </c>
      <c r="J138" s="180"/>
      <c r="K138" s="181">
        <f t="shared" si="9"/>
        <v>21590.819999999028</v>
      </c>
      <c r="L138" s="145"/>
    </row>
    <row r="139" spans="1:12" s="125" customFormat="1" ht="17.25" hidden="1" customHeight="1">
      <c r="A139" s="125">
        <f t="shared" si="6"/>
        <v>6</v>
      </c>
      <c r="B139" s="140">
        <v>42182</v>
      </c>
      <c r="C139" s="141" t="s">
        <v>368</v>
      </c>
      <c r="D139" s="140">
        <f t="shared" ref="D139:D140" si="55">IF(B139="","",B139)</f>
        <v>42182</v>
      </c>
      <c r="E139" s="142" t="s">
        <v>823</v>
      </c>
      <c r="F139" s="145">
        <f t="shared" ref="F139:F140" si="56">(I139+J139)*H139</f>
        <v>469237500</v>
      </c>
      <c r="G139" s="143" t="s">
        <v>438</v>
      </c>
      <c r="H139" s="178">
        <v>21825</v>
      </c>
      <c r="I139" s="179"/>
      <c r="J139" s="180">
        <v>21500</v>
      </c>
      <c r="K139" s="181">
        <f t="shared" si="9"/>
        <v>90.819999999028369</v>
      </c>
      <c r="L139" s="145"/>
    </row>
    <row r="140" spans="1:12" s="125" customFormat="1" ht="17.25" hidden="1" customHeight="1">
      <c r="A140" s="125">
        <f t="shared" ref="A140:A202" si="57">IF(B140&lt;&gt;"",MONTH(B140),"")</f>
        <v>6</v>
      </c>
      <c r="B140" s="140">
        <v>42182</v>
      </c>
      <c r="C140" s="141" t="s">
        <v>368</v>
      </c>
      <c r="D140" s="140">
        <f t="shared" si="55"/>
        <v>42182</v>
      </c>
      <c r="E140" s="142" t="s">
        <v>824</v>
      </c>
      <c r="F140" s="145">
        <f t="shared" si="56"/>
        <v>1123114.5</v>
      </c>
      <c r="G140" s="143" t="s">
        <v>374</v>
      </c>
      <c r="H140" s="178">
        <v>21825</v>
      </c>
      <c r="I140" s="179"/>
      <c r="J140" s="180">
        <v>51.46</v>
      </c>
      <c r="K140" s="181">
        <f t="shared" si="9"/>
        <v>39.359999999028368</v>
      </c>
      <c r="L140" s="145"/>
    </row>
    <row r="141" spans="1:12" s="125" customFormat="1" ht="17.25" hidden="1" customHeight="1">
      <c r="A141" s="125">
        <f t="shared" si="57"/>
        <v>6</v>
      </c>
      <c r="B141" s="140">
        <v>42184</v>
      </c>
      <c r="C141" s="141" t="s">
        <v>371</v>
      </c>
      <c r="D141" s="140">
        <f t="shared" ref="D141:D142" si="58">IF(B141="","",B141)</f>
        <v>42184</v>
      </c>
      <c r="E141" s="142" t="s">
        <v>825</v>
      </c>
      <c r="F141" s="145">
        <f t="shared" ref="F141:F206" si="59">(I141+J141)*H141</f>
        <v>458325000</v>
      </c>
      <c r="G141" s="143" t="s">
        <v>438</v>
      </c>
      <c r="H141" s="178">
        <v>21825</v>
      </c>
      <c r="I141" s="179">
        <v>21000</v>
      </c>
      <c r="J141" s="180"/>
      <c r="K141" s="181">
        <f t="shared" ref="K141:K255" si="60">IF(B141&lt;&gt;"",K140+I141-J141,0)</f>
        <v>21039.359999999029</v>
      </c>
      <c r="L141" s="145"/>
    </row>
    <row r="142" spans="1:12" s="125" customFormat="1" ht="17.25" hidden="1" customHeight="1">
      <c r="A142" s="125">
        <f t="shared" si="57"/>
        <v>6</v>
      </c>
      <c r="B142" s="140">
        <v>42184</v>
      </c>
      <c r="C142" s="141" t="s">
        <v>368</v>
      </c>
      <c r="D142" s="140">
        <f t="shared" si="58"/>
        <v>42184</v>
      </c>
      <c r="E142" s="142" t="s">
        <v>372</v>
      </c>
      <c r="F142" s="145">
        <f t="shared" si="59"/>
        <v>458073000</v>
      </c>
      <c r="G142" s="143" t="s">
        <v>36</v>
      </c>
      <c r="H142" s="178">
        <v>21813</v>
      </c>
      <c r="I142" s="179"/>
      <c r="J142" s="180">
        <v>21000</v>
      </c>
      <c r="K142" s="181">
        <f t="shared" si="60"/>
        <v>39.359999999029242</v>
      </c>
      <c r="L142" s="145"/>
    </row>
    <row r="143" spans="1:12" s="125" customFormat="1" ht="17.25" hidden="1" customHeight="1">
      <c r="A143" s="125">
        <f t="shared" si="57"/>
        <v>6</v>
      </c>
      <c r="B143" s="140">
        <v>42185</v>
      </c>
      <c r="C143" s="141" t="s">
        <v>371</v>
      </c>
      <c r="D143" s="140">
        <f t="shared" ref="D143:D274" si="61">IF(B143="","",B143)</f>
        <v>42185</v>
      </c>
      <c r="E143" s="142" t="s">
        <v>817</v>
      </c>
      <c r="F143" s="145">
        <f t="shared" si="59"/>
        <v>105922373.45</v>
      </c>
      <c r="G143" s="143" t="s">
        <v>442</v>
      </c>
      <c r="H143" s="178">
        <v>21785</v>
      </c>
      <c r="I143" s="179">
        <v>4862.17</v>
      </c>
      <c r="J143" s="180"/>
      <c r="K143" s="181">
        <f t="shared" si="60"/>
        <v>4901.5299999990293</v>
      </c>
      <c r="L143" s="145"/>
    </row>
    <row r="144" spans="1:12" s="125" customFormat="1" ht="17.25" hidden="1" customHeight="1">
      <c r="A144" s="125">
        <f t="shared" si="57"/>
        <v>7</v>
      </c>
      <c r="B144" s="140">
        <v>42191</v>
      </c>
      <c r="C144" s="141" t="s">
        <v>368</v>
      </c>
      <c r="D144" s="140">
        <f t="shared" si="61"/>
        <v>42191</v>
      </c>
      <c r="E144" s="142" t="s">
        <v>373</v>
      </c>
      <c r="F144" s="145">
        <f t="shared" si="59"/>
        <v>2280801.6</v>
      </c>
      <c r="G144" s="143" t="s">
        <v>374</v>
      </c>
      <c r="H144" s="178">
        <v>21780</v>
      </c>
      <c r="I144" s="179"/>
      <c r="J144" s="180">
        <v>104.72</v>
      </c>
      <c r="K144" s="181">
        <f t="shared" si="60"/>
        <v>4796.8099999990291</v>
      </c>
      <c r="L144" s="145"/>
    </row>
    <row r="145" spans="1:12" s="125" customFormat="1" ht="17.25" hidden="1" customHeight="1">
      <c r="A145" s="125">
        <f t="shared" si="57"/>
        <v>7</v>
      </c>
      <c r="B145" s="140">
        <v>42191</v>
      </c>
      <c r="C145" s="141" t="s">
        <v>368</v>
      </c>
      <c r="D145" s="140">
        <f t="shared" si="61"/>
        <v>42191</v>
      </c>
      <c r="E145" s="142" t="s">
        <v>375</v>
      </c>
      <c r="F145" s="145">
        <f t="shared" si="59"/>
        <v>5409280.8000000007</v>
      </c>
      <c r="G145" s="143" t="s">
        <v>374</v>
      </c>
      <c r="H145" s="178">
        <v>21780</v>
      </c>
      <c r="I145" s="179"/>
      <c r="J145" s="180">
        <v>248.36</v>
      </c>
      <c r="K145" s="181">
        <f t="shared" si="60"/>
        <v>4548.4499999990294</v>
      </c>
      <c r="L145" s="145"/>
    </row>
    <row r="146" spans="1:12" s="125" customFormat="1" ht="17.25" hidden="1" customHeight="1">
      <c r="A146" s="125">
        <f t="shared" si="57"/>
        <v>7</v>
      </c>
      <c r="B146" s="140">
        <v>42191</v>
      </c>
      <c r="C146" s="141" t="s">
        <v>368</v>
      </c>
      <c r="D146" s="140">
        <f t="shared" ref="D146:D151" si="62">IF(B146="","",B146)</f>
        <v>42191</v>
      </c>
      <c r="E146" s="142" t="s">
        <v>376</v>
      </c>
      <c r="F146" s="145">
        <f t="shared" ref="F146:F147" si="63">(I146+J146)*H146</f>
        <v>3362832</v>
      </c>
      <c r="G146" s="143" t="s">
        <v>374</v>
      </c>
      <c r="H146" s="178">
        <v>21780</v>
      </c>
      <c r="I146" s="179"/>
      <c r="J146" s="180">
        <v>154.4</v>
      </c>
      <c r="K146" s="181">
        <f t="shared" ref="K146:K147" si="64">IF(B146&lt;&gt;"",K145+I146-J146,0)</f>
        <v>4394.0499999990298</v>
      </c>
      <c r="L146" s="145"/>
    </row>
    <row r="147" spans="1:12" s="125" customFormat="1" ht="17.25" hidden="1" customHeight="1">
      <c r="A147" s="125">
        <f t="shared" si="57"/>
        <v>7</v>
      </c>
      <c r="B147" s="140">
        <v>42191</v>
      </c>
      <c r="C147" s="141" t="s">
        <v>368</v>
      </c>
      <c r="D147" s="140">
        <f t="shared" si="62"/>
        <v>42191</v>
      </c>
      <c r="E147" s="142" t="s">
        <v>377</v>
      </c>
      <c r="F147" s="145">
        <f t="shared" si="63"/>
        <v>4707747</v>
      </c>
      <c r="G147" s="143" t="s">
        <v>374</v>
      </c>
      <c r="H147" s="178">
        <v>21780</v>
      </c>
      <c r="I147" s="179"/>
      <c r="J147" s="180">
        <v>216.15</v>
      </c>
      <c r="K147" s="181">
        <f t="shared" si="64"/>
        <v>4177.8999999990301</v>
      </c>
      <c r="L147" s="145"/>
    </row>
    <row r="148" spans="1:12" s="125" customFormat="1" ht="17.25" hidden="1" customHeight="1">
      <c r="A148" s="125">
        <f t="shared" si="57"/>
        <v>7</v>
      </c>
      <c r="B148" s="140">
        <v>42193</v>
      </c>
      <c r="C148" s="141" t="s">
        <v>371</v>
      </c>
      <c r="D148" s="140">
        <f t="shared" si="62"/>
        <v>42193</v>
      </c>
      <c r="E148" s="142" t="s">
        <v>921</v>
      </c>
      <c r="F148" s="145">
        <f t="shared" si="59"/>
        <v>719872342.19999993</v>
      </c>
      <c r="G148" s="143" t="s">
        <v>442</v>
      </c>
      <c r="H148" s="178">
        <v>21780</v>
      </c>
      <c r="I148" s="179">
        <v>33051.99</v>
      </c>
      <c r="J148" s="180"/>
      <c r="K148" s="181">
        <f t="shared" si="60"/>
        <v>37229.889999999024</v>
      </c>
      <c r="L148" s="145"/>
    </row>
    <row r="149" spans="1:12" s="125" customFormat="1" ht="17.25" hidden="1" customHeight="1">
      <c r="A149" s="125">
        <f t="shared" si="57"/>
        <v>7</v>
      </c>
      <c r="B149" s="140">
        <v>42193</v>
      </c>
      <c r="C149" s="141" t="s">
        <v>368</v>
      </c>
      <c r="D149" s="140">
        <f t="shared" si="62"/>
        <v>42193</v>
      </c>
      <c r="E149" s="142" t="s">
        <v>372</v>
      </c>
      <c r="F149" s="145">
        <f t="shared" si="59"/>
        <v>811332000</v>
      </c>
      <c r="G149" s="143" t="s">
        <v>36</v>
      </c>
      <c r="H149" s="178">
        <v>21810</v>
      </c>
      <c r="I149" s="179"/>
      <c r="J149" s="180">
        <v>37200</v>
      </c>
      <c r="K149" s="181">
        <f t="shared" si="60"/>
        <v>29.88999999902444</v>
      </c>
      <c r="L149" s="145"/>
    </row>
    <row r="150" spans="1:12" s="125" customFormat="1" ht="17.25" hidden="1" customHeight="1">
      <c r="A150" s="125">
        <f t="shared" si="57"/>
        <v>7</v>
      </c>
      <c r="B150" s="140">
        <v>42205</v>
      </c>
      <c r="C150" s="141" t="s">
        <v>371</v>
      </c>
      <c r="D150" s="140">
        <f t="shared" si="62"/>
        <v>42205</v>
      </c>
      <c r="E150" s="142" t="s">
        <v>677</v>
      </c>
      <c r="F150" s="145">
        <f t="shared" si="59"/>
        <v>2138850000</v>
      </c>
      <c r="G150" s="143" t="s">
        <v>36</v>
      </c>
      <c r="H150" s="178">
        <v>21825</v>
      </c>
      <c r="I150" s="179">
        <v>98000</v>
      </c>
      <c r="J150" s="180"/>
      <c r="K150" s="181">
        <f t="shared" si="60"/>
        <v>98029.889999999024</v>
      </c>
      <c r="L150" s="145"/>
    </row>
    <row r="151" spans="1:12" s="125" customFormat="1" ht="17.25" hidden="1" customHeight="1">
      <c r="A151" s="125">
        <f t="shared" si="57"/>
        <v>7</v>
      </c>
      <c r="B151" s="140">
        <v>42205</v>
      </c>
      <c r="C151" s="141" t="s">
        <v>368</v>
      </c>
      <c r="D151" s="140">
        <f t="shared" si="62"/>
        <v>42205</v>
      </c>
      <c r="E151" s="142" t="s">
        <v>922</v>
      </c>
      <c r="F151" s="145">
        <f t="shared" si="59"/>
        <v>2138850000</v>
      </c>
      <c r="G151" s="143" t="s">
        <v>438</v>
      </c>
      <c r="H151" s="178">
        <v>21825</v>
      </c>
      <c r="I151" s="179"/>
      <c r="J151" s="180">
        <v>98000</v>
      </c>
      <c r="K151" s="181">
        <f t="shared" si="60"/>
        <v>29.88999999902444</v>
      </c>
      <c r="L151" s="145"/>
    </row>
    <row r="152" spans="1:12" s="125" customFormat="1" ht="17.25" hidden="1" customHeight="1">
      <c r="A152" s="125">
        <f t="shared" si="57"/>
        <v>7</v>
      </c>
      <c r="B152" s="140">
        <v>42205</v>
      </c>
      <c r="C152" s="141" t="s">
        <v>371</v>
      </c>
      <c r="D152" s="140">
        <v>42205</v>
      </c>
      <c r="E152" s="142" t="s">
        <v>923</v>
      </c>
      <c r="F152" s="145">
        <f t="shared" si="59"/>
        <v>2117025000</v>
      </c>
      <c r="G152" s="143" t="s">
        <v>438</v>
      </c>
      <c r="H152" s="178">
        <v>21825</v>
      </c>
      <c r="I152" s="179">
        <v>97000</v>
      </c>
      <c r="J152" s="180"/>
      <c r="K152" s="181">
        <f t="shared" si="60"/>
        <v>97029.889999999024</v>
      </c>
      <c r="L152" s="145"/>
    </row>
    <row r="153" spans="1:12" s="125" customFormat="1" ht="17.25" hidden="1" customHeight="1">
      <c r="A153" s="125">
        <f t="shared" si="57"/>
        <v>7</v>
      </c>
      <c r="B153" s="140">
        <v>42205</v>
      </c>
      <c r="C153" s="141" t="s">
        <v>368</v>
      </c>
      <c r="D153" s="140">
        <f t="shared" ref="D153:D155" si="65">IF(B153="","",B153)</f>
        <v>42205</v>
      </c>
      <c r="E153" s="142" t="s">
        <v>372</v>
      </c>
      <c r="F153" s="145">
        <f t="shared" ref="F153" si="66">(I153+J153)*H153</f>
        <v>2117025000</v>
      </c>
      <c r="G153" s="143" t="s">
        <v>36</v>
      </c>
      <c r="H153" s="178">
        <v>21825</v>
      </c>
      <c r="I153" s="179"/>
      <c r="J153" s="180">
        <v>97000</v>
      </c>
      <c r="K153" s="181">
        <f t="shared" si="60"/>
        <v>29.88999999902444</v>
      </c>
      <c r="L153" s="145"/>
    </row>
    <row r="154" spans="1:12" s="125" customFormat="1" ht="17.25" hidden="1" customHeight="1">
      <c r="A154" s="125">
        <f t="shared" si="57"/>
        <v>7</v>
      </c>
      <c r="B154" s="140">
        <v>42208</v>
      </c>
      <c r="C154" s="141" t="s">
        <v>368</v>
      </c>
      <c r="D154" s="140">
        <f t="shared" si="65"/>
        <v>42208</v>
      </c>
      <c r="E154" s="142" t="s">
        <v>461</v>
      </c>
      <c r="F154" s="145">
        <f t="shared" si="59"/>
        <v>360112.5</v>
      </c>
      <c r="G154" s="143" t="s">
        <v>94</v>
      </c>
      <c r="H154" s="178">
        <v>21825</v>
      </c>
      <c r="I154" s="179"/>
      <c r="J154" s="180">
        <v>16.5</v>
      </c>
      <c r="K154" s="181">
        <f t="shared" si="60"/>
        <v>13.38999999902444</v>
      </c>
      <c r="L154" s="145"/>
    </row>
    <row r="155" spans="1:12" s="125" customFormat="1" ht="17.25" hidden="1" customHeight="1">
      <c r="A155" s="125">
        <f t="shared" si="57"/>
        <v>7</v>
      </c>
      <c r="B155" s="140">
        <v>42212</v>
      </c>
      <c r="C155" s="141" t="s">
        <v>371</v>
      </c>
      <c r="D155" s="140">
        <f t="shared" si="65"/>
        <v>42212</v>
      </c>
      <c r="E155" s="142" t="s">
        <v>622</v>
      </c>
      <c r="F155" s="145">
        <f t="shared" si="59"/>
        <v>1392807053.9000001</v>
      </c>
      <c r="G155" s="143" t="s">
        <v>442</v>
      </c>
      <c r="H155" s="178">
        <v>21845</v>
      </c>
      <c r="I155" s="179">
        <v>63758.62</v>
      </c>
      <c r="J155" s="180"/>
      <c r="K155" s="181">
        <f t="shared" si="60"/>
        <v>63772.009999999027</v>
      </c>
      <c r="L155" s="145"/>
    </row>
    <row r="156" spans="1:12" s="125" customFormat="1" ht="17.25" hidden="1" customHeight="1">
      <c r="A156" s="125">
        <f t="shared" si="57"/>
        <v>7</v>
      </c>
      <c r="B156" s="140">
        <v>42212</v>
      </c>
      <c r="C156" s="141" t="s">
        <v>368</v>
      </c>
      <c r="D156" s="140">
        <f t="shared" ref="D156" si="67">IF(B156="","",B156)</f>
        <v>42212</v>
      </c>
      <c r="E156" s="142" t="s">
        <v>461</v>
      </c>
      <c r="F156" s="145">
        <f t="shared" si="59"/>
        <v>360442.5</v>
      </c>
      <c r="G156" s="143" t="s">
        <v>94</v>
      </c>
      <c r="H156" s="178">
        <v>21845</v>
      </c>
      <c r="I156" s="179"/>
      <c r="J156" s="180">
        <v>16.5</v>
      </c>
      <c r="K156" s="181">
        <f t="shared" si="60"/>
        <v>63755.509999999027</v>
      </c>
      <c r="L156" s="145"/>
    </row>
    <row r="157" spans="1:12" s="125" customFormat="1" ht="17.25" hidden="1" customHeight="1">
      <c r="A157" s="125">
        <f t="shared" si="57"/>
        <v>7</v>
      </c>
      <c r="B157" s="140">
        <v>42212</v>
      </c>
      <c r="C157" s="141" t="s">
        <v>368</v>
      </c>
      <c r="D157" s="140">
        <f t="shared" ref="D157:D168" si="68">IF(B157="","",B157)</f>
        <v>42212</v>
      </c>
      <c r="E157" s="142" t="s">
        <v>372</v>
      </c>
      <c r="F157" s="145">
        <f t="shared" si="59"/>
        <v>1391526500</v>
      </c>
      <c r="G157" s="143" t="s">
        <v>36</v>
      </c>
      <c r="H157" s="178">
        <v>21845</v>
      </c>
      <c r="I157" s="179"/>
      <c r="J157" s="180">
        <v>63700</v>
      </c>
      <c r="K157" s="181">
        <f t="shared" si="60"/>
        <v>55.509999999027059</v>
      </c>
      <c r="L157" s="145"/>
    </row>
    <row r="158" spans="1:12" s="125" customFormat="1" ht="17.25" hidden="1" customHeight="1">
      <c r="A158" s="125">
        <f t="shared" si="57"/>
        <v>8</v>
      </c>
      <c r="B158" s="140">
        <v>42220</v>
      </c>
      <c r="C158" s="141" t="s">
        <v>371</v>
      </c>
      <c r="D158" s="140">
        <f t="shared" si="68"/>
        <v>42220</v>
      </c>
      <c r="E158" s="142" t="s">
        <v>622</v>
      </c>
      <c r="F158" s="145">
        <f t="shared" si="59"/>
        <v>69841851.099999994</v>
      </c>
      <c r="G158" s="143" t="s">
        <v>442</v>
      </c>
      <c r="H158" s="178">
        <v>21805</v>
      </c>
      <c r="I158" s="179">
        <v>3203.02</v>
      </c>
      <c r="J158" s="180"/>
      <c r="K158" s="181">
        <f t="shared" si="60"/>
        <v>3258.529999999027</v>
      </c>
      <c r="L158" s="145"/>
    </row>
    <row r="159" spans="1:12" s="125" customFormat="1" ht="17.25" hidden="1" customHeight="1">
      <c r="A159" s="125">
        <f t="shared" si="57"/>
        <v>8</v>
      </c>
      <c r="B159" s="140">
        <v>42222</v>
      </c>
      <c r="C159" s="141" t="s">
        <v>368</v>
      </c>
      <c r="D159" s="140">
        <f t="shared" si="68"/>
        <v>42222</v>
      </c>
      <c r="E159" s="142" t="s">
        <v>373</v>
      </c>
      <c r="F159" s="145">
        <f t="shared" si="59"/>
        <v>2358978</v>
      </c>
      <c r="G159" s="143" t="s">
        <v>374</v>
      </c>
      <c r="H159" s="178">
        <v>21800</v>
      </c>
      <c r="I159" s="179"/>
      <c r="J159" s="180">
        <v>108.21</v>
      </c>
      <c r="K159" s="181">
        <f t="shared" si="60"/>
        <v>3150.319999999027</v>
      </c>
      <c r="L159" s="145"/>
    </row>
    <row r="160" spans="1:12" s="125" customFormat="1" ht="17.25" hidden="1" customHeight="1">
      <c r="A160" s="125">
        <f t="shared" si="57"/>
        <v>8</v>
      </c>
      <c r="B160" s="140">
        <v>42222</v>
      </c>
      <c r="C160" s="141" t="s">
        <v>368</v>
      </c>
      <c r="D160" s="140">
        <f t="shared" ref="D160:D162" si="69">IF(B160="","",B160)</f>
        <v>42222</v>
      </c>
      <c r="E160" s="142" t="s">
        <v>375</v>
      </c>
      <c r="F160" s="145">
        <f t="shared" ref="F160:F162" si="70">(I160+J160)*H160</f>
        <v>5594752</v>
      </c>
      <c r="G160" s="143" t="s">
        <v>374</v>
      </c>
      <c r="H160" s="178">
        <v>21800</v>
      </c>
      <c r="I160" s="179"/>
      <c r="J160" s="180">
        <v>256.64</v>
      </c>
      <c r="K160" s="181">
        <f t="shared" ref="K160:K162" si="71">IF(B160&lt;&gt;"",K159+I160-J160,0)</f>
        <v>2893.6799999990271</v>
      </c>
      <c r="L160" s="145"/>
    </row>
    <row r="161" spans="1:12" s="125" customFormat="1" ht="17.25" hidden="1" customHeight="1">
      <c r="A161" s="125">
        <f t="shared" si="57"/>
        <v>8</v>
      </c>
      <c r="B161" s="140">
        <v>42222</v>
      </c>
      <c r="C161" s="141" t="s">
        <v>368</v>
      </c>
      <c r="D161" s="140">
        <f t="shared" si="69"/>
        <v>42222</v>
      </c>
      <c r="E161" s="142" t="s">
        <v>376</v>
      </c>
      <c r="F161" s="145">
        <f t="shared" si="70"/>
        <v>3478190.0000000005</v>
      </c>
      <c r="G161" s="143" t="s">
        <v>374</v>
      </c>
      <c r="H161" s="178">
        <v>21800</v>
      </c>
      <c r="I161" s="179"/>
      <c r="J161" s="180">
        <v>159.55000000000001</v>
      </c>
      <c r="K161" s="181">
        <f t="shared" si="71"/>
        <v>2734.1299999990269</v>
      </c>
      <c r="L161" s="145"/>
    </row>
    <row r="162" spans="1:12" s="125" customFormat="1" ht="17.25" hidden="1" customHeight="1">
      <c r="A162" s="125">
        <f t="shared" si="57"/>
        <v>8</v>
      </c>
      <c r="B162" s="140">
        <v>42222</v>
      </c>
      <c r="C162" s="141" t="s">
        <v>368</v>
      </c>
      <c r="D162" s="140">
        <f t="shared" si="69"/>
        <v>42222</v>
      </c>
      <c r="E162" s="142" t="s">
        <v>377</v>
      </c>
      <c r="F162" s="145">
        <f t="shared" si="70"/>
        <v>4869030</v>
      </c>
      <c r="G162" s="143" t="s">
        <v>374</v>
      </c>
      <c r="H162" s="178">
        <v>21800</v>
      </c>
      <c r="I162" s="179"/>
      <c r="J162" s="180">
        <v>223.35</v>
      </c>
      <c r="K162" s="181">
        <f t="shared" si="71"/>
        <v>2510.779999999027</v>
      </c>
      <c r="L162" s="145"/>
    </row>
    <row r="163" spans="1:12" s="292" customFormat="1" ht="17.25" hidden="1" customHeight="1">
      <c r="A163" s="292">
        <f t="shared" si="57"/>
        <v>8</v>
      </c>
      <c r="B163" s="293">
        <v>42227</v>
      </c>
      <c r="C163" s="294" t="s">
        <v>371</v>
      </c>
      <c r="D163" s="293">
        <f t="shared" si="68"/>
        <v>42227</v>
      </c>
      <c r="E163" s="295" t="s">
        <v>1211</v>
      </c>
      <c r="F163" s="296">
        <f t="shared" si="59"/>
        <v>490509557.99999994</v>
      </c>
      <c r="G163" s="297" t="s">
        <v>604</v>
      </c>
      <c r="H163" s="298">
        <v>21780</v>
      </c>
      <c r="I163" s="299">
        <v>22521.1</v>
      </c>
      <c r="J163" s="300"/>
      <c r="K163" s="334">
        <f t="shared" si="60"/>
        <v>25031.879999999026</v>
      </c>
      <c r="L163" s="296"/>
    </row>
    <row r="164" spans="1:12" s="125" customFormat="1" ht="17.25" hidden="1" customHeight="1">
      <c r="A164" s="125">
        <f t="shared" si="57"/>
        <v>8</v>
      </c>
      <c r="B164" s="140">
        <v>42227</v>
      </c>
      <c r="C164" s="141" t="s">
        <v>368</v>
      </c>
      <c r="D164" s="140">
        <f t="shared" si="68"/>
        <v>42227</v>
      </c>
      <c r="E164" s="142" t="s">
        <v>372</v>
      </c>
      <c r="F164" s="145">
        <f t="shared" si="59"/>
        <v>545750000</v>
      </c>
      <c r="G164" s="143" t="s">
        <v>36</v>
      </c>
      <c r="H164" s="178">
        <v>21830</v>
      </c>
      <c r="I164" s="179"/>
      <c r="J164" s="180">
        <v>25000</v>
      </c>
      <c r="K164" s="181">
        <f t="shared" si="60"/>
        <v>31.87999999902604</v>
      </c>
      <c r="L164" s="145"/>
    </row>
    <row r="165" spans="1:12" s="125" customFormat="1" ht="17.25" hidden="1" customHeight="1">
      <c r="A165" s="125">
        <f t="shared" si="57"/>
        <v>8</v>
      </c>
      <c r="B165" s="140">
        <v>42233</v>
      </c>
      <c r="C165" s="141" t="s">
        <v>371</v>
      </c>
      <c r="D165" s="140">
        <f t="shared" si="68"/>
        <v>42233</v>
      </c>
      <c r="E165" s="142" t="s">
        <v>817</v>
      </c>
      <c r="F165" s="145">
        <f t="shared" si="59"/>
        <v>2173201953.4400001</v>
      </c>
      <c r="G165" s="143" t="s">
        <v>442</v>
      </c>
      <c r="H165" s="178">
        <v>22106</v>
      </c>
      <c r="I165" s="179">
        <v>98308.24</v>
      </c>
      <c r="J165" s="180"/>
      <c r="K165" s="181">
        <f t="shared" si="60"/>
        <v>98340.119999999035</v>
      </c>
      <c r="L165" s="145"/>
    </row>
    <row r="166" spans="1:12" s="125" customFormat="1" ht="17.25" hidden="1" customHeight="1">
      <c r="A166" s="125">
        <f t="shared" si="57"/>
        <v>8</v>
      </c>
      <c r="B166" s="140">
        <v>42233</v>
      </c>
      <c r="C166" s="141" t="s">
        <v>368</v>
      </c>
      <c r="D166" s="140">
        <f t="shared" si="68"/>
        <v>42233</v>
      </c>
      <c r="E166" s="142" t="s">
        <v>815</v>
      </c>
      <c r="F166" s="145">
        <f t="shared" si="59"/>
        <v>1215830000</v>
      </c>
      <c r="G166" s="143" t="s">
        <v>370</v>
      </c>
      <c r="H166" s="178">
        <v>22106</v>
      </c>
      <c r="I166" s="179"/>
      <c r="J166" s="180">
        <v>55000</v>
      </c>
      <c r="K166" s="181">
        <f t="shared" si="60"/>
        <v>43340.119999999035</v>
      </c>
      <c r="L166" s="145"/>
    </row>
    <row r="167" spans="1:12" s="125" customFormat="1" ht="17.25" hidden="1" customHeight="1">
      <c r="A167" s="125">
        <f t="shared" si="57"/>
        <v>8</v>
      </c>
      <c r="B167" s="140">
        <v>42233</v>
      </c>
      <c r="C167" s="141" t="s">
        <v>368</v>
      </c>
      <c r="D167" s="140">
        <f t="shared" si="68"/>
        <v>42233</v>
      </c>
      <c r="E167" s="142" t="s">
        <v>372</v>
      </c>
      <c r="F167" s="145">
        <f t="shared" si="59"/>
        <v>956626900</v>
      </c>
      <c r="G167" s="143" t="s">
        <v>36</v>
      </c>
      <c r="H167" s="178">
        <v>22093</v>
      </c>
      <c r="I167" s="179"/>
      <c r="J167" s="180">
        <v>43300</v>
      </c>
      <c r="K167" s="181">
        <f t="shared" si="60"/>
        <v>40.119999999034917</v>
      </c>
      <c r="L167" s="145"/>
    </row>
    <row r="168" spans="1:12" s="125" customFormat="1" ht="17.25" hidden="1" customHeight="1">
      <c r="A168" s="125">
        <f t="shared" si="57"/>
        <v>8</v>
      </c>
      <c r="B168" s="140">
        <v>42241</v>
      </c>
      <c r="C168" s="141" t="s">
        <v>368</v>
      </c>
      <c r="D168" s="140">
        <f t="shared" si="68"/>
        <v>42241</v>
      </c>
      <c r="E168" s="142" t="s">
        <v>394</v>
      </c>
      <c r="F168" s="145">
        <f t="shared" si="59"/>
        <v>337500</v>
      </c>
      <c r="G168" s="143" t="s">
        <v>94</v>
      </c>
      <c r="H168" s="178">
        <v>22500</v>
      </c>
      <c r="I168" s="179"/>
      <c r="J168" s="180">
        <v>15</v>
      </c>
      <c r="K168" s="181">
        <f t="shared" si="60"/>
        <v>25.119999999034917</v>
      </c>
      <c r="L168" s="145"/>
    </row>
    <row r="169" spans="1:12" s="125" customFormat="1" ht="17.25" hidden="1" customHeight="1">
      <c r="A169" s="125">
        <f t="shared" si="57"/>
        <v>8</v>
      </c>
      <c r="B169" s="140">
        <v>42241</v>
      </c>
      <c r="C169" s="141" t="s">
        <v>368</v>
      </c>
      <c r="D169" s="140">
        <f t="shared" ref="D169:D170" si="72">IF(B169="","",B169)</f>
        <v>42241</v>
      </c>
      <c r="E169" s="142" t="s">
        <v>394</v>
      </c>
      <c r="F169" s="145">
        <f t="shared" si="59"/>
        <v>33750</v>
      </c>
      <c r="G169" s="143" t="s">
        <v>35</v>
      </c>
      <c r="H169" s="178">
        <v>22500</v>
      </c>
      <c r="I169" s="179"/>
      <c r="J169" s="180">
        <v>1.5</v>
      </c>
      <c r="K169" s="181">
        <f t="shared" si="60"/>
        <v>23.619999999034917</v>
      </c>
      <c r="L169" s="145"/>
    </row>
    <row r="170" spans="1:12" s="125" customFormat="1" ht="17.25" hidden="1" customHeight="1">
      <c r="A170" s="125">
        <f t="shared" si="57"/>
        <v>8</v>
      </c>
      <c r="B170" s="140">
        <v>42242</v>
      </c>
      <c r="C170" s="141" t="s">
        <v>371</v>
      </c>
      <c r="D170" s="140">
        <f t="shared" si="72"/>
        <v>42242</v>
      </c>
      <c r="E170" s="142" t="s">
        <v>817</v>
      </c>
      <c r="F170" s="145">
        <f t="shared" ref="F170" si="73">(I170+J170)*H170</f>
        <v>105219970.8</v>
      </c>
      <c r="G170" s="143" t="s">
        <v>442</v>
      </c>
      <c r="H170" s="178">
        <v>22520</v>
      </c>
      <c r="I170" s="179">
        <v>4672.29</v>
      </c>
      <c r="J170" s="180"/>
      <c r="K170" s="181">
        <f t="shared" si="60"/>
        <v>4695.9099999990349</v>
      </c>
      <c r="L170" s="145"/>
    </row>
    <row r="171" spans="1:12" s="125" customFormat="1" ht="17.25" hidden="1" customHeight="1">
      <c r="A171" s="125">
        <f t="shared" si="57"/>
        <v>8</v>
      </c>
      <c r="B171" s="140">
        <v>42243</v>
      </c>
      <c r="C171" s="141" t="s">
        <v>371</v>
      </c>
      <c r="D171" s="140">
        <f t="shared" ref="D171:D173" si="74">IF(B171="","",B171)</f>
        <v>42243</v>
      </c>
      <c r="E171" s="142" t="s">
        <v>622</v>
      </c>
      <c r="F171" s="145">
        <f t="shared" ref="F171" si="75">(I171+J171)*H171</f>
        <v>516348336.19999999</v>
      </c>
      <c r="G171" s="143" t="s">
        <v>442</v>
      </c>
      <c r="H171" s="178">
        <v>22510</v>
      </c>
      <c r="I171" s="179">
        <v>22938.62</v>
      </c>
      <c r="J171" s="180"/>
      <c r="K171" s="181">
        <f t="shared" ref="K171" si="76">IF(B171&lt;&gt;"",K170+I171-J171,0)</f>
        <v>27634.529999999035</v>
      </c>
      <c r="L171" s="145"/>
    </row>
    <row r="172" spans="1:12" s="125" customFormat="1" ht="17.25" hidden="1" customHeight="1">
      <c r="A172" s="125">
        <f t="shared" si="57"/>
        <v>8</v>
      </c>
      <c r="B172" s="140">
        <v>42245</v>
      </c>
      <c r="C172" s="141" t="s">
        <v>371</v>
      </c>
      <c r="D172" s="140">
        <f t="shared" si="74"/>
        <v>42245</v>
      </c>
      <c r="E172" s="142" t="s">
        <v>677</v>
      </c>
      <c r="F172" s="145">
        <f t="shared" si="59"/>
        <v>1566507500</v>
      </c>
      <c r="G172" s="143" t="s">
        <v>36</v>
      </c>
      <c r="H172" s="178">
        <v>22475</v>
      </c>
      <c r="I172" s="179">
        <v>69700</v>
      </c>
      <c r="J172" s="180"/>
      <c r="K172" s="181">
        <f t="shared" si="60"/>
        <v>97334.529999999038</v>
      </c>
      <c r="L172" s="145"/>
    </row>
    <row r="173" spans="1:12" s="125" customFormat="1" ht="17.25" hidden="1" customHeight="1">
      <c r="A173" s="125">
        <f t="shared" si="57"/>
        <v>8</v>
      </c>
      <c r="B173" s="140">
        <v>42245</v>
      </c>
      <c r="C173" s="141" t="s">
        <v>368</v>
      </c>
      <c r="D173" s="140">
        <f t="shared" si="74"/>
        <v>42245</v>
      </c>
      <c r="E173" s="142" t="s">
        <v>1008</v>
      </c>
      <c r="F173" s="145">
        <f t="shared" si="59"/>
        <v>2186817500</v>
      </c>
      <c r="G173" s="143" t="s">
        <v>438</v>
      </c>
      <c r="H173" s="178">
        <v>22475</v>
      </c>
      <c r="I173" s="179"/>
      <c r="J173" s="180">
        <v>97300</v>
      </c>
      <c r="K173" s="181">
        <f t="shared" si="60"/>
        <v>34.529999999038409</v>
      </c>
      <c r="L173" s="145"/>
    </row>
    <row r="174" spans="1:12" s="125" customFormat="1" ht="17.25" hidden="1" customHeight="1">
      <c r="A174" s="125">
        <f t="shared" si="57"/>
        <v>8</v>
      </c>
      <c r="B174" s="140">
        <v>42247</v>
      </c>
      <c r="C174" s="141" t="s">
        <v>371</v>
      </c>
      <c r="D174" s="140">
        <f t="shared" ref="D174" si="77">IF(B174="","",B174)</f>
        <v>42247</v>
      </c>
      <c r="E174" s="142" t="s">
        <v>1009</v>
      </c>
      <c r="F174" s="145">
        <f t="shared" ref="F174" si="78">(I174+J174)*H174</f>
        <v>1842950000</v>
      </c>
      <c r="G174" s="143" t="s">
        <v>438</v>
      </c>
      <c r="H174" s="178">
        <v>22475</v>
      </c>
      <c r="I174" s="179">
        <v>82000</v>
      </c>
      <c r="J174" s="180"/>
      <c r="K174" s="181">
        <f t="shared" ref="K174" si="79">IF(B174&lt;&gt;"",K173+I174-J174,0)</f>
        <v>82034.529999999038</v>
      </c>
      <c r="L174" s="145"/>
    </row>
    <row r="175" spans="1:12" s="125" customFormat="1" ht="17.25" hidden="1" customHeight="1">
      <c r="A175" s="125">
        <f t="shared" si="57"/>
        <v>8</v>
      </c>
      <c r="B175" s="140">
        <v>42247</v>
      </c>
      <c r="C175" s="141" t="s">
        <v>368</v>
      </c>
      <c r="D175" s="140">
        <f t="shared" ref="D175:D176" si="80">IF(B175="","",B175)</f>
        <v>42247</v>
      </c>
      <c r="E175" s="142" t="s">
        <v>372</v>
      </c>
      <c r="F175" s="145">
        <f t="shared" si="59"/>
        <v>1842540000</v>
      </c>
      <c r="G175" s="143" t="s">
        <v>36</v>
      </c>
      <c r="H175" s="178">
        <v>22470</v>
      </c>
      <c r="I175" s="179"/>
      <c r="J175" s="180">
        <v>82000</v>
      </c>
      <c r="K175" s="181">
        <f t="shared" si="60"/>
        <v>34.529999999038409</v>
      </c>
      <c r="L175" s="145"/>
    </row>
    <row r="176" spans="1:12" s="125" customFormat="1" ht="17.25" hidden="1" customHeight="1">
      <c r="A176" s="125">
        <f t="shared" si="57"/>
        <v>9</v>
      </c>
      <c r="B176" s="140">
        <v>42248</v>
      </c>
      <c r="C176" s="141" t="s">
        <v>371</v>
      </c>
      <c r="D176" s="140">
        <f t="shared" si="80"/>
        <v>42248</v>
      </c>
      <c r="E176" s="142" t="s">
        <v>677</v>
      </c>
      <c r="F176" s="145">
        <f t="shared" si="59"/>
        <v>899520000</v>
      </c>
      <c r="G176" s="143" t="s">
        <v>36</v>
      </c>
      <c r="H176" s="178">
        <v>22488</v>
      </c>
      <c r="I176" s="179">
        <v>40000</v>
      </c>
      <c r="J176" s="180"/>
      <c r="K176" s="181">
        <f t="shared" si="60"/>
        <v>40034.529999999038</v>
      </c>
      <c r="L176" s="145"/>
    </row>
    <row r="177" spans="1:12" s="125" customFormat="1" ht="17.25" hidden="1" customHeight="1">
      <c r="A177" s="125">
        <f t="shared" si="57"/>
        <v>9</v>
      </c>
      <c r="B177" s="140">
        <v>42248</v>
      </c>
      <c r="C177" s="141" t="s">
        <v>368</v>
      </c>
      <c r="D177" s="140">
        <v>42248</v>
      </c>
      <c r="E177" s="142" t="s">
        <v>1100</v>
      </c>
      <c r="F177" s="145">
        <f t="shared" si="59"/>
        <v>899520000</v>
      </c>
      <c r="G177" s="143" t="s">
        <v>438</v>
      </c>
      <c r="H177" s="178">
        <v>22488</v>
      </c>
      <c r="I177" s="179"/>
      <c r="J177" s="180">
        <v>40000</v>
      </c>
      <c r="K177" s="181">
        <f t="shared" si="60"/>
        <v>34.529999999038409</v>
      </c>
      <c r="L177" s="145"/>
    </row>
    <row r="178" spans="1:12" s="125" customFormat="1" ht="17.25" hidden="1" customHeight="1">
      <c r="A178" s="125">
        <f t="shared" si="57"/>
        <v>9</v>
      </c>
      <c r="B178" s="140">
        <v>42248</v>
      </c>
      <c r="C178" s="141" t="s">
        <v>371</v>
      </c>
      <c r="D178" s="140">
        <v>42248</v>
      </c>
      <c r="E178" s="142" t="s">
        <v>1101</v>
      </c>
      <c r="F178" s="145">
        <f t="shared" si="59"/>
        <v>899520000</v>
      </c>
      <c r="G178" s="143" t="s">
        <v>438</v>
      </c>
      <c r="H178" s="178">
        <v>22488</v>
      </c>
      <c r="I178" s="179">
        <v>40000</v>
      </c>
      <c r="J178" s="180"/>
      <c r="K178" s="181">
        <f t="shared" si="60"/>
        <v>40034.529999999038</v>
      </c>
      <c r="L178" s="145"/>
    </row>
    <row r="179" spans="1:12" s="125" customFormat="1" ht="17.25" hidden="1" customHeight="1">
      <c r="A179" s="125">
        <f t="shared" si="57"/>
        <v>9</v>
      </c>
      <c r="B179" s="140">
        <v>42248</v>
      </c>
      <c r="C179" s="141" t="s">
        <v>368</v>
      </c>
      <c r="D179" s="140">
        <v>42248</v>
      </c>
      <c r="E179" s="142" t="s">
        <v>372</v>
      </c>
      <c r="F179" s="145">
        <f t="shared" si="59"/>
        <v>899520000</v>
      </c>
      <c r="G179" s="143" t="s">
        <v>36</v>
      </c>
      <c r="H179" s="178">
        <v>22488</v>
      </c>
      <c r="I179" s="179"/>
      <c r="J179" s="180">
        <v>40000</v>
      </c>
      <c r="K179" s="181">
        <f t="shared" si="60"/>
        <v>34.529999999038409</v>
      </c>
      <c r="L179" s="145"/>
    </row>
    <row r="180" spans="1:12" s="125" customFormat="1" ht="17.25" hidden="1" customHeight="1">
      <c r="A180" s="125">
        <f t="shared" si="57"/>
        <v>9</v>
      </c>
      <c r="B180" s="140">
        <v>42251</v>
      </c>
      <c r="C180" s="141" t="s">
        <v>371</v>
      </c>
      <c r="D180" s="140">
        <v>42251</v>
      </c>
      <c r="E180" s="142" t="s">
        <v>677</v>
      </c>
      <c r="F180" s="145">
        <f t="shared" si="59"/>
        <v>1124250000</v>
      </c>
      <c r="G180" s="143" t="s">
        <v>36</v>
      </c>
      <c r="H180" s="178">
        <v>22485</v>
      </c>
      <c r="I180" s="179">
        <v>50000</v>
      </c>
      <c r="J180" s="180"/>
      <c r="K180" s="181">
        <f t="shared" si="60"/>
        <v>50034.529999999038</v>
      </c>
      <c r="L180" s="145"/>
    </row>
    <row r="181" spans="1:12" s="125" customFormat="1" ht="17.25" hidden="1" customHeight="1">
      <c r="A181" s="125">
        <f t="shared" si="57"/>
        <v>9</v>
      </c>
      <c r="B181" s="140">
        <v>42251</v>
      </c>
      <c r="C181" s="141" t="s">
        <v>368</v>
      </c>
      <c r="D181" s="140">
        <v>42251</v>
      </c>
      <c r="E181" s="142" t="s">
        <v>1102</v>
      </c>
      <c r="F181" s="145">
        <f t="shared" si="59"/>
        <v>1124250000</v>
      </c>
      <c r="G181" s="143" t="s">
        <v>438</v>
      </c>
      <c r="H181" s="178">
        <v>22485</v>
      </c>
      <c r="I181" s="179"/>
      <c r="J181" s="180">
        <v>50000</v>
      </c>
      <c r="K181" s="181">
        <f t="shared" si="60"/>
        <v>34.529999999038409</v>
      </c>
      <c r="L181" s="145"/>
    </row>
    <row r="182" spans="1:12" s="125" customFormat="1" ht="17.25" hidden="1" customHeight="1">
      <c r="A182" s="125">
        <f t="shared" si="57"/>
        <v>9</v>
      </c>
      <c r="B182" s="140">
        <v>42251</v>
      </c>
      <c r="C182" s="141" t="s">
        <v>371</v>
      </c>
      <c r="D182" s="140">
        <v>42251</v>
      </c>
      <c r="E182" s="142" t="s">
        <v>1103</v>
      </c>
      <c r="F182" s="145">
        <f t="shared" si="59"/>
        <v>1124250000</v>
      </c>
      <c r="G182" s="143" t="s">
        <v>438</v>
      </c>
      <c r="H182" s="178">
        <v>22485</v>
      </c>
      <c r="I182" s="179">
        <v>50000</v>
      </c>
      <c r="J182" s="180"/>
      <c r="K182" s="181">
        <f t="shared" si="60"/>
        <v>50034.529999999038</v>
      </c>
      <c r="L182" s="145"/>
    </row>
    <row r="183" spans="1:12" s="125" customFormat="1" ht="17.25" hidden="1" customHeight="1">
      <c r="A183" s="125">
        <f t="shared" si="57"/>
        <v>9</v>
      </c>
      <c r="B183" s="140">
        <v>42251</v>
      </c>
      <c r="C183" s="141" t="s">
        <v>368</v>
      </c>
      <c r="D183" s="140">
        <v>42251</v>
      </c>
      <c r="E183" s="142" t="s">
        <v>372</v>
      </c>
      <c r="F183" s="145">
        <f t="shared" si="59"/>
        <v>1124250000</v>
      </c>
      <c r="G183" s="143" t="s">
        <v>36</v>
      </c>
      <c r="H183" s="178">
        <v>22485</v>
      </c>
      <c r="I183" s="179"/>
      <c r="J183" s="180">
        <v>50000</v>
      </c>
      <c r="K183" s="181">
        <f t="shared" si="60"/>
        <v>34.529999999038409</v>
      </c>
      <c r="L183" s="145"/>
    </row>
    <row r="184" spans="1:12" s="125" customFormat="1" ht="17.25" hidden="1" customHeight="1">
      <c r="A184" s="125">
        <f t="shared" si="57"/>
        <v>9</v>
      </c>
      <c r="B184" s="140">
        <v>42254</v>
      </c>
      <c r="C184" s="141" t="s">
        <v>371</v>
      </c>
      <c r="D184" s="140">
        <v>42254</v>
      </c>
      <c r="E184" s="142" t="s">
        <v>622</v>
      </c>
      <c r="F184" s="145">
        <f t="shared" si="59"/>
        <v>24986625.5</v>
      </c>
      <c r="G184" s="143" t="s">
        <v>442</v>
      </c>
      <c r="H184" s="178">
        <v>22450</v>
      </c>
      <c r="I184" s="179">
        <v>1112.99</v>
      </c>
      <c r="J184" s="180"/>
      <c r="K184" s="181">
        <f t="shared" si="60"/>
        <v>1147.5199999990384</v>
      </c>
      <c r="L184" s="145"/>
    </row>
    <row r="185" spans="1:12" s="125" customFormat="1" ht="17.25" hidden="1" customHeight="1">
      <c r="A185" s="125">
        <f t="shared" si="57"/>
        <v>9</v>
      </c>
      <c r="B185" s="140">
        <v>42255</v>
      </c>
      <c r="C185" s="141" t="s">
        <v>368</v>
      </c>
      <c r="D185" s="140">
        <v>42255</v>
      </c>
      <c r="E185" s="142" t="s">
        <v>1104</v>
      </c>
      <c r="F185" s="145">
        <f t="shared" si="59"/>
        <v>45020</v>
      </c>
      <c r="G185" s="143" t="s">
        <v>94</v>
      </c>
      <c r="H185" s="178">
        <v>22510</v>
      </c>
      <c r="I185" s="179"/>
      <c r="J185" s="180">
        <v>2</v>
      </c>
      <c r="K185" s="181">
        <f t="shared" si="60"/>
        <v>1145.5199999990384</v>
      </c>
      <c r="L185" s="145"/>
    </row>
    <row r="186" spans="1:12" s="125" customFormat="1" ht="17.25" hidden="1" customHeight="1">
      <c r="A186" s="125">
        <f t="shared" si="57"/>
        <v>9</v>
      </c>
      <c r="B186" s="140">
        <v>42262</v>
      </c>
      <c r="C186" s="141" t="s">
        <v>368</v>
      </c>
      <c r="D186" s="140">
        <v>42262</v>
      </c>
      <c r="E186" s="142" t="s">
        <v>461</v>
      </c>
      <c r="F186" s="145">
        <f t="shared" si="59"/>
        <v>337050</v>
      </c>
      <c r="G186" s="143" t="s">
        <v>94</v>
      </c>
      <c r="H186" s="178">
        <v>22470</v>
      </c>
      <c r="I186" s="179"/>
      <c r="J186" s="180">
        <v>15</v>
      </c>
      <c r="K186" s="181">
        <f t="shared" si="60"/>
        <v>1130.5199999990384</v>
      </c>
      <c r="L186" s="145"/>
    </row>
    <row r="187" spans="1:12" s="125" customFormat="1" ht="17.25" hidden="1" customHeight="1">
      <c r="A187" s="125">
        <f t="shared" si="57"/>
        <v>9</v>
      </c>
      <c r="B187" s="140">
        <v>42262</v>
      </c>
      <c r="C187" s="141" t="s">
        <v>368</v>
      </c>
      <c r="D187" s="140">
        <v>42262</v>
      </c>
      <c r="E187" s="142" t="s">
        <v>462</v>
      </c>
      <c r="F187" s="145">
        <f t="shared" si="59"/>
        <v>33705</v>
      </c>
      <c r="G187" s="143" t="s">
        <v>35</v>
      </c>
      <c r="H187" s="178">
        <v>22470</v>
      </c>
      <c r="I187" s="179"/>
      <c r="J187" s="180">
        <v>1.5</v>
      </c>
      <c r="K187" s="181">
        <f t="shared" si="60"/>
        <v>1129.0199999990384</v>
      </c>
      <c r="L187" s="145"/>
    </row>
    <row r="188" spans="1:12" s="125" customFormat="1" ht="17.25" hidden="1" customHeight="1">
      <c r="A188" s="125">
        <f t="shared" si="57"/>
        <v>9</v>
      </c>
      <c r="B188" s="140">
        <v>42265</v>
      </c>
      <c r="C188" s="141" t="s">
        <v>368</v>
      </c>
      <c r="D188" s="140">
        <v>42265</v>
      </c>
      <c r="E188" s="142" t="s">
        <v>1105</v>
      </c>
      <c r="F188" s="145">
        <f t="shared" si="59"/>
        <v>14550075</v>
      </c>
      <c r="G188" s="143" t="s">
        <v>374</v>
      </c>
      <c r="H188" s="178">
        <v>22500</v>
      </c>
      <c r="I188" s="179"/>
      <c r="J188" s="180">
        <v>646.66999999999996</v>
      </c>
      <c r="K188" s="181">
        <f t="shared" si="60"/>
        <v>482.34999999903846</v>
      </c>
      <c r="L188" s="145"/>
    </row>
    <row r="189" spans="1:12" s="125" customFormat="1" ht="17.25" hidden="1" customHeight="1">
      <c r="A189" s="125">
        <f t="shared" si="57"/>
        <v>9</v>
      </c>
      <c r="B189" s="140">
        <v>42265</v>
      </c>
      <c r="C189" s="141" t="s">
        <v>371</v>
      </c>
      <c r="D189" s="140">
        <v>42265</v>
      </c>
      <c r="E189" s="142" t="s">
        <v>622</v>
      </c>
      <c r="F189" s="145">
        <f t="shared" si="59"/>
        <v>1297318950</v>
      </c>
      <c r="G189" s="143" t="s">
        <v>442</v>
      </c>
      <c r="H189" s="178">
        <v>22500</v>
      </c>
      <c r="I189" s="179">
        <v>57658.62</v>
      </c>
      <c r="J189" s="180"/>
      <c r="K189" s="181">
        <f t="shared" si="60"/>
        <v>58140.969999999041</v>
      </c>
      <c r="L189" s="145"/>
    </row>
    <row r="190" spans="1:12" s="125" customFormat="1" ht="17.25" hidden="1" customHeight="1">
      <c r="A190" s="125">
        <f t="shared" si="57"/>
        <v>9</v>
      </c>
      <c r="B190" s="140">
        <v>42265</v>
      </c>
      <c r="C190" s="141" t="s">
        <v>368</v>
      </c>
      <c r="D190" s="140">
        <v>42265</v>
      </c>
      <c r="E190" s="142" t="s">
        <v>1129</v>
      </c>
      <c r="F190" s="145">
        <f t="shared" si="59"/>
        <v>10860960</v>
      </c>
      <c r="G190" s="143" t="s">
        <v>94</v>
      </c>
      <c r="H190" s="178">
        <v>22440</v>
      </c>
      <c r="I190" s="179"/>
      <c r="J190" s="180">
        <v>484</v>
      </c>
      <c r="K190" s="181">
        <f t="shared" si="60"/>
        <v>57656.969999999041</v>
      </c>
      <c r="L190" s="145"/>
    </row>
    <row r="191" spans="1:12" s="125" customFormat="1" ht="17.25" hidden="1" customHeight="1">
      <c r="A191" s="125">
        <f t="shared" si="57"/>
        <v>9</v>
      </c>
      <c r="B191" s="140">
        <v>42265</v>
      </c>
      <c r="C191" s="141" t="s">
        <v>368</v>
      </c>
      <c r="D191" s="140">
        <v>42265</v>
      </c>
      <c r="E191" s="142" t="s">
        <v>394</v>
      </c>
      <c r="F191" s="145">
        <f t="shared" ref="F191" si="81">(I191+J191)*H191</f>
        <v>224400</v>
      </c>
      <c r="G191" s="143" t="s">
        <v>94</v>
      </c>
      <c r="H191" s="178">
        <v>22440</v>
      </c>
      <c r="I191" s="179"/>
      <c r="J191" s="180">
        <v>10</v>
      </c>
      <c r="K191" s="181">
        <f t="shared" si="60"/>
        <v>57646.969999999041</v>
      </c>
      <c r="L191" s="145"/>
    </row>
    <row r="192" spans="1:12" s="125" customFormat="1" ht="17.25" hidden="1" customHeight="1">
      <c r="A192" s="125">
        <f t="shared" si="57"/>
        <v>9</v>
      </c>
      <c r="B192" s="140">
        <v>42265</v>
      </c>
      <c r="C192" s="141" t="s">
        <v>368</v>
      </c>
      <c r="D192" s="140">
        <v>42265</v>
      </c>
      <c r="E192" s="142" t="s">
        <v>395</v>
      </c>
      <c r="F192" s="145">
        <f t="shared" ref="F192" si="82">(I192+J192)*H192</f>
        <v>22440</v>
      </c>
      <c r="G192" s="143" t="s">
        <v>35</v>
      </c>
      <c r="H192" s="178">
        <v>22440</v>
      </c>
      <c r="I192" s="179"/>
      <c r="J192" s="180">
        <v>1</v>
      </c>
      <c r="K192" s="181">
        <f t="shared" si="60"/>
        <v>57645.969999999041</v>
      </c>
      <c r="L192" s="145"/>
    </row>
    <row r="193" spans="1:12" s="125" customFormat="1" ht="17.25" hidden="1" customHeight="1">
      <c r="A193" s="125">
        <f t="shared" si="57"/>
        <v>9</v>
      </c>
      <c r="B193" s="140">
        <v>42265</v>
      </c>
      <c r="C193" s="141" t="s">
        <v>368</v>
      </c>
      <c r="D193" s="140">
        <v>42265</v>
      </c>
      <c r="E193" s="142" t="s">
        <v>372</v>
      </c>
      <c r="F193" s="145">
        <f t="shared" si="59"/>
        <v>1293926400</v>
      </c>
      <c r="G193" s="143" t="s">
        <v>36</v>
      </c>
      <c r="H193" s="178">
        <v>22464</v>
      </c>
      <c r="I193" s="179"/>
      <c r="J193" s="180">
        <v>57600</v>
      </c>
      <c r="K193" s="181">
        <f t="shared" si="60"/>
        <v>45.969999999040738</v>
      </c>
      <c r="L193" s="145"/>
    </row>
    <row r="194" spans="1:12" s="125" customFormat="1" ht="17.25" hidden="1" customHeight="1">
      <c r="A194" s="125">
        <f t="shared" si="57"/>
        <v>9</v>
      </c>
      <c r="B194" s="140">
        <v>42277</v>
      </c>
      <c r="C194" s="141" t="s">
        <v>371</v>
      </c>
      <c r="D194" s="140">
        <v>42277</v>
      </c>
      <c r="E194" s="142" t="s">
        <v>622</v>
      </c>
      <c r="F194" s="145">
        <f t="shared" si="59"/>
        <v>65303907</v>
      </c>
      <c r="G194" s="143" t="s">
        <v>442</v>
      </c>
      <c r="H194" s="178">
        <v>22450</v>
      </c>
      <c r="I194" s="179">
        <v>2908.86</v>
      </c>
      <c r="J194" s="180"/>
      <c r="K194" s="181">
        <f t="shared" si="60"/>
        <v>2954.8299999990409</v>
      </c>
      <c r="L194" s="145"/>
    </row>
    <row r="195" spans="1:12" s="125" customFormat="1" ht="17.25" hidden="1" customHeight="1">
      <c r="A195" s="125">
        <f t="shared" si="57"/>
        <v>9</v>
      </c>
      <c r="B195" s="140">
        <v>42277</v>
      </c>
      <c r="C195" s="141" t="s">
        <v>368</v>
      </c>
      <c r="D195" s="140">
        <v>42277</v>
      </c>
      <c r="E195" s="142" t="s">
        <v>815</v>
      </c>
      <c r="F195" s="145">
        <f t="shared" si="59"/>
        <v>2283165000</v>
      </c>
      <c r="G195" s="143" t="s">
        <v>370</v>
      </c>
      <c r="H195" s="178">
        <v>22450</v>
      </c>
      <c r="I195" s="179">
        <v>101700</v>
      </c>
      <c r="J195" s="180"/>
      <c r="K195" s="181">
        <f t="shared" si="60"/>
        <v>104654.82999999904</v>
      </c>
      <c r="L195" s="145"/>
    </row>
    <row r="196" spans="1:12" s="125" customFormat="1" ht="17.25" hidden="1" customHeight="1">
      <c r="A196" s="125">
        <f t="shared" si="57"/>
        <v>9</v>
      </c>
      <c r="B196" s="140">
        <v>42277</v>
      </c>
      <c r="C196" s="141" t="s">
        <v>368</v>
      </c>
      <c r="D196" s="140">
        <v>42277</v>
      </c>
      <c r="E196" s="142" t="s">
        <v>1106</v>
      </c>
      <c r="F196" s="145">
        <f t="shared" si="59"/>
        <v>2009275000</v>
      </c>
      <c r="G196" s="143" t="s">
        <v>438</v>
      </c>
      <c r="H196" s="178">
        <v>22450</v>
      </c>
      <c r="I196" s="179"/>
      <c r="J196" s="180">
        <v>89500</v>
      </c>
      <c r="K196" s="181">
        <f t="shared" si="60"/>
        <v>15154.829999999041</v>
      </c>
      <c r="L196" s="145"/>
    </row>
    <row r="197" spans="1:12" s="125" customFormat="1" ht="17.25" hidden="1" customHeight="1">
      <c r="A197" s="125">
        <f t="shared" si="57"/>
        <v>9</v>
      </c>
      <c r="B197" s="140">
        <v>42277</v>
      </c>
      <c r="C197" s="141" t="s">
        <v>368</v>
      </c>
      <c r="D197" s="140">
        <v>42277</v>
      </c>
      <c r="E197" s="142" t="s">
        <v>1107</v>
      </c>
      <c r="F197" s="145">
        <f t="shared" ref="F197" si="83">(I197+J197)*H197</f>
        <v>2678958.5</v>
      </c>
      <c r="G197" s="143" t="s">
        <v>438</v>
      </c>
      <c r="H197" s="178">
        <v>22450</v>
      </c>
      <c r="I197" s="179"/>
      <c r="J197" s="180">
        <v>119.33</v>
      </c>
      <c r="K197" s="181">
        <f t="shared" ref="K197" si="84">IF(B197&lt;&gt;"",K196+I197-J197,0)</f>
        <v>15035.499999999041</v>
      </c>
      <c r="L197" s="145"/>
    </row>
    <row r="198" spans="1:12" s="125" customFormat="1" ht="17.25" hidden="1" customHeight="1">
      <c r="A198" s="125">
        <f t="shared" si="57"/>
        <v>10</v>
      </c>
      <c r="B198" s="140">
        <v>42278</v>
      </c>
      <c r="C198" s="141" t="s">
        <v>368</v>
      </c>
      <c r="D198" s="140">
        <f>B198</f>
        <v>42278</v>
      </c>
      <c r="E198" s="142" t="s">
        <v>1179</v>
      </c>
      <c r="F198" s="145">
        <f t="shared" si="59"/>
        <v>337080000</v>
      </c>
      <c r="G198" s="143" t="s">
        <v>438</v>
      </c>
      <c r="H198" s="178">
        <v>22472</v>
      </c>
      <c r="I198" s="179"/>
      <c r="J198" s="180">
        <v>15000</v>
      </c>
      <c r="K198" s="181">
        <f t="shared" si="60"/>
        <v>35.499999999041393</v>
      </c>
      <c r="L198" s="145"/>
    </row>
    <row r="199" spans="1:12" s="125" customFormat="1" ht="17.25" hidden="1" customHeight="1">
      <c r="A199" s="125">
        <f t="shared" si="57"/>
        <v>10</v>
      </c>
      <c r="B199" s="140">
        <v>42278</v>
      </c>
      <c r="C199" s="141" t="s">
        <v>371</v>
      </c>
      <c r="D199" s="140">
        <f t="shared" ref="D199:D213" si="85">B199</f>
        <v>42278</v>
      </c>
      <c r="E199" s="142" t="s">
        <v>1180</v>
      </c>
      <c r="F199" s="145">
        <f t="shared" si="59"/>
        <v>2011244000</v>
      </c>
      <c r="G199" s="143" t="s">
        <v>438</v>
      </c>
      <c r="H199" s="178">
        <v>22472</v>
      </c>
      <c r="I199" s="179">
        <v>89500</v>
      </c>
      <c r="J199" s="180"/>
      <c r="K199" s="181">
        <f t="shared" si="60"/>
        <v>89535.49999999904</v>
      </c>
      <c r="L199" s="145"/>
    </row>
    <row r="200" spans="1:12" s="125" customFormat="1" ht="17.25" hidden="1" customHeight="1">
      <c r="A200" s="125">
        <f t="shared" si="57"/>
        <v>10</v>
      </c>
      <c r="B200" s="140">
        <v>42278</v>
      </c>
      <c r="C200" s="141" t="s">
        <v>368</v>
      </c>
      <c r="D200" s="140">
        <f t="shared" si="85"/>
        <v>42278</v>
      </c>
      <c r="E200" s="142" t="s">
        <v>372</v>
      </c>
      <c r="F200" s="145">
        <f t="shared" si="59"/>
        <v>2011244000</v>
      </c>
      <c r="G200" s="143" t="s">
        <v>36</v>
      </c>
      <c r="H200" s="178">
        <v>22472</v>
      </c>
      <c r="I200" s="179"/>
      <c r="J200" s="180">
        <v>89500</v>
      </c>
      <c r="K200" s="181">
        <f t="shared" si="60"/>
        <v>35.499999999039574</v>
      </c>
      <c r="L200" s="145"/>
    </row>
    <row r="201" spans="1:12" s="125" customFormat="1" ht="17.25" hidden="1" customHeight="1">
      <c r="A201" s="125">
        <f t="shared" si="57"/>
        <v>10</v>
      </c>
      <c r="B201" s="140">
        <v>42279</v>
      </c>
      <c r="C201" s="141" t="s">
        <v>371</v>
      </c>
      <c r="D201" s="140">
        <f t="shared" si="85"/>
        <v>42279</v>
      </c>
      <c r="E201" s="142" t="s">
        <v>677</v>
      </c>
      <c r="F201" s="145">
        <f t="shared" si="59"/>
        <v>1832527500</v>
      </c>
      <c r="G201" s="143" t="s">
        <v>36</v>
      </c>
      <c r="H201" s="178">
        <v>22485</v>
      </c>
      <c r="I201" s="179">
        <v>81500</v>
      </c>
      <c r="J201" s="180"/>
      <c r="K201" s="181">
        <f t="shared" si="60"/>
        <v>81535.49999999904</v>
      </c>
      <c r="L201" s="145"/>
    </row>
    <row r="202" spans="1:12" s="125" customFormat="1" ht="17.25" hidden="1" customHeight="1">
      <c r="A202" s="125">
        <f t="shared" si="57"/>
        <v>10</v>
      </c>
      <c r="B202" s="140">
        <v>42279</v>
      </c>
      <c r="C202" s="141" t="s">
        <v>368</v>
      </c>
      <c r="D202" s="140">
        <f t="shared" si="85"/>
        <v>42279</v>
      </c>
      <c r="E202" s="142" t="s">
        <v>1182</v>
      </c>
      <c r="F202" s="145">
        <f t="shared" si="59"/>
        <v>315037335</v>
      </c>
      <c r="G202" s="143" t="s">
        <v>438</v>
      </c>
      <c r="H202" s="178">
        <v>22485</v>
      </c>
      <c r="I202" s="179"/>
      <c r="J202" s="180">
        <v>14011</v>
      </c>
      <c r="K202" s="181">
        <f t="shared" si="60"/>
        <v>67524.49999999904</v>
      </c>
      <c r="L202" s="145"/>
    </row>
    <row r="203" spans="1:12" s="125" customFormat="1" ht="17.25" hidden="1" customHeight="1">
      <c r="A203" s="125">
        <f t="shared" ref="A203:A204" si="86">IF(B203&lt;&gt;"",MONTH(B203),"")</f>
        <v>10</v>
      </c>
      <c r="B203" s="140">
        <v>42279</v>
      </c>
      <c r="C203" s="141" t="s">
        <v>368</v>
      </c>
      <c r="D203" s="140">
        <f t="shared" ref="D203:D204" si="87">B203</f>
        <v>42279</v>
      </c>
      <c r="E203" s="142" t="s">
        <v>1181</v>
      </c>
      <c r="F203" s="145">
        <f t="shared" ref="F203:F204" si="88">(I203+J203)*H203</f>
        <v>402728835</v>
      </c>
      <c r="G203" s="143" t="s">
        <v>438</v>
      </c>
      <c r="H203" s="178">
        <v>22485</v>
      </c>
      <c r="I203" s="179"/>
      <c r="J203" s="180">
        <v>17911</v>
      </c>
      <c r="K203" s="181">
        <f t="shared" ref="K203:K204" si="89">IF(B203&lt;&gt;"",K202+I203-J203,0)</f>
        <v>49613.49999999904</v>
      </c>
      <c r="L203" s="145"/>
    </row>
    <row r="204" spans="1:12" s="125" customFormat="1" ht="17.25" hidden="1" customHeight="1">
      <c r="A204" s="125">
        <f t="shared" si="86"/>
        <v>10</v>
      </c>
      <c r="B204" s="140">
        <v>42279</v>
      </c>
      <c r="C204" s="141" t="s">
        <v>368</v>
      </c>
      <c r="D204" s="140">
        <f t="shared" si="87"/>
        <v>42279</v>
      </c>
      <c r="E204" s="142" t="s">
        <v>1183</v>
      </c>
      <c r="F204" s="145">
        <f t="shared" si="88"/>
        <v>464495130</v>
      </c>
      <c r="G204" s="143" t="s">
        <v>438</v>
      </c>
      <c r="H204" s="178">
        <v>22485</v>
      </c>
      <c r="I204" s="179"/>
      <c r="J204" s="180">
        <v>20658</v>
      </c>
      <c r="K204" s="181">
        <f t="shared" si="89"/>
        <v>28955.49999999904</v>
      </c>
      <c r="L204" s="145"/>
    </row>
    <row r="205" spans="1:12" s="125" customFormat="1" ht="17.25" hidden="1" customHeight="1">
      <c r="A205" s="125">
        <f t="shared" ref="A205:A261" si="90">IF(B205&lt;&gt;"",MONTH(B205),"")</f>
        <v>10</v>
      </c>
      <c r="B205" s="140">
        <v>42279</v>
      </c>
      <c r="C205" s="141" t="s">
        <v>368</v>
      </c>
      <c r="D205" s="140">
        <f t="shared" si="85"/>
        <v>42279</v>
      </c>
      <c r="E205" s="142" t="s">
        <v>1212</v>
      </c>
      <c r="F205" s="145">
        <f t="shared" si="59"/>
        <v>650266200</v>
      </c>
      <c r="G205" s="143" t="s">
        <v>438</v>
      </c>
      <c r="H205" s="178">
        <v>22485</v>
      </c>
      <c r="I205" s="179"/>
      <c r="J205" s="180">
        <v>28920</v>
      </c>
      <c r="K205" s="181">
        <f t="shared" si="60"/>
        <v>35.499999999039574</v>
      </c>
      <c r="L205" s="145"/>
    </row>
    <row r="206" spans="1:12" s="125" customFormat="1" ht="17.25" hidden="1" customHeight="1">
      <c r="A206" s="125">
        <f t="shared" si="90"/>
        <v>10</v>
      </c>
      <c r="B206" s="140">
        <v>42279</v>
      </c>
      <c r="C206" s="141" t="s">
        <v>371</v>
      </c>
      <c r="D206" s="140">
        <f t="shared" si="85"/>
        <v>42279</v>
      </c>
      <c r="E206" s="142" t="s">
        <v>1184</v>
      </c>
      <c r="F206" s="145">
        <f t="shared" si="59"/>
        <v>2001165000</v>
      </c>
      <c r="G206" s="143" t="s">
        <v>438</v>
      </c>
      <c r="H206" s="178">
        <v>22485</v>
      </c>
      <c r="I206" s="179">
        <v>89000</v>
      </c>
      <c r="J206" s="180"/>
      <c r="K206" s="181">
        <f t="shared" si="60"/>
        <v>89035.49999999904</v>
      </c>
      <c r="L206" s="145"/>
    </row>
    <row r="207" spans="1:12" s="125" customFormat="1" ht="17.25" hidden="1" customHeight="1">
      <c r="A207" s="125">
        <f t="shared" si="90"/>
        <v>10</v>
      </c>
      <c r="B207" s="140">
        <v>42279</v>
      </c>
      <c r="C207" s="141" t="s">
        <v>368</v>
      </c>
      <c r="D207" s="140">
        <f t="shared" si="85"/>
        <v>42279</v>
      </c>
      <c r="E207" s="142" t="s">
        <v>372</v>
      </c>
      <c r="F207" s="145">
        <f>(I207+J207)*H207</f>
        <v>2001165000</v>
      </c>
      <c r="G207" s="143" t="s">
        <v>36</v>
      </c>
      <c r="H207" s="178">
        <v>22485</v>
      </c>
      <c r="I207" s="179"/>
      <c r="J207" s="179">
        <v>89000</v>
      </c>
      <c r="K207" s="181">
        <f>IF(B207&lt;&gt;"",K206+I207-J207,0)</f>
        <v>35.499999999039574</v>
      </c>
      <c r="L207" s="145"/>
    </row>
    <row r="208" spans="1:12" s="125" customFormat="1" ht="17.25" hidden="1" customHeight="1">
      <c r="A208" s="125">
        <f t="shared" si="90"/>
        <v>10</v>
      </c>
      <c r="B208" s="140">
        <v>42298</v>
      </c>
      <c r="C208" s="141" t="s">
        <v>368</v>
      </c>
      <c r="D208" s="140">
        <f t="shared" si="85"/>
        <v>42298</v>
      </c>
      <c r="E208" s="142" t="s">
        <v>1185</v>
      </c>
      <c r="F208" s="145">
        <f t="shared" ref="F208:F254" si="91">(I208+J208)*H208</f>
        <v>367620</v>
      </c>
      <c r="G208" s="143" t="s">
        <v>94</v>
      </c>
      <c r="H208" s="178">
        <v>22280</v>
      </c>
      <c r="I208" s="179"/>
      <c r="J208" s="180">
        <v>16.5</v>
      </c>
      <c r="K208" s="181">
        <f t="shared" si="60"/>
        <v>18.999999999039574</v>
      </c>
      <c r="L208" s="145"/>
    </row>
    <row r="209" spans="1:12" s="125" customFormat="1" ht="17.25" hidden="1" customHeight="1">
      <c r="A209" s="125">
        <f t="shared" si="90"/>
        <v>10</v>
      </c>
      <c r="B209" s="140">
        <v>42300</v>
      </c>
      <c r="C209" s="141" t="s">
        <v>371</v>
      </c>
      <c r="D209" s="140">
        <f t="shared" si="85"/>
        <v>42300</v>
      </c>
      <c r="E209" s="142" t="s">
        <v>622</v>
      </c>
      <c r="F209" s="145">
        <f t="shared" si="91"/>
        <v>510661570.79999995</v>
      </c>
      <c r="G209" s="143" t="s">
        <v>442</v>
      </c>
      <c r="H209" s="178">
        <v>22340</v>
      </c>
      <c r="I209" s="179">
        <v>22858.62</v>
      </c>
      <c r="J209" s="180"/>
      <c r="K209" s="181">
        <f t="shared" si="60"/>
        <v>22877.619999999039</v>
      </c>
      <c r="L209" s="145"/>
    </row>
    <row r="210" spans="1:12" s="125" customFormat="1" ht="17.25" hidden="1" customHeight="1">
      <c r="A210" s="125">
        <f t="shared" si="90"/>
        <v>10</v>
      </c>
      <c r="B210" s="140">
        <v>42303</v>
      </c>
      <c r="C210" s="141" t="s">
        <v>368</v>
      </c>
      <c r="D210" s="140">
        <f t="shared" si="85"/>
        <v>42303</v>
      </c>
      <c r="E210" s="142" t="s">
        <v>372</v>
      </c>
      <c r="F210" s="145">
        <f t="shared" si="91"/>
        <v>519840000</v>
      </c>
      <c r="G210" s="143" t="s">
        <v>370</v>
      </c>
      <c r="H210" s="178">
        <v>22800</v>
      </c>
      <c r="I210" s="179"/>
      <c r="J210" s="180">
        <v>22800</v>
      </c>
      <c r="K210" s="181">
        <f t="shared" si="60"/>
        <v>77.619999999038555</v>
      </c>
      <c r="L210" s="145"/>
    </row>
    <row r="211" spans="1:12" s="125" customFormat="1" ht="17.25" hidden="1" customHeight="1">
      <c r="A211" s="125">
        <f t="shared" si="90"/>
        <v>11</v>
      </c>
      <c r="B211" s="140">
        <v>42313</v>
      </c>
      <c r="C211" s="141" t="s">
        <v>371</v>
      </c>
      <c r="D211" s="140">
        <f t="shared" si="85"/>
        <v>42313</v>
      </c>
      <c r="E211" s="142" t="s">
        <v>622</v>
      </c>
      <c r="F211" s="145">
        <f t="shared" si="91"/>
        <v>27162377.000000004</v>
      </c>
      <c r="G211" s="143" t="s">
        <v>442</v>
      </c>
      <c r="H211" s="178">
        <v>22900</v>
      </c>
      <c r="I211" s="179">
        <v>1186.1300000000001</v>
      </c>
      <c r="J211" s="180"/>
      <c r="K211" s="181">
        <f t="shared" si="60"/>
        <v>1263.7499999990387</v>
      </c>
      <c r="L211" s="145"/>
    </row>
    <row r="212" spans="1:12" s="125" customFormat="1" ht="17.25" hidden="1" customHeight="1">
      <c r="A212" s="125">
        <f t="shared" si="90"/>
        <v>11</v>
      </c>
      <c r="B212" s="140">
        <v>42314</v>
      </c>
      <c r="C212" s="141" t="s">
        <v>368</v>
      </c>
      <c r="D212" s="140">
        <f t="shared" si="85"/>
        <v>42314</v>
      </c>
      <c r="E212" s="142" t="s">
        <v>373</v>
      </c>
      <c r="F212" s="145">
        <f t="shared" si="91"/>
        <v>1234768</v>
      </c>
      <c r="G212" s="143" t="s">
        <v>374</v>
      </c>
      <c r="H212" s="178">
        <v>22900</v>
      </c>
      <c r="I212" s="179"/>
      <c r="J212" s="180">
        <v>53.92</v>
      </c>
      <c r="K212" s="181">
        <f t="shared" si="60"/>
        <v>1209.8299999990386</v>
      </c>
      <c r="L212" s="145"/>
    </row>
    <row r="213" spans="1:12" s="125" customFormat="1" ht="17.25" hidden="1" customHeight="1">
      <c r="A213" s="125">
        <f t="shared" si="90"/>
        <v>11</v>
      </c>
      <c r="B213" s="140">
        <v>42314</v>
      </c>
      <c r="C213" s="141" t="s">
        <v>368</v>
      </c>
      <c r="D213" s="140">
        <f t="shared" si="85"/>
        <v>42314</v>
      </c>
      <c r="E213" s="142" t="s">
        <v>375</v>
      </c>
      <c r="F213" s="145">
        <f t="shared" si="91"/>
        <v>2956619.0000000005</v>
      </c>
      <c r="G213" s="143" t="s">
        <v>374</v>
      </c>
      <c r="H213" s="178">
        <v>22900</v>
      </c>
      <c r="I213" s="179"/>
      <c r="J213" s="180">
        <v>129.11000000000001</v>
      </c>
      <c r="K213" s="181">
        <f t="shared" si="60"/>
        <v>1080.7199999990385</v>
      </c>
      <c r="L213" s="145"/>
    </row>
    <row r="214" spans="1:12" s="125" customFormat="1" ht="17.25" hidden="1" customHeight="1">
      <c r="A214" s="125">
        <f t="shared" si="90"/>
        <v>11</v>
      </c>
      <c r="B214" s="140">
        <v>42314</v>
      </c>
      <c r="C214" s="141" t="s">
        <v>368</v>
      </c>
      <c r="D214" s="140">
        <f t="shared" ref="D214" si="92">B214</f>
        <v>42314</v>
      </c>
      <c r="E214" s="142" t="s">
        <v>376</v>
      </c>
      <c r="F214" s="145">
        <f t="shared" ref="F214" si="93">(I214+J214)*H214</f>
        <v>1820550</v>
      </c>
      <c r="G214" s="143" t="s">
        <v>374</v>
      </c>
      <c r="H214" s="178">
        <v>22900</v>
      </c>
      <c r="I214" s="179"/>
      <c r="J214" s="180">
        <v>79.5</v>
      </c>
      <c r="K214" s="181">
        <f t="shared" si="60"/>
        <v>1001.2199999990385</v>
      </c>
      <c r="L214" s="145"/>
    </row>
    <row r="215" spans="1:12" s="125" customFormat="1" ht="17.25" hidden="1" customHeight="1">
      <c r="A215" s="125">
        <f t="shared" si="90"/>
        <v>11</v>
      </c>
      <c r="B215" s="140">
        <v>42314</v>
      </c>
      <c r="C215" s="141" t="s">
        <v>368</v>
      </c>
      <c r="D215" s="140">
        <f t="shared" ref="D215:D216" si="94">B215</f>
        <v>42314</v>
      </c>
      <c r="E215" s="142" t="s">
        <v>377</v>
      </c>
      <c r="F215" s="145">
        <f t="shared" ref="F215" si="95">(I215+J215)*H215</f>
        <v>2548541</v>
      </c>
      <c r="G215" s="143" t="s">
        <v>374</v>
      </c>
      <c r="H215" s="178">
        <v>22900</v>
      </c>
      <c r="I215" s="179"/>
      <c r="J215" s="180">
        <v>111.29</v>
      </c>
      <c r="K215" s="181">
        <f t="shared" si="60"/>
        <v>889.9299999990385</v>
      </c>
      <c r="L215" s="145"/>
    </row>
    <row r="216" spans="1:12" s="125" customFormat="1" ht="17.25" hidden="1" customHeight="1">
      <c r="A216" s="125">
        <f t="shared" si="90"/>
        <v>11</v>
      </c>
      <c r="B216" s="140">
        <v>42324</v>
      </c>
      <c r="C216" s="141" t="s">
        <v>368</v>
      </c>
      <c r="D216" s="140">
        <f t="shared" si="94"/>
        <v>42324</v>
      </c>
      <c r="E216" s="142" t="s">
        <v>461</v>
      </c>
      <c r="F216" s="145">
        <f t="shared" si="91"/>
        <v>336450</v>
      </c>
      <c r="G216" s="143" t="s">
        <v>94</v>
      </c>
      <c r="H216" s="178">
        <v>22430</v>
      </c>
      <c r="I216" s="179"/>
      <c r="J216" s="180">
        <v>15</v>
      </c>
      <c r="K216" s="181">
        <f t="shared" si="60"/>
        <v>874.9299999990385</v>
      </c>
      <c r="L216" s="145"/>
    </row>
    <row r="217" spans="1:12" s="125" customFormat="1" ht="17.25" hidden="1" customHeight="1">
      <c r="A217" s="125">
        <f t="shared" ref="A217" si="96">IF(B217&lt;&gt;"",MONTH(B217),"")</f>
        <v>11</v>
      </c>
      <c r="B217" s="140">
        <v>42324</v>
      </c>
      <c r="C217" s="141" t="s">
        <v>368</v>
      </c>
      <c r="D217" s="140">
        <f t="shared" ref="D217:D218" si="97">B217</f>
        <v>42324</v>
      </c>
      <c r="E217" s="142" t="s">
        <v>462</v>
      </c>
      <c r="F217" s="145">
        <f t="shared" ref="F217" si="98">(I217+J217)*H217</f>
        <v>33645</v>
      </c>
      <c r="G217" s="143" t="s">
        <v>35</v>
      </c>
      <c r="H217" s="178">
        <v>22430</v>
      </c>
      <c r="I217" s="179"/>
      <c r="J217" s="180">
        <v>1.5</v>
      </c>
      <c r="K217" s="181">
        <f t="shared" ref="K217" si="99">IF(B217&lt;&gt;"",K216+I217-J217,0)</f>
        <v>873.4299999990385</v>
      </c>
      <c r="L217" s="145"/>
    </row>
    <row r="218" spans="1:12" s="125" customFormat="1" ht="17.25" hidden="1" customHeight="1">
      <c r="A218" s="125">
        <f t="shared" si="90"/>
        <v>11</v>
      </c>
      <c r="B218" s="140">
        <v>42326</v>
      </c>
      <c r="C218" s="141" t="s">
        <v>368</v>
      </c>
      <c r="D218" s="140">
        <f t="shared" si="97"/>
        <v>42326</v>
      </c>
      <c r="E218" s="142" t="s">
        <v>999</v>
      </c>
      <c r="F218" s="145">
        <f t="shared" si="91"/>
        <v>1622361.9</v>
      </c>
      <c r="G218" s="143" t="s">
        <v>374</v>
      </c>
      <c r="H218" s="178">
        <v>22430</v>
      </c>
      <c r="I218" s="179"/>
      <c r="J218" s="180">
        <v>72.33</v>
      </c>
      <c r="K218" s="181">
        <f t="shared" si="60"/>
        <v>801.09999999903846</v>
      </c>
      <c r="L218" s="145"/>
    </row>
    <row r="219" spans="1:12" s="125" customFormat="1" ht="17.25" hidden="1" customHeight="1">
      <c r="A219" s="125">
        <f t="shared" ref="A219" si="100">IF(B219&lt;&gt;"",MONTH(B219),"")</f>
        <v>11</v>
      </c>
      <c r="B219" s="140">
        <v>42326</v>
      </c>
      <c r="C219" s="141" t="s">
        <v>368</v>
      </c>
      <c r="D219" s="140">
        <f t="shared" ref="D219" si="101">B219</f>
        <v>42326</v>
      </c>
      <c r="E219" s="142" t="s">
        <v>998</v>
      </c>
      <c r="F219" s="145">
        <f t="shared" ref="F219" si="102">(I219+J219)*H219</f>
        <v>5408097.3000000007</v>
      </c>
      <c r="G219" s="143" t="s">
        <v>374</v>
      </c>
      <c r="H219" s="178">
        <v>22430</v>
      </c>
      <c r="I219" s="179"/>
      <c r="J219" s="180">
        <v>241.11</v>
      </c>
      <c r="K219" s="181">
        <f t="shared" ref="K219" si="103">IF(B219&lt;&gt;"",K218+I219-J219,0)</f>
        <v>559.98999999903845</v>
      </c>
      <c r="L219" s="145"/>
    </row>
    <row r="220" spans="1:12" s="125" customFormat="1" ht="17.25" hidden="1" customHeight="1">
      <c r="A220" s="125">
        <f t="shared" ref="A220" si="104">IF(B220&lt;&gt;"",MONTH(B220),"")</f>
        <v>11</v>
      </c>
      <c r="B220" s="140">
        <v>42326</v>
      </c>
      <c r="C220" s="141" t="s">
        <v>368</v>
      </c>
      <c r="D220" s="140">
        <f t="shared" ref="D220" si="105">B220</f>
        <v>42326</v>
      </c>
      <c r="E220" s="142" t="s">
        <v>1196</v>
      </c>
      <c r="F220" s="145">
        <f t="shared" ref="F220" si="106">(I220+J220)*H220</f>
        <v>3090405.4</v>
      </c>
      <c r="G220" s="143" t="s">
        <v>374</v>
      </c>
      <c r="H220" s="178">
        <v>22430</v>
      </c>
      <c r="I220" s="179"/>
      <c r="J220" s="180">
        <v>137.78</v>
      </c>
      <c r="K220" s="181">
        <f t="shared" ref="K220" si="107">IF(B220&lt;&gt;"",K219+I220-J220,0)</f>
        <v>422.20999999903847</v>
      </c>
      <c r="L220" s="145"/>
    </row>
    <row r="221" spans="1:12" s="125" customFormat="1" ht="17.25" hidden="1" customHeight="1">
      <c r="A221" s="125">
        <f t="shared" ref="A221" si="108">IF(B221&lt;&gt;"",MONTH(B221),"")</f>
        <v>11</v>
      </c>
      <c r="B221" s="140">
        <v>42326</v>
      </c>
      <c r="C221" s="141" t="s">
        <v>368</v>
      </c>
      <c r="D221" s="140">
        <f t="shared" ref="D221" si="109">B221</f>
        <v>42326</v>
      </c>
      <c r="E221" s="142" t="s">
        <v>852</v>
      </c>
      <c r="F221" s="145">
        <f t="shared" ref="F221" si="110">(I221+J221)*H221</f>
        <v>4751346.9000000004</v>
      </c>
      <c r="G221" s="143" t="s">
        <v>374</v>
      </c>
      <c r="H221" s="178">
        <v>22430</v>
      </c>
      <c r="I221" s="179"/>
      <c r="J221" s="180">
        <v>211.83</v>
      </c>
      <c r="K221" s="181">
        <f t="shared" ref="K221" si="111">IF(B221&lt;&gt;"",K220+I221-J221,0)</f>
        <v>210.37999999903846</v>
      </c>
      <c r="L221" s="145"/>
    </row>
    <row r="222" spans="1:12" s="125" customFormat="1" ht="17.25" hidden="1" customHeight="1">
      <c r="A222" s="125">
        <f t="shared" ref="A222" si="112">IF(B222&lt;&gt;"",MONTH(B222),"")</f>
        <v>11</v>
      </c>
      <c r="B222" s="140">
        <v>42326</v>
      </c>
      <c r="C222" s="141" t="s">
        <v>368</v>
      </c>
      <c r="D222" s="140">
        <f t="shared" ref="D222:D224" si="113">B222</f>
        <v>42326</v>
      </c>
      <c r="E222" s="142" t="s">
        <v>1197</v>
      </c>
      <c r="F222" s="145">
        <f t="shared" ref="F222" si="114">(I222+J222)*H222</f>
        <v>3862894.6</v>
      </c>
      <c r="G222" s="143" t="s">
        <v>374</v>
      </c>
      <c r="H222" s="178">
        <v>22430</v>
      </c>
      <c r="I222" s="179"/>
      <c r="J222" s="180">
        <v>172.22</v>
      </c>
      <c r="K222" s="181">
        <f t="shared" ref="K222" si="115">IF(B222&lt;&gt;"",K221+I222-J222,0)</f>
        <v>38.159999999038462</v>
      </c>
      <c r="L222" s="145"/>
    </row>
    <row r="223" spans="1:12" s="302" customFormat="1" ht="17.25" hidden="1" customHeight="1">
      <c r="A223" s="302">
        <f t="shared" si="90"/>
        <v>11</v>
      </c>
      <c r="B223" s="303">
        <v>42328</v>
      </c>
      <c r="C223" s="301" t="s">
        <v>371</v>
      </c>
      <c r="D223" s="303">
        <f t="shared" si="113"/>
        <v>42328</v>
      </c>
      <c r="E223" s="291" t="s">
        <v>1364</v>
      </c>
      <c r="F223" s="306">
        <f t="shared" si="91"/>
        <v>1421718064.8</v>
      </c>
      <c r="G223" s="304" t="s">
        <v>442</v>
      </c>
      <c r="H223" s="335">
        <v>22440</v>
      </c>
      <c r="I223" s="336">
        <v>63356.42</v>
      </c>
      <c r="J223" s="337"/>
      <c r="K223" s="338">
        <f t="shared" si="60"/>
        <v>63394.579999999034</v>
      </c>
      <c r="L223" s="306"/>
    </row>
    <row r="224" spans="1:12" s="125" customFormat="1" ht="17.25" hidden="1" customHeight="1">
      <c r="A224" s="125">
        <f t="shared" si="90"/>
        <v>11</v>
      </c>
      <c r="B224" s="140">
        <v>42328</v>
      </c>
      <c r="C224" s="141" t="s">
        <v>368</v>
      </c>
      <c r="D224" s="140">
        <f t="shared" si="113"/>
        <v>42328</v>
      </c>
      <c r="E224" s="142" t="s">
        <v>1213</v>
      </c>
      <c r="F224" s="145">
        <f t="shared" si="91"/>
        <v>1380060000</v>
      </c>
      <c r="G224" s="143" t="s">
        <v>438</v>
      </c>
      <c r="H224" s="178">
        <v>22440</v>
      </c>
      <c r="I224" s="179"/>
      <c r="J224" s="180">
        <v>61500</v>
      </c>
      <c r="K224" s="181">
        <f t="shared" si="60"/>
        <v>1894.579999999034</v>
      </c>
      <c r="L224" s="145"/>
    </row>
    <row r="225" spans="1:12" s="125" customFormat="1" ht="17.25" hidden="1" customHeight="1">
      <c r="A225" s="125">
        <f t="shared" ref="A225" si="116">IF(B225&lt;&gt;"",MONTH(B225),"")</f>
        <v>11</v>
      </c>
      <c r="B225" s="140">
        <v>42328</v>
      </c>
      <c r="C225" s="141" t="s">
        <v>368</v>
      </c>
      <c r="D225" s="140">
        <f t="shared" ref="D225" si="117">B225</f>
        <v>42328</v>
      </c>
      <c r="E225" s="142" t="s">
        <v>1214</v>
      </c>
      <c r="F225" s="145">
        <f t="shared" ref="F225" si="118">(I225+J225)*H225</f>
        <v>306754.8</v>
      </c>
      <c r="G225" s="143" t="s">
        <v>374</v>
      </c>
      <c r="H225" s="178">
        <v>22440</v>
      </c>
      <c r="I225" s="179"/>
      <c r="J225" s="180">
        <v>13.67</v>
      </c>
      <c r="K225" s="181">
        <f t="shared" ref="K225" si="119">IF(B225&lt;&gt;"",K224+I225-J225,0)</f>
        <v>1880.909999999034</v>
      </c>
      <c r="L225" s="145"/>
    </row>
    <row r="226" spans="1:12" s="125" customFormat="1" ht="17.25" hidden="1" customHeight="1">
      <c r="A226" s="125">
        <f t="shared" ref="A226" si="120">IF(B226&lt;&gt;"",MONTH(B226),"")</f>
        <v>11</v>
      </c>
      <c r="B226" s="140">
        <v>42328</v>
      </c>
      <c r="C226" s="141" t="s">
        <v>368</v>
      </c>
      <c r="D226" s="140">
        <f t="shared" ref="D226" si="121">B226</f>
        <v>42328</v>
      </c>
      <c r="E226" s="142" t="s">
        <v>1215</v>
      </c>
      <c r="F226" s="145">
        <f t="shared" ref="F226" si="122">(I226+J226)*H226</f>
        <v>6920047.2000000002</v>
      </c>
      <c r="G226" s="143" t="s">
        <v>374</v>
      </c>
      <c r="H226" s="178">
        <v>22440</v>
      </c>
      <c r="I226" s="179"/>
      <c r="J226" s="180">
        <v>308.38</v>
      </c>
      <c r="K226" s="181">
        <f t="shared" ref="K226" si="123">IF(B226&lt;&gt;"",K225+I226-J226,0)</f>
        <v>1572.5299999990339</v>
      </c>
      <c r="L226" s="145"/>
    </row>
    <row r="227" spans="1:12" s="125" customFormat="1" ht="17.25" hidden="1" customHeight="1">
      <c r="A227" s="125">
        <f t="shared" ref="A227" si="124">IF(B227&lt;&gt;"",MONTH(B227),"")</f>
        <v>11</v>
      </c>
      <c r="B227" s="140">
        <v>42328</v>
      </c>
      <c r="C227" s="141" t="s">
        <v>368</v>
      </c>
      <c r="D227" s="140">
        <f t="shared" ref="D227" si="125">B227</f>
        <v>42328</v>
      </c>
      <c r="E227" s="142" t="s">
        <v>1216</v>
      </c>
      <c r="F227" s="145">
        <f t="shared" ref="F227" si="126">(I227+J227)*H227</f>
        <v>7499896.8000000007</v>
      </c>
      <c r="G227" s="143" t="s">
        <v>374</v>
      </c>
      <c r="H227" s="178">
        <v>22440</v>
      </c>
      <c r="I227" s="179"/>
      <c r="J227" s="180">
        <v>334.22</v>
      </c>
      <c r="K227" s="181">
        <f t="shared" ref="K227" si="127">IF(B227&lt;&gt;"",K226+I227-J227,0)</f>
        <v>1238.3099999990338</v>
      </c>
      <c r="L227" s="145"/>
    </row>
    <row r="228" spans="1:12" s="125" customFormat="1" ht="17.25" hidden="1" customHeight="1">
      <c r="A228" s="125">
        <f t="shared" ref="A228" si="128">IF(B228&lt;&gt;"",MONTH(B228),"")</f>
        <v>11</v>
      </c>
      <c r="B228" s="140">
        <v>42328</v>
      </c>
      <c r="C228" s="141" t="s">
        <v>368</v>
      </c>
      <c r="D228" s="140">
        <f t="shared" ref="D228" si="129">B228</f>
        <v>42328</v>
      </c>
      <c r="E228" s="142" t="s">
        <v>1217</v>
      </c>
      <c r="F228" s="145">
        <f t="shared" ref="F228" si="130">(I228+J228)*H228</f>
        <v>10714875.6</v>
      </c>
      <c r="G228" s="143" t="s">
        <v>374</v>
      </c>
      <c r="H228" s="178">
        <v>22440</v>
      </c>
      <c r="I228" s="179"/>
      <c r="J228" s="180">
        <v>477.49</v>
      </c>
      <c r="K228" s="181">
        <f t="shared" ref="K228" si="131">IF(B228&lt;&gt;"",K227+I228-J228,0)</f>
        <v>760.81999999903383</v>
      </c>
      <c r="L228" s="145"/>
    </row>
    <row r="229" spans="1:12" s="125" customFormat="1" ht="17.25" hidden="1" customHeight="1">
      <c r="A229" s="125">
        <f t="shared" ref="A229" si="132">IF(B229&lt;&gt;"",MONTH(B229),"")</f>
        <v>11</v>
      </c>
      <c r="B229" s="140">
        <v>42328</v>
      </c>
      <c r="C229" s="141" t="s">
        <v>368</v>
      </c>
      <c r="D229" s="140">
        <f t="shared" ref="D229" si="133">B229</f>
        <v>42328</v>
      </c>
      <c r="E229" s="142" t="s">
        <v>1218</v>
      </c>
      <c r="F229" s="145">
        <f t="shared" ref="F229" si="134">(I229+J229)*H229</f>
        <v>10433029.199999999</v>
      </c>
      <c r="G229" s="143" t="s">
        <v>374</v>
      </c>
      <c r="H229" s="178">
        <v>22440</v>
      </c>
      <c r="I229" s="179"/>
      <c r="J229" s="180">
        <v>464.93</v>
      </c>
      <c r="K229" s="181">
        <f t="shared" ref="K229" si="135">IF(B229&lt;&gt;"",K228+I229-J229,0)</f>
        <v>295.88999999903382</v>
      </c>
      <c r="L229" s="145"/>
    </row>
    <row r="230" spans="1:12" s="125" customFormat="1" ht="17.25" hidden="1" customHeight="1">
      <c r="A230" s="125">
        <f t="shared" ref="A230" si="136">IF(B230&lt;&gt;"",MONTH(B230),"")</f>
        <v>11</v>
      </c>
      <c r="B230" s="140">
        <v>42328</v>
      </c>
      <c r="C230" s="141" t="s">
        <v>371</v>
      </c>
      <c r="D230" s="140">
        <f t="shared" ref="D230" si="137">B230</f>
        <v>42328</v>
      </c>
      <c r="E230" s="142" t="s">
        <v>1219</v>
      </c>
      <c r="F230" s="145">
        <f t="shared" ref="F230" si="138">(I230+J230)*H230</f>
        <v>1368840000</v>
      </c>
      <c r="G230" s="143" t="s">
        <v>374</v>
      </c>
      <c r="H230" s="178">
        <v>22440</v>
      </c>
      <c r="I230" s="179">
        <v>61000</v>
      </c>
      <c r="J230" s="180"/>
      <c r="K230" s="181">
        <f t="shared" ref="K230" si="139">IF(B230&lt;&gt;"",K229+I230-J230,0)</f>
        <v>61295.889999999032</v>
      </c>
      <c r="L230" s="145"/>
    </row>
    <row r="231" spans="1:12" s="125" customFormat="1" ht="17.25" hidden="1" customHeight="1">
      <c r="A231" s="125">
        <f t="shared" ref="A231:A233" si="140">IF(B231&lt;&gt;"",MONTH(B231),"")</f>
        <v>11</v>
      </c>
      <c r="B231" s="140">
        <v>42328</v>
      </c>
      <c r="C231" s="141" t="s">
        <v>368</v>
      </c>
      <c r="D231" s="140">
        <f t="shared" ref="D231:D234" si="141">B231</f>
        <v>42328</v>
      </c>
      <c r="E231" s="142" t="s">
        <v>372</v>
      </c>
      <c r="F231" s="145">
        <f t="shared" ref="F231:F233" si="142">(I231+J231)*H231</f>
        <v>1370670000</v>
      </c>
      <c r="G231" s="143" t="s">
        <v>36</v>
      </c>
      <c r="H231" s="178">
        <v>22470</v>
      </c>
      <c r="I231" s="179"/>
      <c r="J231" s="180">
        <v>61000</v>
      </c>
      <c r="K231" s="181">
        <f t="shared" ref="K231:K233" si="143">IF(B231&lt;&gt;"",K230+I231-J231,0)</f>
        <v>295.88999999903172</v>
      </c>
      <c r="L231" s="145"/>
    </row>
    <row r="232" spans="1:12" s="125" customFormat="1" ht="17.25" hidden="1" customHeight="1">
      <c r="A232" s="125">
        <f t="shared" si="140"/>
        <v>11</v>
      </c>
      <c r="B232" s="140">
        <v>42334</v>
      </c>
      <c r="C232" s="141" t="s">
        <v>368</v>
      </c>
      <c r="D232" s="140">
        <f t="shared" si="141"/>
        <v>42334</v>
      </c>
      <c r="E232" s="142" t="s">
        <v>461</v>
      </c>
      <c r="F232" s="145">
        <f t="shared" si="142"/>
        <v>336900</v>
      </c>
      <c r="G232" s="143" t="s">
        <v>94</v>
      </c>
      <c r="H232" s="178">
        <v>22460</v>
      </c>
      <c r="I232" s="179"/>
      <c r="J232" s="180">
        <v>15</v>
      </c>
      <c r="K232" s="181">
        <f t="shared" si="143"/>
        <v>280.88999999903172</v>
      </c>
      <c r="L232" s="145"/>
    </row>
    <row r="233" spans="1:12" s="125" customFormat="1" ht="17.25" hidden="1" customHeight="1">
      <c r="A233" s="125">
        <f t="shared" si="140"/>
        <v>11</v>
      </c>
      <c r="B233" s="140">
        <v>42334</v>
      </c>
      <c r="C233" s="141" t="s">
        <v>368</v>
      </c>
      <c r="D233" s="140">
        <f t="shared" si="141"/>
        <v>42334</v>
      </c>
      <c r="E233" s="142" t="s">
        <v>462</v>
      </c>
      <c r="F233" s="145">
        <f t="shared" si="142"/>
        <v>33690</v>
      </c>
      <c r="G233" s="143" t="s">
        <v>35</v>
      </c>
      <c r="H233" s="178">
        <v>22460</v>
      </c>
      <c r="I233" s="179"/>
      <c r="J233" s="180">
        <v>1.5</v>
      </c>
      <c r="K233" s="181">
        <f t="shared" si="143"/>
        <v>279.38999999903172</v>
      </c>
      <c r="L233" s="145"/>
    </row>
    <row r="234" spans="1:12" s="302" customFormat="1" ht="17.25" hidden="1" customHeight="1">
      <c r="A234" s="302">
        <f t="shared" si="90"/>
        <v>11</v>
      </c>
      <c r="B234" s="303">
        <v>42335</v>
      </c>
      <c r="C234" s="301" t="s">
        <v>371</v>
      </c>
      <c r="D234" s="303">
        <f t="shared" si="141"/>
        <v>42335</v>
      </c>
      <c r="E234" s="291" t="s">
        <v>1372</v>
      </c>
      <c r="F234" s="306">
        <f t="shared" si="91"/>
        <v>796292295.49999988</v>
      </c>
      <c r="G234" s="304" t="s">
        <v>442</v>
      </c>
      <c r="H234" s="335">
        <v>22450</v>
      </c>
      <c r="I234" s="336">
        <v>35469.589999999997</v>
      </c>
      <c r="J234" s="337"/>
      <c r="K234" s="338">
        <f t="shared" si="60"/>
        <v>35748.979999999028</v>
      </c>
      <c r="L234" s="306"/>
    </row>
    <row r="235" spans="1:12" s="292" customFormat="1" ht="17.25" hidden="1" customHeight="1">
      <c r="A235" s="292">
        <f t="shared" ref="A235" si="144">IF(B235&lt;&gt;"",MONTH(B235),"")</f>
        <v>11</v>
      </c>
      <c r="B235" s="293">
        <v>42335</v>
      </c>
      <c r="C235" s="294" t="s">
        <v>368</v>
      </c>
      <c r="D235" s="293">
        <f t="shared" ref="D235" si="145">B235</f>
        <v>42335</v>
      </c>
      <c r="E235" s="295" t="s">
        <v>1220</v>
      </c>
      <c r="F235" s="296">
        <f t="shared" ref="F235" si="146">(I235+J235)*H235</f>
        <v>507005371.20000005</v>
      </c>
      <c r="G235" s="297" t="s">
        <v>442</v>
      </c>
      <c r="H235" s="298">
        <v>22520</v>
      </c>
      <c r="I235" s="299"/>
      <c r="J235" s="299">
        <v>22513.56</v>
      </c>
      <c r="K235" s="334">
        <f t="shared" ref="K235" si="147">IF(B235&lt;&gt;"",K234+I235-J235,0)</f>
        <v>13235.419999999027</v>
      </c>
      <c r="L235" s="296"/>
    </row>
    <row r="236" spans="1:12" s="292" customFormat="1" ht="17.25" hidden="1" customHeight="1">
      <c r="A236" s="292">
        <f t="shared" ref="A236" si="148">IF(B236&lt;&gt;"",MONTH(B236),"")</f>
        <v>11</v>
      </c>
      <c r="B236" s="293">
        <v>42335</v>
      </c>
      <c r="C236" s="294" t="s">
        <v>368</v>
      </c>
      <c r="D236" s="293">
        <f t="shared" ref="D236" si="149">B236</f>
        <v>42335</v>
      </c>
      <c r="E236" s="295" t="s">
        <v>1221</v>
      </c>
      <c r="F236" s="296">
        <f t="shared" ref="F236" si="150">(I236+J236)*H236</f>
        <v>950794.4</v>
      </c>
      <c r="G236" s="297" t="s">
        <v>94</v>
      </c>
      <c r="H236" s="298">
        <v>22520</v>
      </c>
      <c r="I236" s="299"/>
      <c r="J236" s="299">
        <v>42.22</v>
      </c>
      <c r="K236" s="334">
        <f t="shared" ref="K236" si="151">IF(B236&lt;&gt;"",K235+I236-J236,0)</f>
        <v>13193.199999999028</v>
      </c>
      <c r="L236" s="296"/>
    </row>
    <row r="237" spans="1:12" s="292" customFormat="1" ht="17.25" hidden="1" customHeight="1">
      <c r="A237" s="292">
        <f t="shared" ref="A237" si="152">IF(B237&lt;&gt;"",MONTH(B237),"")</f>
        <v>11</v>
      </c>
      <c r="B237" s="293">
        <v>42335</v>
      </c>
      <c r="C237" s="294" t="s">
        <v>368</v>
      </c>
      <c r="D237" s="293">
        <f t="shared" ref="D237:D255" si="153">B237</f>
        <v>42335</v>
      </c>
      <c r="E237" s="295" t="s">
        <v>1222</v>
      </c>
      <c r="F237" s="296">
        <f t="shared" ref="F237" si="154">(I237+J237)*H237</f>
        <v>95034.4</v>
      </c>
      <c r="G237" s="297" t="s">
        <v>35</v>
      </c>
      <c r="H237" s="298">
        <v>22520</v>
      </c>
      <c r="I237" s="299"/>
      <c r="J237" s="299">
        <v>4.22</v>
      </c>
      <c r="K237" s="334">
        <f t="shared" ref="K237" si="155">IF(B237&lt;&gt;"",K236+I237-J237,0)</f>
        <v>13188.979999999028</v>
      </c>
      <c r="L237" s="296"/>
    </row>
    <row r="238" spans="1:12" s="125" customFormat="1" ht="17.25" hidden="1" customHeight="1">
      <c r="A238" s="125">
        <f t="shared" si="90"/>
        <v>11</v>
      </c>
      <c r="B238" s="140">
        <v>42335</v>
      </c>
      <c r="C238" s="141" t="s">
        <v>371</v>
      </c>
      <c r="D238" s="140">
        <f t="shared" si="153"/>
        <v>42335</v>
      </c>
      <c r="E238" s="142" t="s">
        <v>815</v>
      </c>
      <c r="F238" s="145">
        <f t="shared" si="91"/>
        <v>101340000</v>
      </c>
      <c r="G238" s="143" t="s">
        <v>370</v>
      </c>
      <c r="H238" s="178">
        <v>22520</v>
      </c>
      <c r="I238" s="179">
        <v>4500</v>
      </c>
      <c r="J238" s="180"/>
      <c r="K238" s="181">
        <f t="shared" si="60"/>
        <v>17688.979999999028</v>
      </c>
      <c r="L238" s="145"/>
    </row>
    <row r="239" spans="1:12" s="125" customFormat="1" ht="17.25" hidden="1" customHeight="1">
      <c r="A239" s="125">
        <f t="shared" si="90"/>
        <v>11</v>
      </c>
      <c r="B239" s="140">
        <v>42335</v>
      </c>
      <c r="C239" s="141" t="s">
        <v>368</v>
      </c>
      <c r="D239" s="140">
        <f t="shared" si="153"/>
        <v>42335</v>
      </c>
      <c r="E239" s="142" t="s">
        <v>372</v>
      </c>
      <c r="F239" s="145">
        <f t="shared" si="91"/>
        <v>395648000</v>
      </c>
      <c r="G239" s="143" t="s">
        <v>36</v>
      </c>
      <c r="H239" s="178">
        <v>22480</v>
      </c>
      <c r="I239" s="179"/>
      <c r="J239" s="180">
        <v>17600</v>
      </c>
      <c r="K239" s="181">
        <f t="shared" si="60"/>
        <v>88.979999999028223</v>
      </c>
      <c r="L239" s="145"/>
    </row>
    <row r="240" spans="1:12" s="125" customFormat="1" ht="17.25" hidden="1" customHeight="1">
      <c r="A240" s="125">
        <f t="shared" si="90"/>
        <v>11</v>
      </c>
      <c r="B240" s="140">
        <v>42338</v>
      </c>
      <c r="C240" s="141" t="s">
        <v>371</v>
      </c>
      <c r="D240" s="140">
        <f t="shared" si="153"/>
        <v>42338</v>
      </c>
      <c r="E240" s="142" t="s">
        <v>1282</v>
      </c>
      <c r="F240" s="145">
        <f t="shared" si="91"/>
        <v>1619961019</v>
      </c>
      <c r="G240" s="143" t="s">
        <v>442</v>
      </c>
      <c r="H240" s="178">
        <v>22450</v>
      </c>
      <c r="I240" s="179">
        <v>72158.62</v>
      </c>
      <c r="J240" s="180"/>
      <c r="K240" s="181">
        <f t="shared" si="60"/>
        <v>72247.599999999016</v>
      </c>
      <c r="L240" s="145"/>
    </row>
    <row r="241" spans="1:12" s="125" customFormat="1" ht="17.25" customHeight="1">
      <c r="A241" s="125">
        <f t="shared" si="90"/>
        <v>12</v>
      </c>
      <c r="B241" s="140">
        <v>42339</v>
      </c>
      <c r="C241" s="141" t="s">
        <v>368</v>
      </c>
      <c r="D241" s="140">
        <f t="shared" si="153"/>
        <v>42339</v>
      </c>
      <c r="E241" s="142" t="s">
        <v>1359</v>
      </c>
      <c r="F241" s="145">
        <f t="shared" si="91"/>
        <v>1623561400</v>
      </c>
      <c r="G241" s="143" t="s">
        <v>438</v>
      </c>
      <c r="H241" s="178">
        <v>22487</v>
      </c>
      <c r="I241" s="179"/>
      <c r="J241" s="180">
        <v>72200</v>
      </c>
      <c r="K241" s="181">
        <f t="shared" si="60"/>
        <v>47.599999999016291</v>
      </c>
      <c r="L241" s="145"/>
    </row>
    <row r="242" spans="1:12" s="125" customFormat="1" ht="17.25" customHeight="1">
      <c r="A242" s="125">
        <f t="shared" si="90"/>
        <v>12</v>
      </c>
      <c r="B242" s="140">
        <v>42339</v>
      </c>
      <c r="C242" s="141" t="s">
        <v>371</v>
      </c>
      <c r="D242" s="140">
        <f t="shared" ref="D242" si="156">B242</f>
        <v>42339</v>
      </c>
      <c r="E242" s="142" t="s">
        <v>677</v>
      </c>
      <c r="F242" s="145">
        <f t="shared" si="91"/>
        <v>389025100</v>
      </c>
      <c r="G242" s="143" t="s">
        <v>36</v>
      </c>
      <c r="H242" s="178">
        <v>22487</v>
      </c>
      <c r="I242" s="179">
        <v>17300</v>
      </c>
      <c r="J242" s="180"/>
      <c r="K242" s="181">
        <f t="shared" si="60"/>
        <v>17347.599999999016</v>
      </c>
      <c r="L242" s="145"/>
    </row>
    <row r="243" spans="1:12" s="125" customFormat="1" ht="17.25" customHeight="1">
      <c r="A243" s="125">
        <f t="shared" si="90"/>
        <v>12</v>
      </c>
      <c r="B243" s="140">
        <v>42339</v>
      </c>
      <c r="C243" s="141" t="s">
        <v>368</v>
      </c>
      <c r="D243" s="140">
        <f>B243</f>
        <v>42339</v>
      </c>
      <c r="E243" s="142" t="s">
        <v>1360</v>
      </c>
      <c r="F243" s="145">
        <f t="shared" ref="F243" si="157">(I243+J243)*H243</f>
        <v>389025100</v>
      </c>
      <c r="G243" s="143" t="s">
        <v>438</v>
      </c>
      <c r="H243" s="178">
        <v>22487</v>
      </c>
      <c r="I243" s="179"/>
      <c r="J243" s="180">
        <v>17300</v>
      </c>
      <c r="K243" s="181">
        <f t="shared" si="60"/>
        <v>47.599999999016291</v>
      </c>
      <c r="L243" s="145"/>
    </row>
    <row r="244" spans="1:12" s="125" customFormat="1" ht="17.25" customHeight="1">
      <c r="A244" s="125">
        <f t="shared" si="90"/>
        <v>12</v>
      </c>
      <c r="B244" s="140">
        <v>42339</v>
      </c>
      <c r="C244" s="141" t="s">
        <v>371</v>
      </c>
      <c r="D244" s="140">
        <f t="shared" ref="D244" si="158">B244</f>
        <v>42339</v>
      </c>
      <c r="E244" s="142" t="s">
        <v>1361</v>
      </c>
      <c r="F244" s="145">
        <f t="shared" si="91"/>
        <v>2001343000</v>
      </c>
      <c r="G244" s="143" t="s">
        <v>438</v>
      </c>
      <c r="H244" s="178">
        <v>22487</v>
      </c>
      <c r="I244" s="179">
        <v>89000</v>
      </c>
      <c r="J244" s="180"/>
      <c r="K244" s="181">
        <f t="shared" si="60"/>
        <v>89047.599999999016</v>
      </c>
      <c r="L244" s="145"/>
    </row>
    <row r="245" spans="1:12" s="125" customFormat="1" ht="17.25" customHeight="1">
      <c r="A245" s="125">
        <f t="shared" si="90"/>
        <v>12</v>
      </c>
      <c r="B245" s="140">
        <v>42339</v>
      </c>
      <c r="C245" s="141" t="s">
        <v>368</v>
      </c>
      <c r="D245" s="140">
        <f t="shared" si="153"/>
        <v>42339</v>
      </c>
      <c r="E245" s="142" t="s">
        <v>372</v>
      </c>
      <c r="F245" s="145">
        <f t="shared" si="91"/>
        <v>2000898000</v>
      </c>
      <c r="G245" s="143" t="s">
        <v>36</v>
      </c>
      <c r="H245" s="178">
        <v>22482</v>
      </c>
      <c r="I245" s="179"/>
      <c r="J245" s="180">
        <v>89000</v>
      </c>
      <c r="K245" s="181">
        <f t="shared" si="60"/>
        <v>47.599999999016291</v>
      </c>
      <c r="L245" s="145"/>
    </row>
    <row r="246" spans="1:12" s="125" customFormat="1" ht="17.25" customHeight="1">
      <c r="A246" s="125">
        <f t="shared" si="90"/>
        <v>12</v>
      </c>
      <c r="B246" s="140">
        <v>42342</v>
      </c>
      <c r="C246" s="141" t="s">
        <v>368</v>
      </c>
      <c r="D246" s="140">
        <f t="shared" si="153"/>
        <v>42342</v>
      </c>
      <c r="E246" s="142" t="s">
        <v>1362</v>
      </c>
      <c r="F246" s="145">
        <f t="shared" si="91"/>
        <v>112400</v>
      </c>
      <c r="G246" s="143" t="s">
        <v>94</v>
      </c>
      <c r="H246" s="178">
        <v>22480</v>
      </c>
      <c r="I246" s="179"/>
      <c r="J246" s="180">
        <v>5</v>
      </c>
      <c r="K246" s="181">
        <f t="shared" si="60"/>
        <v>42.599999999016291</v>
      </c>
      <c r="L246" s="145"/>
    </row>
    <row r="247" spans="1:12" s="125" customFormat="1" ht="17.25" customHeight="1">
      <c r="A247" s="125">
        <f t="shared" si="90"/>
        <v>12</v>
      </c>
      <c r="B247" s="140">
        <v>42342</v>
      </c>
      <c r="C247" s="141" t="s">
        <v>368</v>
      </c>
      <c r="D247" s="140">
        <f t="shared" si="153"/>
        <v>42342</v>
      </c>
      <c r="E247" s="142" t="s">
        <v>1363</v>
      </c>
      <c r="F247" s="145">
        <f t="shared" si="91"/>
        <v>11240</v>
      </c>
      <c r="G247" s="143" t="s">
        <v>35</v>
      </c>
      <c r="H247" s="178">
        <v>22480</v>
      </c>
      <c r="I247" s="179"/>
      <c r="J247" s="180">
        <v>0.5</v>
      </c>
      <c r="K247" s="181">
        <f t="shared" si="60"/>
        <v>42.099999999016291</v>
      </c>
      <c r="L247" s="145"/>
    </row>
    <row r="248" spans="1:12" s="125" customFormat="1" ht="17.25" customHeight="1">
      <c r="A248" s="125">
        <f t="shared" si="90"/>
        <v>12</v>
      </c>
      <c r="B248" s="140">
        <v>42343</v>
      </c>
      <c r="C248" s="141" t="s">
        <v>371</v>
      </c>
      <c r="D248" s="140">
        <f t="shared" si="153"/>
        <v>42343</v>
      </c>
      <c r="E248" s="142" t="s">
        <v>622</v>
      </c>
      <c r="F248" s="145">
        <f t="shared" si="91"/>
        <v>81990374.400000006</v>
      </c>
      <c r="G248" s="143" t="s">
        <v>442</v>
      </c>
      <c r="H248" s="178">
        <v>22440</v>
      </c>
      <c r="I248" s="179">
        <v>3653.76</v>
      </c>
      <c r="J248" s="180"/>
      <c r="K248" s="181">
        <f t="shared" si="60"/>
        <v>3695.8599999990165</v>
      </c>
      <c r="L248" s="145"/>
    </row>
    <row r="249" spans="1:12" s="125" customFormat="1" ht="17.25" customHeight="1">
      <c r="A249" s="125">
        <f t="shared" si="90"/>
        <v>12</v>
      </c>
      <c r="B249" s="140">
        <v>42345</v>
      </c>
      <c r="C249" s="141" t="s">
        <v>368</v>
      </c>
      <c r="D249" s="140">
        <f t="shared" si="153"/>
        <v>42345</v>
      </c>
      <c r="E249" s="142" t="s">
        <v>373</v>
      </c>
      <c r="F249" s="145">
        <f t="shared" si="91"/>
        <v>1174050</v>
      </c>
      <c r="G249" s="143" t="s">
        <v>374</v>
      </c>
      <c r="H249" s="178">
        <v>22500</v>
      </c>
      <c r="I249" s="179"/>
      <c r="J249" s="180">
        <v>52.18</v>
      </c>
      <c r="K249" s="181">
        <f t="shared" si="60"/>
        <v>3643.6799999990167</v>
      </c>
      <c r="L249" s="145"/>
    </row>
    <row r="250" spans="1:12" s="125" customFormat="1" ht="17.25" customHeight="1">
      <c r="A250" s="125">
        <f t="shared" si="90"/>
        <v>12</v>
      </c>
      <c r="B250" s="140">
        <v>42345</v>
      </c>
      <c r="C250" s="141" t="s">
        <v>368</v>
      </c>
      <c r="D250" s="140">
        <f t="shared" ref="D250:D253" si="159">B250</f>
        <v>42345</v>
      </c>
      <c r="E250" s="142" t="s">
        <v>375</v>
      </c>
      <c r="F250" s="145">
        <f t="shared" si="91"/>
        <v>2811375</v>
      </c>
      <c r="G250" s="143" t="s">
        <v>374</v>
      </c>
      <c r="H250" s="178">
        <v>22500</v>
      </c>
      <c r="I250" s="179"/>
      <c r="J250" s="180">
        <v>124.95</v>
      </c>
      <c r="K250" s="181">
        <f t="shared" si="60"/>
        <v>3518.7299999990169</v>
      </c>
      <c r="L250" s="145"/>
    </row>
    <row r="251" spans="1:12" s="125" customFormat="1" ht="17.25" customHeight="1">
      <c r="A251" s="125">
        <f t="shared" si="90"/>
        <v>12</v>
      </c>
      <c r="B251" s="140">
        <v>42345</v>
      </c>
      <c r="C251" s="141" t="s">
        <v>368</v>
      </c>
      <c r="D251" s="140">
        <f t="shared" si="159"/>
        <v>42345</v>
      </c>
      <c r="E251" s="142" t="s">
        <v>376</v>
      </c>
      <c r="F251" s="145">
        <f t="shared" si="91"/>
        <v>1731150</v>
      </c>
      <c r="G251" s="143" t="s">
        <v>374</v>
      </c>
      <c r="H251" s="178">
        <v>22500</v>
      </c>
      <c r="I251" s="179"/>
      <c r="J251" s="180">
        <v>76.94</v>
      </c>
      <c r="K251" s="181">
        <f t="shared" si="60"/>
        <v>3441.7899999990168</v>
      </c>
      <c r="L251" s="145"/>
    </row>
    <row r="252" spans="1:12" s="125" customFormat="1" ht="17.25" customHeight="1">
      <c r="A252" s="125">
        <f t="shared" si="90"/>
        <v>12</v>
      </c>
      <c r="B252" s="140">
        <v>42345</v>
      </c>
      <c r="C252" s="141" t="s">
        <v>368</v>
      </c>
      <c r="D252" s="140">
        <f t="shared" si="159"/>
        <v>42345</v>
      </c>
      <c r="E252" s="142" t="s">
        <v>377</v>
      </c>
      <c r="F252" s="145">
        <f t="shared" si="91"/>
        <v>2423250</v>
      </c>
      <c r="G252" s="143" t="s">
        <v>374</v>
      </c>
      <c r="H252" s="178">
        <v>22500</v>
      </c>
      <c r="I252" s="179"/>
      <c r="J252" s="180">
        <v>107.7</v>
      </c>
      <c r="K252" s="181">
        <f t="shared" si="60"/>
        <v>3334.089999999017</v>
      </c>
      <c r="L252" s="145"/>
    </row>
    <row r="253" spans="1:12" s="125" customFormat="1" ht="17.25" customHeight="1">
      <c r="A253" s="125">
        <f t="shared" si="90"/>
        <v>12</v>
      </c>
      <c r="B253" s="140">
        <v>42345</v>
      </c>
      <c r="C253" s="141" t="s">
        <v>371</v>
      </c>
      <c r="D253" s="140">
        <f t="shared" si="159"/>
        <v>42345</v>
      </c>
      <c r="E253" s="142" t="s">
        <v>479</v>
      </c>
      <c r="F253" s="145">
        <f t="shared" si="91"/>
        <v>812684475</v>
      </c>
      <c r="G253" s="143" t="s">
        <v>442</v>
      </c>
      <c r="H253" s="178">
        <v>22500</v>
      </c>
      <c r="I253" s="179">
        <v>36119.31</v>
      </c>
      <c r="J253" s="180"/>
      <c r="K253" s="181">
        <f t="shared" si="60"/>
        <v>39453.399999999012</v>
      </c>
      <c r="L253" s="145"/>
    </row>
    <row r="254" spans="1:12" s="125" customFormat="1" ht="17.25" customHeight="1">
      <c r="A254" s="125">
        <f t="shared" si="90"/>
        <v>12</v>
      </c>
      <c r="B254" s="140">
        <v>42345</v>
      </c>
      <c r="C254" s="141" t="s">
        <v>368</v>
      </c>
      <c r="D254" s="140">
        <f t="shared" si="153"/>
        <v>42345</v>
      </c>
      <c r="E254" s="142" t="s">
        <v>815</v>
      </c>
      <c r="F254" s="145">
        <f t="shared" si="91"/>
        <v>886500000</v>
      </c>
      <c r="G254" s="143" t="s">
        <v>370</v>
      </c>
      <c r="H254" s="178">
        <v>22500</v>
      </c>
      <c r="I254" s="179"/>
      <c r="J254" s="180">
        <v>39400</v>
      </c>
      <c r="K254" s="181">
        <f t="shared" si="60"/>
        <v>53.399999999011925</v>
      </c>
      <c r="L254" s="145"/>
    </row>
    <row r="255" spans="1:12" s="125" customFormat="1" ht="17.25" customHeight="1">
      <c r="A255" s="125">
        <f t="shared" si="90"/>
        <v>12</v>
      </c>
      <c r="B255" s="140">
        <v>42354</v>
      </c>
      <c r="C255" s="141" t="s">
        <v>371</v>
      </c>
      <c r="D255" s="140">
        <f t="shared" si="153"/>
        <v>42354</v>
      </c>
      <c r="E255" s="142" t="s">
        <v>479</v>
      </c>
      <c r="F255" s="145">
        <f t="shared" ref="F255" si="160">(I255+J255)*H255</f>
        <v>38933469.189999998</v>
      </c>
      <c r="G255" s="143" t="s">
        <v>442</v>
      </c>
      <c r="H255" s="178">
        <v>22517</v>
      </c>
      <c r="I255" s="180">
        <v>1729.07</v>
      </c>
      <c r="J255" s="180"/>
      <c r="K255" s="181">
        <f t="shared" si="60"/>
        <v>1782.4699999990119</v>
      </c>
      <c r="L255" s="145"/>
    </row>
    <row r="256" spans="1:12" s="125" customFormat="1" ht="17.25" customHeight="1">
      <c r="A256" s="125">
        <f t="shared" ref="A256" si="161">IF(B256&lt;&gt;"",MONTH(B256),"")</f>
        <v>12</v>
      </c>
      <c r="B256" s="140">
        <v>42355</v>
      </c>
      <c r="C256" s="141" t="s">
        <v>371</v>
      </c>
      <c r="D256" s="140">
        <f t="shared" ref="D256:D273" si="162">B256</f>
        <v>42355</v>
      </c>
      <c r="E256" s="142" t="s">
        <v>480</v>
      </c>
      <c r="F256" s="145">
        <f t="shared" ref="F256:F260" si="163">(I256+J256)*H256</f>
        <v>290533023.11000001</v>
      </c>
      <c r="G256" s="143" t="s">
        <v>442</v>
      </c>
      <c r="H256" s="178">
        <v>22517</v>
      </c>
      <c r="I256" s="180">
        <v>12902.83</v>
      </c>
      <c r="J256" s="180"/>
      <c r="K256" s="181">
        <f t="shared" ref="K256:K273" si="164">IF(B256&lt;&gt;"",K255+I256-J256,0)</f>
        <v>14685.299999999012</v>
      </c>
      <c r="L256" s="145"/>
    </row>
    <row r="257" spans="1:12" s="125" customFormat="1" ht="17.25" customHeight="1">
      <c r="A257" s="125">
        <f t="shared" si="90"/>
        <v>12</v>
      </c>
      <c r="B257" s="140">
        <v>42355</v>
      </c>
      <c r="C257" s="141" t="s">
        <v>368</v>
      </c>
      <c r="D257" s="140">
        <f t="shared" si="162"/>
        <v>42355</v>
      </c>
      <c r="E257" s="142" t="s">
        <v>372</v>
      </c>
      <c r="F257" s="145">
        <f t="shared" si="163"/>
        <v>328938000</v>
      </c>
      <c r="G257" s="143" t="s">
        <v>36</v>
      </c>
      <c r="H257" s="178">
        <v>22530</v>
      </c>
      <c r="I257" s="179"/>
      <c r="J257" s="180">
        <v>14600</v>
      </c>
      <c r="K257" s="181">
        <f t="shared" si="164"/>
        <v>85.299999999011561</v>
      </c>
      <c r="L257" s="145"/>
    </row>
    <row r="258" spans="1:12" s="125" customFormat="1" ht="17.25" customHeight="1">
      <c r="A258" s="125">
        <f t="shared" si="90"/>
        <v>12</v>
      </c>
      <c r="B258" s="140">
        <v>42359</v>
      </c>
      <c r="C258" s="141" t="s">
        <v>371</v>
      </c>
      <c r="D258" s="140">
        <f t="shared" si="162"/>
        <v>42359</v>
      </c>
      <c r="E258" s="142" t="s">
        <v>1364</v>
      </c>
      <c r="F258" s="145">
        <f t="shared" si="163"/>
        <v>3327839894.6099997</v>
      </c>
      <c r="G258" s="143" t="s">
        <v>442</v>
      </c>
      <c r="H258" s="178">
        <v>22517</v>
      </c>
      <c r="I258" s="179">
        <v>147792.32999999999</v>
      </c>
      <c r="J258" s="180"/>
      <c r="K258" s="181">
        <f t="shared" si="164"/>
        <v>147877.62999999899</v>
      </c>
      <c r="L258" s="145"/>
    </row>
    <row r="259" spans="1:12" s="125" customFormat="1" ht="17.25" customHeight="1">
      <c r="A259" s="125">
        <f t="shared" si="90"/>
        <v>12</v>
      </c>
      <c r="B259" s="140">
        <v>42359</v>
      </c>
      <c r="C259" s="141" t="s">
        <v>368</v>
      </c>
      <c r="D259" s="140">
        <f t="shared" si="162"/>
        <v>42359</v>
      </c>
      <c r="E259" s="142" t="s">
        <v>1365</v>
      </c>
      <c r="F259" s="145">
        <f t="shared" si="163"/>
        <v>1576190000</v>
      </c>
      <c r="G259" s="143" t="s">
        <v>438</v>
      </c>
      <c r="H259" s="178">
        <v>22517</v>
      </c>
      <c r="I259" s="179"/>
      <c r="J259" s="180">
        <v>70000</v>
      </c>
      <c r="K259" s="181">
        <f t="shared" si="164"/>
        <v>77877.629999998986</v>
      </c>
      <c r="L259" s="145"/>
    </row>
    <row r="260" spans="1:12" s="125" customFormat="1" ht="17.25" customHeight="1">
      <c r="A260" s="125">
        <f t="shared" si="90"/>
        <v>12</v>
      </c>
      <c r="B260" s="140">
        <v>42359</v>
      </c>
      <c r="C260" s="141" t="s">
        <v>368</v>
      </c>
      <c r="D260" s="140">
        <f t="shared" si="162"/>
        <v>42359</v>
      </c>
      <c r="E260" s="142" t="s">
        <v>998</v>
      </c>
      <c r="F260" s="145">
        <f t="shared" si="163"/>
        <v>5781915.2599999998</v>
      </c>
      <c r="G260" s="143" t="s">
        <v>374</v>
      </c>
      <c r="H260" s="178">
        <v>22517</v>
      </c>
      <c r="I260" s="179"/>
      <c r="J260" s="180">
        <v>256.77999999999997</v>
      </c>
      <c r="K260" s="181">
        <f t="shared" si="164"/>
        <v>77620.849999998987</v>
      </c>
      <c r="L260" s="145"/>
    </row>
    <row r="261" spans="1:12" s="125" customFormat="1" ht="17.25" customHeight="1">
      <c r="A261" s="125">
        <f t="shared" si="90"/>
        <v>12</v>
      </c>
      <c r="B261" s="140">
        <v>42359</v>
      </c>
      <c r="C261" s="141" t="s">
        <v>368</v>
      </c>
      <c r="D261" s="140">
        <f t="shared" si="162"/>
        <v>42359</v>
      </c>
      <c r="E261" s="142" t="s">
        <v>1366</v>
      </c>
      <c r="F261" s="145">
        <f t="shared" ref="F261:F262" si="165">(I261+J261)*H261</f>
        <v>472857000</v>
      </c>
      <c r="G261" s="143" t="s">
        <v>438</v>
      </c>
      <c r="H261" s="178">
        <v>22517</v>
      </c>
      <c r="I261" s="179"/>
      <c r="J261" s="180">
        <v>21000</v>
      </c>
      <c r="K261" s="181">
        <f t="shared" si="164"/>
        <v>56620.849999998987</v>
      </c>
      <c r="L261" s="145"/>
    </row>
    <row r="262" spans="1:12" s="125" customFormat="1" ht="17.25" customHeight="1">
      <c r="A262" s="125">
        <f t="shared" ref="A262:A273" si="166">IF(B262&lt;&gt;"",MONTH(B262),"")</f>
        <v>12</v>
      </c>
      <c r="B262" s="140">
        <v>42359</v>
      </c>
      <c r="C262" s="141" t="s">
        <v>368</v>
      </c>
      <c r="D262" s="140">
        <f t="shared" si="162"/>
        <v>42359</v>
      </c>
      <c r="E262" s="142" t="s">
        <v>999</v>
      </c>
      <c r="F262" s="145">
        <f t="shared" si="165"/>
        <v>1734709.6800000002</v>
      </c>
      <c r="G262" s="143" t="s">
        <v>374</v>
      </c>
      <c r="H262" s="178">
        <v>22517</v>
      </c>
      <c r="I262" s="179"/>
      <c r="J262" s="180">
        <v>77.040000000000006</v>
      </c>
      <c r="K262" s="181">
        <f t="shared" si="164"/>
        <v>56543.809999998986</v>
      </c>
      <c r="L262" s="145"/>
    </row>
    <row r="263" spans="1:12" s="125" customFormat="1" ht="17.25" customHeight="1">
      <c r="A263" s="125">
        <f t="shared" si="166"/>
        <v>12</v>
      </c>
      <c r="B263" s="140">
        <v>42359</v>
      </c>
      <c r="C263" s="141" t="s">
        <v>368</v>
      </c>
      <c r="D263" s="140">
        <f t="shared" si="162"/>
        <v>42359</v>
      </c>
      <c r="E263" s="142" t="s">
        <v>1105</v>
      </c>
      <c r="F263" s="145">
        <f t="shared" ref="F263:F264" si="167">(I263+J263)*H263</f>
        <v>7284024.3300000001</v>
      </c>
      <c r="G263" s="143" t="s">
        <v>374</v>
      </c>
      <c r="H263" s="178">
        <v>22517</v>
      </c>
      <c r="I263" s="179"/>
      <c r="J263" s="180">
        <v>323.49</v>
      </c>
      <c r="K263" s="181">
        <f t="shared" si="164"/>
        <v>56220.319999998988</v>
      </c>
      <c r="L263" s="145"/>
    </row>
    <row r="264" spans="1:12" s="125" customFormat="1" ht="17.25" customHeight="1">
      <c r="A264" s="125">
        <f t="shared" si="166"/>
        <v>12</v>
      </c>
      <c r="B264" s="140">
        <v>42359</v>
      </c>
      <c r="C264" s="141" t="s">
        <v>368</v>
      </c>
      <c r="D264" s="140">
        <f t="shared" si="162"/>
        <v>42359</v>
      </c>
      <c r="E264" s="142" t="s">
        <v>1195</v>
      </c>
      <c r="F264" s="145">
        <f t="shared" si="167"/>
        <v>6157723.9900000002</v>
      </c>
      <c r="G264" s="143" t="s">
        <v>374</v>
      </c>
      <c r="H264" s="178">
        <v>22517</v>
      </c>
      <c r="I264" s="179"/>
      <c r="J264" s="180">
        <v>273.47000000000003</v>
      </c>
      <c r="K264" s="181">
        <f t="shared" si="164"/>
        <v>55946.849999998987</v>
      </c>
      <c r="L264" s="145"/>
    </row>
    <row r="265" spans="1:12" s="125" customFormat="1" ht="17.25" customHeight="1">
      <c r="A265" s="125">
        <f t="shared" si="166"/>
        <v>12</v>
      </c>
      <c r="B265" s="140">
        <v>42359</v>
      </c>
      <c r="C265" s="141" t="s">
        <v>368</v>
      </c>
      <c r="D265" s="140">
        <f t="shared" si="162"/>
        <v>42359</v>
      </c>
      <c r="E265" s="142" t="s">
        <v>1367</v>
      </c>
      <c r="F265" s="145">
        <f t="shared" ref="F265" si="168">(I265+J265)*H265</f>
        <v>3003767.8000000003</v>
      </c>
      <c r="G265" s="143" t="s">
        <v>374</v>
      </c>
      <c r="H265" s="178">
        <v>22517</v>
      </c>
      <c r="I265" s="179"/>
      <c r="J265" s="180">
        <v>133.4</v>
      </c>
      <c r="K265" s="181">
        <f t="shared" si="164"/>
        <v>55813.449999998986</v>
      </c>
      <c r="L265" s="145"/>
    </row>
    <row r="266" spans="1:12" s="125" customFormat="1" ht="17.25" customHeight="1">
      <c r="A266" s="125">
        <f t="shared" si="166"/>
        <v>12</v>
      </c>
      <c r="B266" s="140">
        <v>42359</v>
      </c>
      <c r="C266" s="141" t="s">
        <v>368</v>
      </c>
      <c r="D266" s="140">
        <f t="shared" si="162"/>
        <v>42359</v>
      </c>
      <c r="E266" s="142" t="s">
        <v>1368</v>
      </c>
      <c r="F266" s="145">
        <f t="shared" ref="F266" si="169">(I266+J266)*H266</f>
        <v>3754709.75</v>
      </c>
      <c r="G266" s="143" t="s">
        <v>374</v>
      </c>
      <c r="H266" s="178">
        <v>22517</v>
      </c>
      <c r="I266" s="179"/>
      <c r="J266" s="180">
        <v>166.75</v>
      </c>
      <c r="K266" s="181">
        <f t="shared" si="164"/>
        <v>55646.699999998986</v>
      </c>
      <c r="L266" s="145"/>
    </row>
    <row r="267" spans="1:12" s="125" customFormat="1" ht="17.25" customHeight="1">
      <c r="A267" s="125">
        <f t="shared" si="166"/>
        <v>12</v>
      </c>
      <c r="B267" s="140">
        <v>42359</v>
      </c>
      <c r="C267" s="141" t="s">
        <v>368</v>
      </c>
      <c r="D267" s="140">
        <f t="shared" si="162"/>
        <v>42359</v>
      </c>
      <c r="E267" s="142" t="s">
        <v>1369</v>
      </c>
      <c r="F267" s="145">
        <f t="shared" ref="F267:F273" si="170">(I267+J267)*H267</f>
        <v>6720874.1600000001</v>
      </c>
      <c r="G267" s="143" t="s">
        <v>374</v>
      </c>
      <c r="H267" s="178">
        <v>22517</v>
      </c>
      <c r="I267" s="179"/>
      <c r="J267" s="180">
        <v>298.48</v>
      </c>
      <c r="K267" s="181">
        <f t="shared" si="164"/>
        <v>55348.219999998983</v>
      </c>
      <c r="L267" s="145"/>
    </row>
    <row r="268" spans="1:12" s="125" customFormat="1" ht="17.25" customHeight="1">
      <c r="A268" s="125">
        <f t="shared" si="166"/>
        <v>12</v>
      </c>
      <c r="B268" s="140">
        <v>42359</v>
      </c>
      <c r="C268" s="141" t="s">
        <v>368</v>
      </c>
      <c r="D268" s="140">
        <f t="shared" si="162"/>
        <v>42359</v>
      </c>
      <c r="E268" s="142" t="s">
        <v>1370</v>
      </c>
      <c r="F268" s="145">
        <f t="shared" si="170"/>
        <v>6683495.9399999995</v>
      </c>
      <c r="G268" s="143" t="s">
        <v>374</v>
      </c>
      <c r="H268" s="178">
        <v>22517</v>
      </c>
      <c r="I268" s="179"/>
      <c r="J268" s="180">
        <v>296.82</v>
      </c>
      <c r="K268" s="181">
        <f t="shared" si="164"/>
        <v>55051.399999998983</v>
      </c>
      <c r="L268" s="145"/>
    </row>
    <row r="269" spans="1:12" s="125" customFormat="1" ht="17.25" customHeight="1">
      <c r="A269" s="125">
        <f t="shared" si="166"/>
        <v>12</v>
      </c>
      <c r="B269" s="140">
        <v>42359</v>
      </c>
      <c r="C269" s="141" t="s">
        <v>368</v>
      </c>
      <c r="D269" s="140">
        <f t="shared" si="162"/>
        <v>42359</v>
      </c>
      <c r="E269" s="142" t="s">
        <v>372</v>
      </c>
      <c r="F269" s="145">
        <f t="shared" si="170"/>
        <v>1127000000</v>
      </c>
      <c r="G269" s="143" t="s">
        <v>36</v>
      </c>
      <c r="H269" s="178">
        <v>22540</v>
      </c>
      <c r="I269" s="179"/>
      <c r="J269" s="180">
        <v>50000</v>
      </c>
      <c r="K269" s="181">
        <f t="shared" si="164"/>
        <v>5051.3999999989828</v>
      </c>
      <c r="L269" s="145"/>
    </row>
    <row r="270" spans="1:12" s="125" customFormat="1" ht="17.25" customHeight="1">
      <c r="A270" s="125">
        <f t="shared" si="166"/>
        <v>12</v>
      </c>
      <c r="B270" s="140">
        <v>42360</v>
      </c>
      <c r="C270" s="141" t="s">
        <v>371</v>
      </c>
      <c r="D270" s="140">
        <f t="shared" si="162"/>
        <v>42360</v>
      </c>
      <c r="E270" s="142" t="s">
        <v>1371</v>
      </c>
      <c r="F270" s="145">
        <f t="shared" si="170"/>
        <v>1983520000</v>
      </c>
      <c r="G270" s="143" t="s">
        <v>438</v>
      </c>
      <c r="H270" s="178">
        <v>22540</v>
      </c>
      <c r="I270" s="179">
        <v>88000</v>
      </c>
      <c r="J270" s="180"/>
      <c r="K270" s="181">
        <f t="shared" si="164"/>
        <v>93051.399999998976</v>
      </c>
      <c r="L270" s="145"/>
    </row>
    <row r="271" spans="1:12" s="125" customFormat="1" ht="17.25" customHeight="1">
      <c r="A271" s="125">
        <f t="shared" si="166"/>
        <v>12</v>
      </c>
      <c r="B271" s="140">
        <v>42360</v>
      </c>
      <c r="C271" s="141" t="s">
        <v>368</v>
      </c>
      <c r="D271" s="140">
        <f t="shared" si="162"/>
        <v>42360</v>
      </c>
      <c r="E271" s="142" t="s">
        <v>372</v>
      </c>
      <c r="F271" s="145">
        <f t="shared" si="170"/>
        <v>1983520000</v>
      </c>
      <c r="G271" s="143" t="s">
        <v>36</v>
      </c>
      <c r="H271" s="178">
        <v>22540</v>
      </c>
      <c r="I271" s="179"/>
      <c r="J271" s="180">
        <v>88000</v>
      </c>
      <c r="K271" s="181">
        <f t="shared" si="164"/>
        <v>5051.3999999989755</v>
      </c>
      <c r="L271" s="145"/>
    </row>
    <row r="272" spans="1:12" s="125" customFormat="1" ht="17.25" customHeight="1">
      <c r="A272" s="125">
        <f t="shared" si="166"/>
        <v>12</v>
      </c>
      <c r="B272" s="140">
        <v>42362</v>
      </c>
      <c r="C272" s="141" t="s">
        <v>371</v>
      </c>
      <c r="D272" s="140">
        <f t="shared" si="162"/>
        <v>42362</v>
      </c>
      <c r="E272" s="142" t="s">
        <v>1372</v>
      </c>
      <c r="F272" s="145">
        <f t="shared" si="170"/>
        <v>907402900.68999994</v>
      </c>
      <c r="G272" s="143" t="s">
        <v>442</v>
      </c>
      <c r="H272" s="178">
        <v>22517</v>
      </c>
      <c r="I272" s="179">
        <v>40298.57</v>
      </c>
      <c r="J272" s="180"/>
      <c r="K272" s="181">
        <f t="shared" si="164"/>
        <v>45349.969999998975</v>
      </c>
      <c r="L272" s="145"/>
    </row>
    <row r="273" spans="1:13" s="125" customFormat="1" ht="17.25" customHeight="1">
      <c r="A273" s="125">
        <f t="shared" si="166"/>
        <v>12</v>
      </c>
      <c r="B273" s="140">
        <v>42362</v>
      </c>
      <c r="C273" s="141" t="s">
        <v>368</v>
      </c>
      <c r="D273" s="140">
        <f t="shared" si="162"/>
        <v>42362</v>
      </c>
      <c r="E273" s="142" t="s">
        <v>815</v>
      </c>
      <c r="F273" s="145">
        <f t="shared" si="170"/>
        <v>981741200</v>
      </c>
      <c r="G273" s="143" t="s">
        <v>370</v>
      </c>
      <c r="H273" s="178">
        <v>22517</v>
      </c>
      <c r="I273" s="179"/>
      <c r="J273" s="180">
        <v>43600</v>
      </c>
      <c r="K273" s="181">
        <f t="shared" si="164"/>
        <v>1749.9699999989753</v>
      </c>
      <c r="L273" s="145"/>
    </row>
    <row r="274" spans="1:13" s="125" customFormat="1" ht="17.25" hidden="1" customHeight="1">
      <c r="A274" s="125" t="str">
        <f t="shared" ref="A274:A277" si="171">IF(B274&lt;&gt;"",MONTH(B274),"")</f>
        <v/>
      </c>
      <c r="B274" s="140"/>
      <c r="C274" s="141"/>
      <c r="D274" s="140" t="str">
        <f t="shared" si="61"/>
        <v/>
      </c>
      <c r="E274" s="142"/>
      <c r="F274" s="145">
        <f t="shared" ref="F274" si="172">(I274+J274)*H274</f>
        <v>0</v>
      </c>
      <c r="G274" s="141"/>
      <c r="H274" s="178"/>
      <c r="I274" s="179"/>
      <c r="J274" s="180"/>
      <c r="K274" s="181">
        <f>IF(B274&lt;&gt;"",#REF!+I274-J274,0)</f>
        <v>0</v>
      </c>
      <c r="L274" s="145"/>
    </row>
    <row r="275" spans="1:13" s="159" customFormat="1" ht="17.25" hidden="1" customHeight="1">
      <c r="A275" s="125" t="str">
        <f t="shared" si="171"/>
        <v/>
      </c>
      <c r="B275" s="140"/>
      <c r="C275" s="182"/>
      <c r="D275" s="183"/>
      <c r="E275" s="184"/>
      <c r="F275" s="184"/>
      <c r="G275" s="182"/>
      <c r="H275" s="185"/>
      <c r="I275" s="186"/>
      <c r="J275" s="186"/>
      <c r="K275" s="187"/>
      <c r="L275" s="184"/>
    </row>
    <row r="276" spans="1:13" s="167" customFormat="1" ht="17.25" hidden="1" customHeight="1">
      <c r="A276" s="125" t="str">
        <f t="shared" si="171"/>
        <v/>
      </c>
      <c r="B276" s="188"/>
      <c r="C276" s="189"/>
      <c r="D276" s="190"/>
      <c r="E276" s="173" t="s">
        <v>29</v>
      </c>
      <c r="F276" s="173"/>
      <c r="G276" s="190"/>
      <c r="H276" s="191"/>
      <c r="I276" s="176">
        <f>SUM(I12:I275)</f>
        <v>3820826.1200000006</v>
      </c>
      <c r="J276" s="176">
        <f>SUM(J12:J275)</f>
        <v>3828430.4200000009</v>
      </c>
      <c r="K276" s="176">
        <f>K11+I276-J276</f>
        <v>1749.9699999988079</v>
      </c>
      <c r="L276" s="190"/>
    </row>
    <row r="277" spans="1:13" s="167" customFormat="1" ht="17.25" hidden="1" customHeight="1">
      <c r="A277" s="125" t="str">
        <f t="shared" si="171"/>
        <v/>
      </c>
      <c r="B277" s="188"/>
      <c r="C277" s="189"/>
      <c r="D277" s="190"/>
      <c r="E277" s="173" t="s">
        <v>431</v>
      </c>
      <c r="F277" s="173"/>
      <c r="G277" s="190"/>
      <c r="H277" s="191"/>
      <c r="I277" s="176"/>
      <c r="J277" s="176"/>
      <c r="K277" s="176">
        <f>K276</f>
        <v>1749.9699999988079</v>
      </c>
      <c r="L277" s="190"/>
      <c r="M277" s="177"/>
    </row>
    <row r="278" spans="1:13" s="167" customFormat="1" ht="22.5" hidden="1" customHeight="1">
      <c r="B278" s="208" t="s">
        <v>432</v>
      </c>
      <c r="C278" s="209"/>
      <c r="H278" s="210"/>
      <c r="I278" s="366"/>
      <c r="J278" s="211"/>
      <c r="K278" s="367">
        <f>K277+'Q4-USD'!K77</f>
        <v>99590.239999998827</v>
      </c>
      <c r="M278" s="210">
        <f>K278*H175</f>
        <v>2237792692.7999735</v>
      </c>
    </row>
    <row r="279" spans="1:13" s="167" customFormat="1" ht="12.75" hidden="1">
      <c r="B279" s="212" t="s">
        <v>465</v>
      </c>
      <c r="C279" s="349"/>
      <c r="H279" s="210"/>
      <c r="I279" s="368"/>
      <c r="J279" s="211"/>
      <c r="K279" s="211"/>
    </row>
    <row r="280" spans="1:13" s="167" customFormat="1" ht="12.75" hidden="1">
      <c r="B280" s="214"/>
      <c r="C280" s="351"/>
      <c r="D280" s="216"/>
      <c r="H280" s="210"/>
      <c r="I280" s="211"/>
      <c r="J280" s="486" t="s">
        <v>1386</v>
      </c>
      <c r="K280" s="486"/>
      <c r="L280" s="486"/>
    </row>
    <row r="281" spans="1:13" s="167" customFormat="1" ht="17.25" hidden="1" customHeight="1">
      <c r="B281" s="503" t="s">
        <v>33</v>
      </c>
      <c r="C281" s="503"/>
      <c r="D281" s="351"/>
      <c r="G281" s="217" t="s">
        <v>13</v>
      </c>
      <c r="H281" s="218"/>
      <c r="I281" s="369"/>
      <c r="J281" s="370"/>
      <c r="K281" s="231" t="s">
        <v>14</v>
      </c>
      <c r="L281" s="219"/>
      <c r="M281" s="214"/>
    </row>
    <row r="282" spans="1:13" s="167" customFormat="1" ht="12.75" hidden="1">
      <c r="B282" s="504" t="s">
        <v>15</v>
      </c>
      <c r="C282" s="504"/>
      <c r="D282" s="221"/>
      <c r="G282" s="350" t="s">
        <v>15</v>
      </c>
      <c r="H282" s="222"/>
      <c r="I282" s="371"/>
      <c r="J282" s="505" t="s">
        <v>16</v>
      </c>
      <c r="K282" s="505"/>
      <c r="L282" s="505"/>
      <c r="M282" s="223"/>
    </row>
    <row r="283" spans="1:13" s="167" customFormat="1" ht="12.75">
      <c r="C283" s="349"/>
      <c r="H283" s="210"/>
      <c r="I283" s="211"/>
      <c r="J283" s="211"/>
      <c r="K283" s="211"/>
    </row>
    <row r="287" spans="1:13">
      <c r="K287" s="192"/>
    </row>
  </sheetData>
  <autoFilter ref="A10:N282">
    <filterColumn colId="0">
      <filters>
        <filter val="12"/>
      </filters>
    </filterColumn>
  </autoFilter>
  <mergeCells count="19">
    <mergeCell ref="J1:L1"/>
    <mergeCell ref="B2:E3"/>
    <mergeCell ref="J2:L2"/>
    <mergeCell ref="J3:L3"/>
    <mergeCell ref="B4:L4"/>
    <mergeCell ref="A8:A9"/>
    <mergeCell ref="J280:L280"/>
    <mergeCell ref="B281:C281"/>
    <mergeCell ref="B282:C282"/>
    <mergeCell ref="J282:L282"/>
    <mergeCell ref="B5:L5"/>
    <mergeCell ref="B6:L6"/>
    <mergeCell ref="B8:B9"/>
    <mergeCell ref="C8:D8"/>
    <mergeCell ref="E8:E9"/>
    <mergeCell ref="I8:K8"/>
    <mergeCell ref="L8:L9"/>
    <mergeCell ref="H8:H9"/>
    <mergeCell ref="G8:G9"/>
  </mergeCells>
  <phoneticPr fontId="54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>
    <tabColor indexed="12"/>
  </sheetPr>
  <dimension ref="A1:M146"/>
  <sheetViews>
    <sheetView topLeftCell="A8" workbookViewId="0">
      <pane ySplit="4" topLeftCell="A118" activePane="bottomLeft" state="frozen"/>
      <selection activeCell="E186" sqref="E186"/>
      <selection pane="bottomLeft" activeCell="A109" sqref="A109:XFD124"/>
    </sheetView>
  </sheetViews>
  <sheetFormatPr defaultRowHeight="15.75"/>
  <cols>
    <col min="1" max="1" width="3.7109375" style="193" customWidth="1"/>
    <col min="2" max="2" width="10.7109375" style="224" customWidth="1"/>
    <col min="3" max="3" width="5.42578125" style="194" customWidth="1"/>
    <col min="4" max="4" width="9.7109375" style="224" customWidth="1"/>
    <col min="5" max="5" width="33" style="193" customWidth="1"/>
    <col min="6" max="6" width="35.28515625" style="193" hidden="1" customWidth="1"/>
    <col min="7" max="7" width="6.5703125" style="193" customWidth="1"/>
    <col min="8" max="9" width="14" style="193" customWidth="1"/>
    <col min="10" max="10" width="14.85546875" style="193" customWidth="1"/>
    <col min="11" max="11" width="8.5703125" style="193" customWidth="1"/>
    <col min="12" max="12" width="9.140625" style="193"/>
    <col min="13" max="13" width="10.7109375" style="193" bestFit="1" customWidth="1"/>
    <col min="14" max="16384" width="9.140625" style="193"/>
  </cols>
  <sheetData>
    <row r="1" spans="1:13" s="159" customFormat="1" ht="16.5" customHeight="1">
      <c r="B1" s="197" t="s">
        <v>350</v>
      </c>
      <c r="C1" s="118"/>
      <c r="D1" s="198"/>
      <c r="I1" s="506" t="s">
        <v>351</v>
      </c>
      <c r="J1" s="506"/>
      <c r="K1" s="506"/>
      <c r="L1" s="121"/>
      <c r="M1" s="121"/>
    </row>
    <row r="2" spans="1:13" s="159" customFormat="1" ht="16.5" customHeight="1">
      <c r="B2" s="507" t="s">
        <v>352</v>
      </c>
      <c r="C2" s="507"/>
      <c r="D2" s="507"/>
      <c r="E2" s="507"/>
      <c r="F2" s="122"/>
      <c r="I2" s="509" t="s">
        <v>353</v>
      </c>
      <c r="J2" s="509"/>
      <c r="K2" s="509"/>
      <c r="L2" s="119"/>
      <c r="M2" s="119"/>
    </row>
    <row r="3" spans="1:13" s="159" customFormat="1" ht="16.5" customHeight="1">
      <c r="B3" s="507"/>
      <c r="C3" s="507"/>
      <c r="D3" s="507"/>
      <c r="E3" s="507"/>
      <c r="F3" s="122"/>
      <c r="I3" s="509" t="s">
        <v>354</v>
      </c>
      <c r="J3" s="509"/>
      <c r="K3" s="509"/>
    </row>
    <row r="4" spans="1:13" s="159" customFormat="1" ht="19.5" customHeight="1">
      <c r="B4" s="510" t="s">
        <v>355</v>
      </c>
      <c r="C4" s="510"/>
      <c r="D4" s="510"/>
      <c r="E4" s="510"/>
      <c r="F4" s="510"/>
      <c r="G4" s="510"/>
      <c r="H4" s="510"/>
      <c r="I4" s="510"/>
      <c r="J4" s="510"/>
      <c r="K4" s="510"/>
    </row>
    <row r="5" spans="1:13" s="159" customFormat="1" ht="15">
      <c r="B5" s="492" t="s">
        <v>466</v>
      </c>
      <c r="C5" s="492"/>
      <c r="D5" s="492"/>
      <c r="E5" s="492"/>
      <c r="F5" s="492"/>
      <c r="G5" s="492"/>
      <c r="H5" s="492"/>
      <c r="I5" s="492"/>
      <c r="J5" s="492"/>
      <c r="K5" s="492"/>
    </row>
    <row r="6" spans="1:13" s="159" customFormat="1" ht="15">
      <c r="B6" s="492" t="s">
        <v>467</v>
      </c>
      <c r="C6" s="492"/>
      <c r="D6" s="492"/>
      <c r="E6" s="492"/>
      <c r="F6" s="492"/>
      <c r="G6" s="492"/>
      <c r="H6" s="492"/>
      <c r="I6" s="492"/>
      <c r="J6" s="492"/>
      <c r="K6" s="492"/>
    </row>
    <row r="7" spans="1:13" s="159" customFormat="1" ht="8.25" customHeight="1">
      <c r="B7" s="199"/>
      <c r="C7" s="120"/>
      <c r="D7" s="199"/>
      <c r="E7" s="120"/>
      <c r="F7" s="120"/>
      <c r="G7" s="120"/>
      <c r="H7" s="120"/>
      <c r="I7" s="120"/>
      <c r="J7" s="120"/>
      <c r="K7" s="120"/>
    </row>
    <row r="8" spans="1:13" s="125" customFormat="1" ht="16.5" customHeight="1">
      <c r="A8" s="476" t="s">
        <v>175</v>
      </c>
      <c r="B8" s="511" t="s">
        <v>358</v>
      </c>
      <c r="C8" s="484" t="s">
        <v>359</v>
      </c>
      <c r="D8" s="485"/>
      <c r="E8" s="497" t="s">
        <v>3</v>
      </c>
      <c r="F8" s="166"/>
      <c r="G8" s="489" t="s">
        <v>22</v>
      </c>
      <c r="H8" s="491" t="s">
        <v>125</v>
      </c>
      <c r="I8" s="484"/>
      <c r="J8" s="485"/>
      <c r="K8" s="497" t="s">
        <v>4</v>
      </c>
    </row>
    <row r="9" spans="1:13" s="125" customFormat="1" ht="26.25" customHeight="1">
      <c r="A9" s="477"/>
      <c r="B9" s="512"/>
      <c r="C9" s="123" t="s">
        <v>360</v>
      </c>
      <c r="D9" s="126" t="s">
        <v>361</v>
      </c>
      <c r="E9" s="498"/>
      <c r="F9" s="168"/>
      <c r="G9" s="490"/>
      <c r="H9" s="124" t="s">
        <v>362</v>
      </c>
      <c r="I9" s="124" t="s">
        <v>363</v>
      </c>
      <c r="J9" s="166" t="s">
        <v>364</v>
      </c>
      <c r="K9" s="498"/>
    </row>
    <row r="10" spans="1:13" s="172" customFormat="1" ht="12">
      <c r="A10" s="128"/>
      <c r="B10" s="200" t="s">
        <v>7</v>
      </c>
      <c r="C10" s="170" t="s">
        <v>8</v>
      </c>
      <c r="D10" s="200" t="s">
        <v>9</v>
      </c>
      <c r="E10" s="170" t="s">
        <v>10</v>
      </c>
      <c r="F10" s="170"/>
      <c r="G10" s="170" t="s">
        <v>11</v>
      </c>
      <c r="H10" s="170">
        <v>1</v>
      </c>
      <c r="I10" s="170">
        <v>2</v>
      </c>
      <c r="J10" s="170">
        <v>3</v>
      </c>
      <c r="K10" s="170" t="s">
        <v>27</v>
      </c>
    </row>
    <row r="11" spans="1:13" s="167" customFormat="1" ht="18" customHeight="1">
      <c r="A11" s="132"/>
      <c r="B11" s="201"/>
      <c r="C11" s="174"/>
      <c r="D11" s="201"/>
      <c r="E11" s="173" t="s">
        <v>365</v>
      </c>
      <c r="F11" s="173"/>
      <c r="G11" s="173"/>
      <c r="H11" s="175"/>
      <c r="I11" s="173"/>
      <c r="J11" s="175">
        <v>791852</v>
      </c>
      <c r="K11" s="173"/>
    </row>
    <row r="12" spans="1:13" s="125" customFormat="1" ht="18" customHeight="1">
      <c r="A12" s="125">
        <f t="shared" ref="A12:A43" si="0">IF(B12&lt;&gt;"",MONTH(B12),"")</f>
        <v>1</v>
      </c>
      <c r="B12" s="140">
        <v>42017</v>
      </c>
      <c r="C12" s="141" t="s">
        <v>371</v>
      </c>
      <c r="D12" s="140">
        <f>IF(B12&lt;&gt;"",B12,"")</f>
        <v>42017</v>
      </c>
      <c r="E12" s="142" t="s">
        <v>468</v>
      </c>
      <c r="F12" s="142"/>
      <c r="G12" s="141" t="s">
        <v>370</v>
      </c>
      <c r="H12" s="144">
        <v>1194480000</v>
      </c>
      <c r="I12" s="144"/>
      <c r="J12" s="145">
        <f>IF(B12&lt;&gt;"",J11+H12-I12,0)</f>
        <v>1195271852</v>
      </c>
      <c r="K12" s="145"/>
    </row>
    <row r="13" spans="1:13" s="125" customFormat="1" ht="18" customHeight="1">
      <c r="A13" s="125">
        <f t="shared" si="0"/>
        <v>1</v>
      </c>
      <c r="B13" s="140">
        <v>42018</v>
      </c>
      <c r="C13" s="141" t="s">
        <v>41</v>
      </c>
      <c r="D13" s="140">
        <f t="shared" ref="D13:D76" si="1">IF(B13&lt;&gt;"",B13,"")</f>
        <v>42018</v>
      </c>
      <c r="E13" s="142" t="s">
        <v>62</v>
      </c>
      <c r="F13" s="142"/>
      <c r="G13" s="143" t="s">
        <v>367</v>
      </c>
      <c r="H13" s="144"/>
      <c r="I13" s="144">
        <v>1190000000</v>
      </c>
      <c r="J13" s="145">
        <f t="shared" ref="J13:J76" si="2">IF(B13&lt;&gt;"",J12+H13-I13,0)</f>
        <v>5271852</v>
      </c>
      <c r="K13" s="145"/>
    </row>
    <row r="14" spans="1:13" s="125" customFormat="1" ht="18" customHeight="1">
      <c r="A14" s="125">
        <f t="shared" si="0"/>
        <v>1</v>
      </c>
      <c r="B14" s="140">
        <v>42026</v>
      </c>
      <c r="C14" s="141" t="s">
        <v>371</v>
      </c>
      <c r="D14" s="140">
        <f t="shared" si="1"/>
        <v>42026</v>
      </c>
      <c r="E14" s="142" t="s">
        <v>468</v>
      </c>
      <c r="F14" s="142"/>
      <c r="G14" s="143" t="s">
        <v>370</v>
      </c>
      <c r="H14" s="144">
        <v>640800000</v>
      </c>
      <c r="I14" s="144"/>
      <c r="J14" s="145">
        <f t="shared" si="2"/>
        <v>646071852</v>
      </c>
      <c r="K14" s="145"/>
    </row>
    <row r="15" spans="1:13" s="125" customFormat="1" ht="18" customHeight="1">
      <c r="A15" s="125">
        <f t="shared" si="0"/>
        <v>1</v>
      </c>
      <c r="B15" s="140">
        <v>42027</v>
      </c>
      <c r="C15" s="141" t="s">
        <v>61</v>
      </c>
      <c r="D15" s="140">
        <f t="shared" si="1"/>
        <v>42027</v>
      </c>
      <c r="E15" s="142" t="s">
        <v>62</v>
      </c>
      <c r="F15" s="142"/>
      <c r="G15" s="143" t="s">
        <v>367</v>
      </c>
      <c r="H15" s="144"/>
      <c r="I15" s="144">
        <v>645000000</v>
      </c>
      <c r="J15" s="145">
        <f t="shared" si="2"/>
        <v>1071852</v>
      </c>
      <c r="K15" s="145"/>
    </row>
    <row r="16" spans="1:13" s="125" customFormat="1" ht="18" customHeight="1">
      <c r="A16" s="125">
        <f t="shared" si="0"/>
        <v>1</v>
      </c>
      <c r="B16" s="140">
        <v>42028</v>
      </c>
      <c r="C16" s="141" t="s">
        <v>371</v>
      </c>
      <c r="D16" s="140">
        <f t="shared" si="1"/>
        <v>42028</v>
      </c>
      <c r="E16" s="142" t="s">
        <v>413</v>
      </c>
      <c r="F16" s="142"/>
      <c r="G16" s="143" t="s">
        <v>414</v>
      </c>
      <c r="H16" s="144">
        <v>15898</v>
      </c>
      <c r="I16" s="144"/>
      <c r="J16" s="145">
        <f t="shared" si="2"/>
        <v>1087750</v>
      </c>
      <c r="K16" s="145"/>
    </row>
    <row r="17" spans="1:13" s="125" customFormat="1" ht="18" customHeight="1">
      <c r="A17" s="125">
        <f t="shared" si="0"/>
        <v>2</v>
      </c>
      <c r="B17" s="140">
        <v>42046</v>
      </c>
      <c r="C17" s="141" t="s">
        <v>368</v>
      </c>
      <c r="D17" s="140">
        <f t="shared" si="1"/>
        <v>42046</v>
      </c>
      <c r="E17" s="142" t="s">
        <v>469</v>
      </c>
      <c r="F17" s="142"/>
      <c r="G17" s="143" t="s">
        <v>94</v>
      </c>
      <c r="H17" s="144"/>
      <c r="I17" s="144">
        <v>55000</v>
      </c>
      <c r="J17" s="145">
        <f t="shared" si="2"/>
        <v>1032750</v>
      </c>
      <c r="K17" s="145"/>
    </row>
    <row r="18" spans="1:13" s="125" customFormat="1" ht="18" customHeight="1">
      <c r="A18" s="125">
        <f t="shared" si="0"/>
        <v>2</v>
      </c>
      <c r="B18" s="140">
        <v>42046</v>
      </c>
      <c r="C18" s="141" t="s">
        <v>368</v>
      </c>
      <c r="D18" s="140">
        <f t="shared" si="1"/>
        <v>42046</v>
      </c>
      <c r="E18" s="142" t="s">
        <v>469</v>
      </c>
      <c r="F18" s="142"/>
      <c r="G18" s="143" t="s">
        <v>94</v>
      </c>
      <c r="H18" s="144"/>
      <c r="I18" s="144">
        <v>55000</v>
      </c>
      <c r="J18" s="145">
        <f t="shared" si="2"/>
        <v>977750</v>
      </c>
      <c r="K18" s="145"/>
    </row>
    <row r="19" spans="1:13" s="125" customFormat="1" ht="18" customHeight="1">
      <c r="A19" s="125">
        <f t="shared" si="0"/>
        <v>2</v>
      </c>
      <c r="B19" s="140">
        <v>42060</v>
      </c>
      <c r="C19" s="141" t="s">
        <v>368</v>
      </c>
      <c r="D19" s="140">
        <f t="shared" si="1"/>
        <v>42060</v>
      </c>
      <c r="E19" s="142" t="s">
        <v>470</v>
      </c>
      <c r="F19" s="142"/>
      <c r="G19" s="143" t="s">
        <v>438</v>
      </c>
      <c r="H19" s="144">
        <v>1174250000</v>
      </c>
      <c r="I19" s="144"/>
      <c r="J19" s="145">
        <f t="shared" si="2"/>
        <v>1175227750</v>
      </c>
      <c r="K19" s="145"/>
    </row>
    <row r="20" spans="1:13" s="125" customFormat="1" ht="18" customHeight="1">
      <c r="A20" s="125">
        <f t="shared" si="0"/>
        <v>2</v>
      </c>
      <c r="B20" s="140">
        <v>42060</v>
      </c>
      <c r="C20" s="141" t="s">
        <v>43</v>
      </c>
      <c r="D20" s="140">
        <f t="shared" si="1"/>
        <v>42060</v>
      </c>
      <c r="E20" s="142" t="s">
        <v>62</v>
      </c>
      <c r="F20" s="142"/>
      <c r="G20" s="143" t="s">
        <v>367</v>
      </c>
      <c r="H20" s="144"/>
      <c r="I20" s="144">
        <v>1170000000</v>
      </c>
      <c r="J20" s="145">
        <f t="shared" si="2"/>
        <v>5227750</v>
      </c>
      <c r="K20" s="145"/>
    </row>
    <row r="21" spans="1:13" s="125" customFormat="1" ht="18" customHeight="1">
      <c r="A21" s="125">
        <f t="shared" si="0"/>
        <v>2</v>
      </c>
      <c r="B21" s="140">
        <v>42061</v>
      </c>
      <c r="C21" s="141" t="s">
        <v>368</v>
      </c>
      <c r="D21" s="140">
        <f t="shared" si="1"/>
        <v>42061</v>
      </c>
      <c r="E21" s="142" t="s">
        <v>471</v>
      </c>
      <c r="F21" s="142"/>
      <c r="G21" s="143" t="s">
        <v>36</v>
      </c>
      <c r="H21" s="144">
        <v>25000000</v>
      </c>
      <c r="I21" s="144"/>
      <c r="J21" s="145">
        <f t="shared" si="2"/>
        <v>30227750</v>
      </c>
      <c r="K21" s="145"/>
    </row>
    <row r="22" spans="1:13" s="125" customFormat="1" ht="18" customHeight="1">
      <c r="A22" s="125">
        <f t="shared" si="0"/>
        <v>2</v>
      </c>
      <c r="B22" s="140">
        <v>42061</v>
      </c>
      <c r="C22" s="141" t="s">
        <v>368</v>
      </c>
      <c r="D22" s="140">
        <f t="shared" si="1"/>
        <v>42061</v>
      </c>
      <c r="E22" s="142" t="s">
        <v>472</v>
      </c>
      <c r="F22" s="142"/>
      <c r="G22" s="141" t="s">
        <v>374</v>
      </c>
      <c r="H22" s="144"/>
      <c r="I22" s="144">
        <v>7165650</v>
      </c>
      <c r="J22" s="145">
        <f t="shared" si="2"/>
        <v>23062100</v>
      </c>
      <c r="K22" s="145"/>
    </row>
    <row r="23" spans="1:13" s="125" customFormat="1" ht="18" customHeight="1">
      <c r="A23" s="125">
        <f t="shared" si="0"/>
        <v>2</v>
      </c>
      <c r="B23" s="140">
        <v>42061</v>
      </c>
      <c r="C23" s="141" t="s">
        <v>368</v>
      </c>
      <c r="D23" s="140">
        <f t="shared" si="1"/>
        <v>42061</v>
      </c>
      <c r="E23" s="142" t="s">
        <v>473</v>
      </c>
      <c r="F23" s="142"/>
      <c r="G23" s="141" t="s">
        <v>374</v>
      </c>
      <c r="H23" s="144"/>
      <c r="I23" s="144">
        <v>16465594</v>
      </c>
      <c r="J23" s="145">
        <f t="shared" si="2"/>
        <v>6596506</v>
      </c>
      <c r="K23" s="145"/>
    </row>
    <row r="24" spans="1:13" s="125" customFormat="1" ht="18" customHeight="1">
      <c r="A24" s="125">
        <f t="shared" si="0"/>
        <v>2</v>
      </c>
      <c r="B24" s="140">
        <v>42061</v>
      </c>
      <c r="C24" s="141" t="s">
        <v>368</v>
      </c>
      <c r="D24" s="140">
        <f t="shared" si="1"/>
        <v>42061</v>
      </c>
      <c r="E24" s="142" t="s">
        <v>474</v>
      </c>
      <c r="F24" s="142"/>
      <c r="G24" s="141" t="s">
        <v>374</v>
      </c>
      <c r="H24" s="144"/>
      <c r="I24" s="144">
        <v>5847812</v>
      </c>
      <c r="J24" s="145">
        <f t="shared" si="2"/>
        <v>748694</v>
      </c>
      <c r="K24" s="145"/>
    </row>
    <row r="25" spans="1:13" s="125" customFormat="1" ht="18" customHeight="1">
      <c r="A25" s="125">
        <f t="shared" si="0"/>
        <v>3</v>
      </c>
      <c r="B25" s="140">
        <v>42086</v>
      </c>
      <c r="C25" s="141" t="s">
        <v>368</v>
      </c>
      <c r="D25" s="140">
        <f t="shared" si="1"/>
        <v>42086</v>
      </c>
      <c r="E25" s="142" t="s">
        <v>471</v>
      </c>
      <c r="F25" s="142"/>
      <c r="G25" s="143" t="s">
        <v>36</v>
      </c>
      <c r="H25" s="144">
        <v>20000000</v>
      </c>
      <c r="I25" s="144"/>
      <c r="J25" s="145">
        <f t="shared" si="2"/>
        <v>20748694</v>
      </c>
      <c r="K25" s="145"/>
    </row>
    <row r="26" spans="1:13" s="125" customFormat="1" ht="18" customHeight="1">
      <c r="A26" s="125">
        <f t="shared" si="0"/>
        <v>3</v>
      </c>
      <c r="B26" s="140">
        <v>42086</v>
      </c>
      <c r="C26" s="141" t="s">
        <v>368</v>
      </c>
      <c r="D26" s="140">
        <f t="shared" si="1"/>
        <v>42086</v>
      </c>
      <c r="E26" s="142" t="s">
        <v>475</v>
      </c>
      <c r="F26" s="142"/>
      <c r="G26" s="143" t="s">
        <v>374</v>
      </c>
      <c r="H26" s="144"/>
      <c r="I26" s="144">
        <v>6534200</v>
      </c>
      <c r="J26" s="145">
        <f t="shared" si="2"/>
        <v>14214494</v>
      </c>
      <c r="K26" s="145"/>
      <c r="M26" s="138"/>
    </row>
    <row r="27" spans="1:13" s="125" customFormat="1" ht="18" customHeight="1">
      <c r="A27" s="125">
        <f t="shared" si="0"/>
        <v>3</v>
      </c>
      <c r="B27" s="140">
        <v>42086</v>
      </c>
      <c r="C27" s="141" t="s">
        <v>368</v>
      </c>
      <c r="D27" s="140">
        <f t="shared" si="1"/>
        <v>42086</v>
      </c>
      <c r="E27" s="142" t="s">
        <v>476</v>
      </c>
      <c r="F27" s="142"/>
      <c r="G27" s="143" t="s">
        <v>374</v>
      </c>
      <c r="H27" s="144"/>
      <c r="I27" s="144">
        <v>7720119</v>
      </c>
      <c r="J27" s="145">
        <f t="shared" si="2"/>
        <v>6494375</v>
      </c>
      <c r="K27" s="145"/>
    </row>
    <row r="28" spans="1:13" s="125" customFormat="1" ht="18" customHeight="1">
      <c r="A28" s="125">
        <f t="shared" si="0"/>
        <v>3</v>
      </c>
      <c r="B28" s="140">
        <v>42086</v>
      </c>
      <c r="C28" s="141" t="s">
        <v>368</v>
      </c>
      <c r="D28" s="140">
        <f t="shared" si="1"/>
        <v>42086</v>
      </c>
      <c r="E28" s="142" t="s">
        <v>477</v>
      </c>
      <c r="F28" s="142"/>
      <c r="G28" s="143" t="s">
        <v>374</v>
      </c>
      <c r="H28" s="144"/>
      <c r="I28" s="144">
        <v>3516557</v>
      </c>
      <c r="J28" s="145">
        <f t="shared" si="2"/>
        <v>2977818</v>
      </c>
      <c r="K28" s="145"/>
    </row>
    <row r="29" spans="1:13" s="125" customFormat="1" ht="18" customHeight="1">
      <c r="A29" s="125">
        <f t="shared" si="0"/>
        <v>4</v>
      </c>
      <c r="B29" s="140">
        <v>42114</v>
      </c>
      <c r="C29" s="141" t="s">
        <v>161</v>
      </c>
      <c r="D29" s="140">
        <f t="shared" si="1"/>
        <v>42114</v>
      </c>
      <c r="E29" s="142" t="s">
        <v>624</v>
      </c>
      <c r="F29" s="142"/>
      <c r="G29" s="143" t="s">
        <v>367</v>
      </c>
      <c r="H29" s="144">
        <v>26000000</v>
      </c>
      <c r="I29" s="144"/>
      <c r="J29" s="145">
        <f t="shared" si="2"/>
        <v>28977818</v>
      </c>
      <c r="K29" s="145"/>
    </row>
    <row r="30" spans="1:13" s="125" customFormat="1" ht="18" customHeight="1">
      <c r="A30" s="125">
        <f t="shared" si="0"/>
        <v>4</v>
      </c>
      <c r="B30" s="140">
        <v>42114</v>
      </c>
      <c r="C30" s="141" t="s">
        <v>368</v>
      </c>
      <c r="D30" s="140">
        <f t="shared" si="1"/>
        <v>42114</v>
      </c>
      <c r="E30" s="142" t="s">
        <v>475</v>
      </c>
      <c r="F30" s="142"/>
      <c r="G30" s="143" t="s">
        <v>374</v>
      </c>
      <c r="H30" s="144"/>
      <c r="I30" s="144">
        <v>6850946</v>
      </c>
      <c r="J30" s="145">
        <f t="shared" si="2"/>
        <v>22126872</v>
      </c>
      <c r="K30" s="145"/>
    </row>
    <row r="31" spans="1:13" s="125" customFormat="1" ht="18" customHeight="1">
      <c r="A31" s="125">
        <f t="shared" si="0"/>
        <v>4</v>
      </c>
      <c r="B31" s="140">
        <v>42114</v>
      </c>
      <c r="C31" s="141" t="s">
        <v>368</v>
      </c>
      <c r="D31" s="140">
        <f t="shared" si="1"/>
        <v>42114</v>
      </c>
      <c r="E31" s="142" t="s">
        <v>476</v>
      </c>
      <c r="F31" s="142"/>
      <c r="G31" s="143" t="s">
        <v>374</v>
      </c>
      <c r="H31" s="144"/>
      <c r="I31" s="144">
        <v>8076800</v>
      </c>
      <c r="J31" s="145">
        <f t="shared" si="2"/>
        <v>14050072</v>
      </c>
      <c r="K31" s="145"/>
    </row>
    <row r="32" spans="1:13" s="125" customFormat="1" ht="18" customHeight="1">
      <c r="A32" s="125">
        <f t="shared" si="0"/>
        <v>4</v>
      </c>
      <c r="B32" s="140">
        <v>42114</v>
      </c>
      <c r="C32" s="141" t="s">
        <v>368</v>
      </c>
      <c r="D32" s="140">
        <f t="shared" si="1"/>
        <v>42114</v>
      </c>
      <c r="E32" s="142" t="s">
        <v>477</v>
      </c>
      <c r="F32" s="142"/>
      <c r="G32" s="143" t="s">
        <v>374</v>
      </c>
      <c r="H32" s="144"/>
      <c r="I32" s="144">
        <v>3772258</v>
      </c>
      <c r="J32" s="145">
        <f t="shared" si="2"/>
        <v>10277814</v>
      </c>
      <c r="K32" s="145"/>
    </row>
    <row r="33" spans="1:11" s="125" customFormat="1" ht="18" customHeight="1">
      <c r="A33" s="125">
        <f t="shared" si="0"/>
        <v>4</v>
      </c>
      <c r="B33" s="140">
        <v>42114</v>
      </c>
      <c r="C33" s="141" t="s">
        <v>368</v>
      </c>
      <c r="D33" s="140">
        <f t="shared" si="1"/>
        <v>42114</v>
      </c>
      <c r="E33" s="142" t="s">
        <v>625</v>
      </c>
      <c r="F33" s="142"/>
      <c r="G33" s="143" t="s">
        <v>374</v>
      </c>
      <c r="H33" s="144"/>
      <c r="I33" s="144">
        <v>6479298</v>
      </c>
      <c r="J33" s="145">
        <f t="shared" si="2"/>
        <v>3798516</v>
      </c>
      <c r="K33" s="145"/>
    </row>
    <row r="34" spans="1:11" s="125" customFormat="1" ht="18" customHeight="1">
      <c r="A34" s="125">
        <f t="shared" si="0"/>
        <v>4</v>
      </c>
      <c r="B34" s="140">
        <v>42115</v>
      </c>
      <c r="C34" s="141" t="s">
        <v>368</v>
      </c>
      <c r="D34" s="140">
        <f t="shared" si="1"/>
        <v>42115</v>
      </c>
      <c r="E34" s="142" t="s">
        <v>626</v>
      </c>
      <c r="F34" s="142"/>
      <c r="G34" s="143" t="s">
        <v>34</v>
      </c>
      <c r="H34" s="144"/>
      <c r="I34" s="144">
        <v>180000</v>
      </c>
      <c r="J34" s="145">
        <f t="shared" si="2"/>
        <v>3618516</v>
      </c>
      <c r="K34" s="145"/>
    </row>
    <row r="35" spans="1:11" s="125" customFormat="1" ht="18" customHeight="1">
      <c r="A35" s="125">
        <f t="shared" si="0"/>
        <v>4</v>
      </c>
      <c r="B35" s="140">
        <v>42115</v>
      </c>
      <c r="C35" s="141" t="s">
        <v>368</v>
      </c>
      <c r="D35" s="140">
        <f t="shared" si="1"/>
        <v>42115</v>
      </c>
      <c r="E35" s="142" t="s">
        <v>394</v>
      </c>
      <c r="F35" s="142"/>
      <c r="G35" s="143" t="s">
        <v>94</v>
      </c>
      <c r="H35" s="144"/>
      <c r="I35" s="144">
        <v>22000</v>
      </c>
      <c r="J35" s="145">
        <f t="shared" si="2"/>
        <v>3596516</v>
      </c>
      <c r="K35" s="145"/>
    </row>
    <row r="36" spans="1:11" s="125" customFormat="1" ht="18" customHeight="1">
      <c r="A36" s="125">
        <f t="shared" si="0"/>
        <v>4</v>
      </c>
      <c r="B36" s="140">
        <v>42115</v>
      </c>
      <c r="C36" s="141" t="s">
        <v>368</v>
      </c>
      <c r="D36" s="140">
        <f t="shared" si="1"/>
        <v>42115</v>
      </c>
      <c r="E36" s="142" t="s">
        <v>626</v>
      </c>
      <c r="F36" s="142"/>
      <c r="G36" s="143" t="s">
        <v>34</v>
      </c>
      <c r="H36" s="144"/>
      <c r="I36" s="144">
        <v>3370000</v>
      </c>
      <c r="J36" s="145">
        <f t="shared" si="2"/>
        <v>226516</v>
      </c>
      <c r="K36" s="145"/>
    </row>
    <row r="37" spans="1:11" s="125" customFormat="1" ht="18" customHeight="1">
      <c r="A37" s="125">
        <f t="shared" si="0"/>
        <v>4</v>
      </c>
      <c r="B37" s="140">
        <v>42115</v>
      </c>
      <c r="C37" s="141" t="s">
        <v>368</v>
      </c>
      <c r="D37" s="140">
        <f t="shared" si="1"/>
        <v>42115</v>
      </c>
      <c r="E37" s="142" t="s">
        <v>394</v>
      </c>
      <c r="F37" s="142"/>
      <c r="G37" s="143" t="s">
        <v>94</v>
      </c>
      <c r="H37" s="144"/>
      <c r="I37" s="144">
        <v>22000</v>
      </c>
      <c r="J37" s="145">
        <f t="shared" si="2"/>
        <v>204516</v>
      </c>
      <c r="K37" s="145"/>
    </row>
    <row r="38" spans="1:11" s="125" customFormat="1" ht="18" customHeight="1">
      <c r="A38" s="125">
        <f t="shared" si="0"/>
        <v>5</v>
      </c>
      <c r="B38" s="140">
        <v>42132</v>
      </c>
      <c r="C38" s="141" t="s">
        <v>371</v>
      </c>
      <c r="D38" s="140">
        <f t="shared" si="1"/>
        <v>42132</v>
      </c>
      <c r="E38" s="142" t="s">
        <v>624</v>
      </c>
      <c r="F38" s="142"/>
      <c r="G38" s="143" t="s">
        <v>367</v>
      </c>
      <c r="H38" s="144">
        <v>23000000</v>
      </c>
      <c r="I38" s="144"/>
      <c r="J38" s="145">
        <f t="shared" si="2"/>
        <v>23204516</v>
      </c>
      <c r="K38" s="145"/>
    </row>
    <row r="39" spans="1:11" s="125" customFormat="1" ht="18" customHeight="1">
      <c r="A39" s="125">
        <f t="shared" si="0"/>
        <v>5</v>
      </c>
      <c r="B39" s="140">
        <v>42135</v>
      </c>
      <c r="C39" s="141" t="s">
        <v>368</v>
      </c>
      <c r="D39" s="140">
        <f t="shared" si="1"/>
        <v>42135</v>
      </c>
      <c r="E39" s="142" t="s">
        <v>394</v>
      </c>
      <c r="F39" s="142"/>
      <c r="G39" s="143" t="s">
        <v>94</v>
      </c>
      <c r="H39" s="144"/>
      <c r="I39" s="144">
        <v>55000</v>
      </c>
      <c r="J39" s="145">
        <f t="shared" si="2"/>
        <v>23149516</v>
      </c>
      <c r="K39" s="145"/>
    </row>
    <row r="40" spans="1:11" s="125" customFormat="1" ht="18" customHeight="1">
      <c r="A40" s="125">
        <f t="shared" si="0"/>
        <v>5</v>
      </c>
      <c r="B40" s="140">
        <v>42135</v>
      </c>
      <c r="C40" s="141" t="s">
        <v>368</v>
      </c>
      <c r="D40" s="140">
        <f t="shared" si="1"/>
        <v>42135</v>
      </c>
      <c r="E40" s="142" t="s">
        <v>394</v>
      </c>
      <c r="F40" s="142"/>
      <c r="G40" s="143" t="s">
        <v>94</v>
      </c>
      <c r="H40" s="144"/>
      <c r="I40" s="144">
        <v>55000</v>
      </c>
      <c r="J40" s="145">
        <f t="shared" si="2"/>
        <v>23094516</v>
      </c>
      <c r="K40" s="145"/>
    </row>
    <row r="41" spans="1:11" s="125" customFormat="1" ht="18" customHeight="1">
      <c r="A41" s="125">
        <f t="shared" si="0"/>
        <v>5</v>
      </c>
      <c r="B41" s="140">
        <v>42139</v>
      </c>
      <c r="C41" s="141" t="s">
        <v>368</v>
      </c>
      <c r="D41" s="140">
        <f t="shared" si="1"/>
        <v>42139</v>
      </c>
      <c r="E41" s="142" t="s">
        <v>483</v>
      </c>
      <c r="F41" s="142"/>
      <c r="G41" s="143" t="s">
        <v>374</v>
      </c>
      <c r="H41" s="144"/>
      <c r="I41" s="144">
        <v>6621750</v>
      </c>
      <c r="J41" s="145">
        <f t="shared" si="2"/>
        <v>16472766</v>
      </c>
      <c r="K41" s="145"/>
    </row>
    <row r="42" spans="1:11" s="125" customFormat="1" ht="18" customHeight="1">
      <c r="A42" s="125">
        <f t="shared" si="0"/>
        <v>5</v>
      </c>
      <c r="B42" s="140">
        <v>42139</v>
      </c>
      <c r="C42" s="141" t="s">
        <v>368</v>
      </c>
      <c r="D42" s="140">
        <f t="shared" si="1"/>
        <v>42139</v>
      </c>
      <c r="E42" s="142" t="s">
        <v>674</v>
      </c>
      <c r="F42" s="142"/>
      <c r="G42" s="143" t="s">
        <v>374</v>
      </c>
      <c r="H42" s="144"/>
      <c r="I42" s="144">
        <v>7823584</v>
      </c>
      <c r="J42" s="145">
        <f t="shared" si="2"/>
        <v>8649182</v>
      </c>
      <c r="K42" s="145"/>
    </row>
    <row r="43" spans="1:11" s="125" customFormat="1" ht="18" customHeight="1">
      <c r="A43" s="125">
        <f t="shared" si="0"/>
        <v>5</v>
      </c>
      <c r="B43" s="140">
        <v>42139</v>
      </c>
      <c r="C43" s="141" t="s">
        <v>368</v>
      </c>
      <c r="D43" s="140">
        <f t="shared" si="1"/>
        <v>42139</v>
      </c>
      <c r="E43" s="142" t="s">
        <v>675</v>
      </c>
      <c r="F43" s="142"/>
      <c r="G43" s="143" t="s">
        <v>374</v>
      </c>
      <c r="H43" s="144"/>
      <c r="I43" s="144">
        <v>3564300</v>
      </c>
      <c r="J43" s="145">
        <f t="shared" si="2"/>
        <v>5084882</v>
      </c>
      <c r="K43" s="145"/>
    </row>
    <row r="44" spans="1:11" s="125" customFormat="1" ht="18" customHeight="1">
      <c r="A44" s="125">
        <f t="shared" ref="A44:A75" si="3">IF(B44&lt;&gt;"",MONTH(B44),"")</f>
        <v>5</v>
      </c>
      <c r="B44" s="140">
        <v>42139</v>
      </c>
      <c r="C44" s="141" t="s">
        <v>368</v>
      </c>
      <c r="D44" s="140">
        <f t="shared" si="1"/>
        <v>42139</v>
      </c>
      <c r="E44" s="142" t="s">
        <v>676</v>
      </c>
      <c r="F44" s="142"/>
      <c r="G44" s="143" t="s">
        <v>374</v>
      </c>
      <c r="H44" s="144"/>
      <c r="I44" s="144">
        <v>3996594</v>
      </c>
      <c r="J44" s="145">
        <f t="shared" si="2"/>
        <v>1088288</v>
      </c>
      <c r="K44" s="145"/>
    </row>
    <row r="45" spans="1:11" s="125" customFormat="1" ht="18" customHeight="1">
      <c r="A45" s="125">
        <f t="shared" si="3"/>
        <v>5</v>
      </c>
      <c r="B45" s="140">
        <v>42150</v>
      </c>
      <c r="C45" s="141" t="s">
        <v>371</v>
      </c>
      <c r="D45" s="140">
        <f t="shared" si="1"/>
        <v>42150</v>
      </c>
      <c r="E45" s="142" t="s">
        <v>624</v>
      </c>
      <c r="F45" s="142"/>
      <c r="G45" s="143" t="s">
        <v>367</v>
      </c>
      <c r="H45" s="144">
        <v>650000000</v>
      </c>
      <c r="I45" s="144"/>
      <c r="J45" s="145">
        <f t="shared" si="2"/>
        <v>651088288</v>
      </c>
      <c r="K45" s="145"/>
    </row>
    <row r="46" spans="1:11" s="125" customFormat="1" ht="18" customHeight="1">
      <c r="A46" s="125">
        <f t="shared" si="3"/>
        <v>5</v>
      </c>
      <c r="B46" s="140">
        <v>42151</v>
      </c>
      <c r="C46" s="141" t="s">
        <v>371</v>
      </c>
      <c r="D46" s="140">
        <f t="shared" si="1"/>
        <v>42151</v>
      </c>
      <c r="E46" s="142" t="s">
        <v>677</v>
      </c>
      <c r="F46" s="142"/>
      <c r="G46" s="143" t="s">
        <v>370</v>
      </c>
      <c r="H46" s="144"/>
      <c r="I46" s="144">
        <v>588870000</v>
      </c>
      <c r="J46" s="145">
        <f t="shared" si="2"/>
        <v>62218288</v>
      </c>
      <c r="K46" s="145"/>
    </row>
    <row r="47" spans="1:11" s="125" customFormat="1" ht="18" customHeight="1">
      <c r="A47" s="125">
        <f t="shared" si="3"/>
        <v>5</v>
      </c>
      <c r="B47" s="140">
        <v>42151</v>
      </c>
      <c r="C47" s="141" t="s">
        <v>368</v>
      </c>
      <c r="D47" s="140">
        <f t="shared" si="1"/>
        <v>42151</v>
      </c>
      <c r="E47" s="142" t="s">
        <v>678</v>
      </c>
      <c r="F47" s="142"/>
      <c r="G47" s="143" t="s">
        <v>438</v>
      </c>
      <c r="H47" s="144">
        <v>1663340000</v>
      </c>
      <c r="I47" s="144"/>
      <c r="J47" s="145">
        <f t="shared" si="2"/>
        <v>1725558288</v>
      </c>
      <c r="K47" s="145"/>
    </row>
    <row r="48" spans="1:11" s="125" customFormat="1" ht="18" customHeight="1">
      <c r="A48" s="125">
        <f t="shared" si="3"/>
        <v>5</v>
      </c>
      <c r="B48" s="140">
        <v>42151</v>
      </c>
      <c r="C48" s="141" t="s">
        <v>368</v>
      </c>
      <c r="D48" s="140">
        <f t="shared" si="1"/>
        <v>42151</v>
      </c>
      <c r="E48" s="142" t="s">
        <v>62</v>
      </c>
      <c r="F48" s="142"/>
      <c r="G48" s="143" t="s">
        <v>367</v>
      </c>
      <c r="H48" s="144"/>
      <c r="I48" s="144">
        <v>1700000000</v>
      </c>
      <c r="J48" s="145">
        <f t="shared" si="2"/>
        <v>25558288</v>
      </c>
      <c r="K48" s="145"/>
    </row>
    <row r="49" spans="1:11" s="125" customFormat="1" ht="18" customHeight="1">
      <c r="A49" s="125">
        <f t="shared" si="3"/>
        <v>5</v>
      </c>
      <c r="B49" s="140">
        <v>42151</v>
      </c>
      <c r="C49" s="141" t="s">
        <v>368</v>
      </c>
      <c r="D49" s="140">
        <f t="shared" si="1"/>
        <v>42151</v>
      </c>
      <c r="E49" s="142" t="s">
        <v>418</v>
      </c>
      <c r="F49" s="142"/>
      <c r="G49" s="143" t="s">
        <v>94</v>
      </c>
      <c r="H49" s="144"/>
      <c r="I49" s="144">
        <v>22000</v>
      </c>
      <c r="J49" s="145">
        <f t="shared" si="2"/>
        <v>25536288</v>
      </c>
      <c r="K49" s="145"/>
    </row>
    <row r="50" spans="1:11" s="125" customFormat="1" ht="18" customHeight="1">
      <c r="A50" s="125">
        <f t="shared" si="3"/>
        <v>6</v>
      </c>
      <c r="B50" s="140">
        <v>42156</v>
      </c>
      <c r="C50" s="141" t="s">
        <v>371</v>
      </c>
      <c r="D50" s="140">
        <f t="shared" si="1"/>
        <v>42156</v>
      </c>
      <c r="E50" s="142" t="s">
        <v>624</v>
      </c>
      <c r="F50" s="142"/>
      <c r="G50" s="143" t="s">
        <v>367</v>
      </c>
      <c r="H50" s="144">
        <v>1950000000</v>
      </c>
      <c r="I50" s="144"/>
      <c r="J50" s="145">
        <f t="shared" si="2"/>
        <v>1975536288</v>
      </c>
      <c r="K50" s="145"/>
    </row>
    <row r="51" spans="1:11" s="125" customFormat="1" ht="18" customHeight="1">
      <c r="A51" s="125">
        <f t="shared" si="3"/>
        <v>6</v>
      </c>
      <c r="B51" s="140">
        <v>42157</v>
      </c>
      <c r="C51" s="141" t="s">
        <v>368</v>
      </c>
      <c r="D51" s="140">
        <f t="shared" si="1"/>
        <v>42157</v>
      </c>
      <c r="E51" s="142" t="s">
        <v>828</v>
      </c>
      <c r="F51" s="142"/>
      <c r="G51" s="143" t="s">
        <v>34</v>
      </c>
      <c r="H51" s="144"/>
      <c r="I51" s="144">
        <v>41244390</v>
      </c>
      <c r="J51" s="145">
        <f t="shared" si="2"/>
        <v>1934291898</v>
      </c>
      <c r="K51" s="145"/>
    </row>
    <row r="52" spans="1:11" s="125" customFormat="1" ht="18" customHeight="1">
      <c r="A52" s="125">
        <f t="shared" si="3"/>
        <v>6</v>
      </c>
      <c r="B52" s="140">
        <v>42157</v>
      </c>
      <c r="C52" s="141" t="s">
        <v>368</v>
      </c>
      <c r="D52" s="140">
        <f t="shared" si="1"/>
        <v>42157</v>
      </c>
      <c r="E52" s="142" t="s">
        <v>415</v>
      </c>
      <c r="F52" s="142"/>
      <c r="G52" s="143" t="s">
        <v>94</v>
      </c>
      <c r="H52" s="144"/>
      <c r="I52" s="144">
        <v>25000</v>
      </c>
      <c r="J52" s="145">
        <f t="shared" si="2"/>
        <v>1934266898</v>
      </c>
      <c r="K52" s="145"/>
    </row>
    <row r="53" spans="1:11" s="125" customFormat="1" ht="18" customHeight="1">
      <c r="A53" s="125">
        <f t="shared" si="3"/>
        <v>6</v>
      </c>
      <c r="B53" s="140">
        <v>42157</v>
      </c>
      <c r="C53" s="141" t="s">
        <v>368</v>
      </c>
      <c r="D53" s="140">
        <f t="shared" si="1"/>
        <v>42157</v>
      </c>
      <c r="E53" s="142" t="s">
        <v>416</v>
      </c>
      <c r="F53" s="142"/>
      <c r="G53" s="143" t="s">
        <v>35</v>
      </c>
      <c r="H53" s="144"/>
      <c r="I53" s="144">
        <v>2500</v>
      </c>
      <c r="J53" s="145">
        <f t="shared" si="2"/>
        <v>1934264398</v>
      </c>
      <c r="K53" s="145"/>
    </row>
    <row r="54" spans="1:11" s="125" customFormat="1" ht="18" customHeight="1">
      <c r="A54" s="125">
        <f t="shared" si="3"/>
        <v>6</v>
      </c>
      <c r="B54" s="140">
        <v>42157</v>
      </c>
      <c r="C54" s="141" t="s">
        <v>371</v>
      </c>
      <c r="D54" s="140">
        <f t="shared" si="1"/>
        <v>42157</v>
      </c>
      <c r="E54" s="142" t="s">
        <v>829</v>
      </c>
      <c r="F54" s="142"/>
      <c r="G54" s="143" t="s">
        <v>36</v>
      </c>
      <c r="H54" s="144">
        <v>10000000</v>
      </c>
      <c r="I54" s="144"/>
      <c r="J54" s="145">
        <f t="shared" si="2"/>
        <v>1944264398</v>
      </c>
      <c r="K54" s="145"/>
    </row>
    <row r="55" spans="1:11" s="125" customFormat="1" ht="18" customHeight="1">
      <c r="A55" s="125">
        <f t="shared" si="3"/>
        <v>6</v>
      </c>
      <c r="B55" s="140">
        <v>42157</v>
      </c>
      <c r="C55" s="141" t="s">
        <v>368</v>
      </c>
      <c r="D55" s="140">
        <f t="shared" si="1"/>
        <v>42157</v>
      </c>
      <c r="E55" s="142" t="s">
        <v>677</v>
      </c>
      <c r="F55" s="142"/>
      <c r="G55" s="143" t="s">
        <v>370</v>
      </c>
      <c r="H55" s="144"/>
      <c r="I55" s="144">
        <v>1942425000</v>
      </c>
      <c r="J55" s="145">
        <f t="shared" si="2"/>
        <v>1839398</v>
      </c>
      <c r="K55" s="145"/>
    </row>
    <row r="56" spans="1:11" s="125" customFormat="1" ht="18" customHeight="1">
      <c r="A56" s="125">
        <f t="shared" si="3"/>
        <v>6</v>
      </c>
      <c r="B56" s="140">
        <v>42158</v>
      </c>
      <c r="C56" s="141" t="s">
        <v>371</v>
      </c>
      <c r="D56" s="140">
        <f t="shared" si="1"/>
        <v>42158</v>
      </c>
      <c r="E56" s="142" t="s">
        <v>624</v>
      </c>
      <c r="F56" s="142"/>
      <c r="G56" s="143" t="s">
        <v>367</v>
      </c>
      <c r="H56" s="144">
        <v>60000000</v>
      </c>
      <c r="I56" s="144"/>
      <c r="J56" s="145">
        <f t="shared" si="2"/>
        <v>61839398</v>
      </c>
      <c r="K56" s="145"/>
    </row>
    <row r="57" spans="1:11" s="125" customFormat="1" ht="18" customHeight="1">
      <c r="A57" s="125">
        <f t="shared" si="3"/>
        <v>6</v>
      </c>
      <c r="B57" s="140">
        <v>42158</v>
      </c>
      <c r="C57" s="141" t="s">
        <v>368</v>
      </c>
      <c r="D57" s="140">
        <f t="shared" si="1"/>
        <v>42158</v>
      </c>
      <c r="E57" s="142" t="s">
        <v>677</v>
      </c>
      <c r="F57" s="142"/>
      <c r="G57" s="143" t="s">
        <v>370</v>
      </c>
      <c r="H57" s="144"/>
      <c r="I57" s="144">
        <v>54562500</v>
      </c>
      <c r="J57" s="145">
        <f t="shared" si="2"/>
        <v>7276898</v>
      </c>
      <c r="K57" s="145"/>
    </row>
    <row r="58" spans="1:11" s="125" customFormat="1" ht="18" customHeight="1">
      <c r="A58" s="125">
        <f t="shared" si="3"/>
        <v>6</v>
      </c>
      <c r="B58" s="140">
        <v>42158</v>
      </c>
      <c r="C58" s="141" t="s">
        <v>368</v>
      </c>
      <c r="D58" s="140">
        <f t="shared" si="1"/>
        <v>42158</v>
      </c>
      <c r="E58" s="142" t="s">
        <v>674</v>
      </c>
      <c r="F58" s="142"/>
      <c r="G58" s="143" t="s">
        <v>374</v>
      </c>
      <c r="H58" s="144"/>
      <c r="I58" s="144">
        <v>4965150</v>
      </c>
      <c r="J58" s="145">
        <f t="shared" si="2"/>
        <v>2311748</v>
      </c>
      <c r="K58" s="145"/>
    </row>
    <row r="59" spans="1:11" s="125" customFormat="1" ht="18" customHeight="1">
      <c r="A59" s="125">
        <f t="shared" si="3"/>
        <v>6</v>
      </c>
      <c r="B59" s="140">
        <v>42158</v>
      </c>
      <c r="C59" s="141" t="s">
        <v>371</v>
      </c>
      <c r="D59" s="140">
        <f t="shared" si="1"/>
        <v>42158</v>
      </c>
      <c r="E59" s="142" t="s">
        <v>830</v>
      </c>
      <c r="F59" s="142"/>
      <c r="G59" s="143" t="s">
        <v>438</v>
      </c>
      <c r="H59" s="144">
        <v>2072900000</v>
      </c>
      <c r="I59" s="144"/>
      <c r="J59" s="145">
        <f t="shared" si="2"/>
        <v>2075211748</v>
      </c>
      <c r="K59" s="145"/>
    </row>
    <row r="60" spans="1:11" s="125" customFormat="1" ht="18" customHeight="1">
      <c r="A60" s="125">
        <f t="shared" si="3"/>
        <v>6</v>
      </c>
      <c r="B60" s="140">
        <v>42158</v>
      </c>
      <c r="C60" s="141" t="s">
        <v>368</v>
      </c>
      <c r="D60" s="140">
        <f t="shared" si="1"/>
        <v>42158</v>
      </c>
      <c r="E60" s="142" t="s">
        <v>62</v>
      </c>
      <c r="F60" s="142"/>
      <c r="G60" s="143" t="s">
        <v>367</v>
      </c>
      <c r="H60" s="144"/>
      <c r="I60" s="144">
        <v>2070000000</v>
      </c>
      <c r="J60" s="145">
        <f t="shared" si="2"/>
        <v>5211748</v>
      </c>
      <c r="K60" s="145"/>
    </row>
    <row r="61" spans="1:11" s="125" customFormat="1" ht="18" customHeight="1">
      <c r="A61" s="125">
        <f t="shared" si="3"/>
        <v>6</v>
      </c>
      <c r="B61" s="140">
        <v>42179</v>
      </c>
      <c r="C61" s="141" t="s">
        <v>371</v>
      </c>
      <c r="D61" s="140">
        <f t="shared" si="1"/>
        <v>42179</v>
      </c>
      <c r="E61" s="142" t="s">
        <v>413</v>
      </c>
      <c r="F61" s="142"/>
      <c r="G61" s="143" t="s">
        <v>414</v>
      </c>
      <c r="H61" s="144">
        <v>23942</v>
      </c>
      <c r="I61" s="144"/>
      <c r="J61" s="145">
        <f t="shared" si="2"/>
        <v>5235690</v>
      </c>
      <c r="K61" s="145"/>
    </row>
    <row r="62" spans="1:11" s="125" customFormat="1" ht="18" customHeight="1">
      <c r="A62" s="125">
        <f t="shared" si="3"/>
        <v>6</v>
      </c>
      <c r="B62" s="140">
        <v>42181</v>
      </c>
      <c r="C62" s="141" t="s">
        <v>371</v>
      </c>
      <c r="D62" s="140">
        <f t="shared" si="1"/>
        <v>42181</v>
      </c>
      <c r="E62" s="142" t="s">
        <v>831</v>
      </c>
      <c r="F62" s="142"/>
      <c r="G62" s="143" t="s">
        <v>438</v>
      </c>
      <c r="H62" s="144">
        <v>950916000</v>
      </c>
      <c r="I62" s="144"/>
      <c r="J62" s="145">
        <f t="shared" si="2"/>
        <v>956151690</v>
      </c>
      <c r="K62" s="145"/>
    </row>
    <row r="63" spans="1:11" s="125" customFormat="1" ht="18" customHeight="1">
      <c r="A63" s="125">
        <f t="shared" si="3"/>
        <v>6</v>
      </c>
      <c r="B63" s="140">
        <v>42181</v>
      </c>
      <c r="C63" s="141" t="s">
        <v>368</v>
      </c>
      <c r="D63" s="140">
        <f t="shared" si="1"/>
        <v>42181</v>
      </c>
      <c r="E63" s="142" t="s">
        <v>62</v>
      </c>
      <c r="F63" s="142"/>
      <c r="G63" s="143" t="s">
        <v>367</v>
      </c>
      <c r="H63" s="144"/>
      <c r="I63" s="144">
        <v>950000000</v>
      </c>
      <c r="J63" s="145">
        <f t="shared" si="2"/>
        <v>6151690</v>
      </c>
      <c r="K63" s="145"/>
    </row>
    <row r="64" spans="1:11" s="125" customFormat="1" ht="18" customHeight="1">
      <c r="A64" s="125">
        <f t="shared" si="3"/>
        <v>7</v>
      </c>
      <c r="B64" s="140">
        <v>42206</v>
      </c>
      <c r="C64" s="141" t="s">
        <v>371</v>
      </c>
      <c r="D64" s="140">
        <f t="shared" si="1"/>
        <v>42206</v>
      </c>
      <c r="E64" s="142" t="s">
        <v>471</v>
      </c>
      <c r="F64" s="142"/>
      <c r="G64" s="143" t="s">
        <v>36</v>
      </c>
      <c r="H64" s="144">
        <v>20000000</v>
      </c>
      <c r="I64" s="144"/>
      <c r="J64" s="145">
        <f t="shared" si="2"/>
        <v>26151690</v>
      </c>
      <c r="K64" s="145"/>
    </row>
    <row r="65" spans="1:11" s="125" customFormat="1" ht="18" customHeight="1">
      <c r="A65" s="125">
        <f t="shared" ref="A65:A67" si="4">IF(B65&lt;&gt;"",MONTH(B65),"")</f>
        <v>7</v>
      </c>
      <c r="B65" s="140">
        <v>42206</v>
      </c>
      <c r="C65" s="141" t="s">
        <v>368</v>
      </c>
      <c r="D65" s="140">
        <f t="shared" ref="D65:D67" si="5">IF(B65&lt;&gt;"",B65,"")</f>
        <v>42206</v>
      </c>
      <c r="E65" s="142" t="s">
        <v>676</v>
      </c>
      <c r="F65" s="142"/>
      <c r="G65" s="143" t="s">
        <v>374</v>
      </c>
      <c r="H65" s="144"/>
      <c r="I65" s="144">
        <v>4007858</v>
      </c>
      <c r="J65" s="145">
        <f t="shared" ref="J65:J67" si="6">IF(B65&lt;&gt;"",J64+H65-I65,0)</f>
        <v>22143832</v>
      </c>
      <c r="K65" s="145"/>
    </row>
    <row r="66" spans="1:11" s="125" customFormat="1" ht="18" customHeight="1">
      <c r="A66" s="125">
        <f t="shared" si="4"/>
        <v>7</v>
      </c>
      <c r="B66" s="140">
        <v>42206</v>
      </c>
      <c r="C66" s="141" t="s">
        <v>368</v>
      </c>
      <c r="D66" s="140">
        <f t="shared" si="5"/>
        <v>42206</v>
      </c>
      <c r="E66" s="142" t="s">
        <v>926</v>
      </c>
      <c r="F66" s="142"/>
      <c r="G66" s="143" t="s">
        <v>374</v>
      </c>
      <c r="H66" s="144"/>
      <c r="I66" s="144">
        <v>9081727</v>
      </c>
      <c r="J66" s="145">
        <f t="shared" si="6"/>
        <v>13062105</v>
      </c>
      <c r="K66" s="145"/>
    </row>
    <row r="67" spans="1:11" s="125" customFormat="1" ht="18" customHeight="1">
      <c r="A67" s="125">
        <f t="shared" si="4"/>
        <v>7</v>
      </c>
      <c r="B67" s="140">
        <v>42206</v>
      </c>
      <c r="C67" s="141" t="s">
        <v>368</v>
      </c>
      <c r="D67" s="140">
        <f t="shared" si="5"/>
        <v>42206</v>
      </c>
      <c r="E67" s="142" t="s">
        <v>927</v>
      </c>
      <c r="F67" s="142"/>
      <c r="G67" s="143" t="s">
        <v>374</v>
      </c>
      <c r="H67" s="144"/>
      <c r="I67" s="144">
        <v>9691937</v>
      </c>
      <c r="J67" s="145">
        <f t="shared" si="6"/>
        <v>3370168</v>
      </c>
      <c r="K67" s="145"/>
    </row>
    <row r="68" spans="1:11" s="125" customFormat="1" ht="18" customHeight="1">
      <c r="A68" s="125">
        <f t="shared" si="3"/>
        <v>8</v>
      </c>
      <c r="B68" s="140">
        <v>42228</v>
      </c>
      <c r="C68" s="141" t="s">
        <v>368</v>
      </c>
      <c r="D68" s="140">
        <f t="shared" si="1"/>
        <v>42228</v>
      </c>
      <c r="E68" s="142" t="s">
        <v>469</v>
      </c>
      <c r="F68" s="142"/>
      <c r="G68" s="143" t="s">
        <v>94</v>
      </c>
      <c r="H68" s="144"/>
      <c r="I68" s="144">
        <v>55000</v>
      </c>
      <c r="J68" s="145">
        <f t="shared" si="2"/>
        <v>3315168</v>
      </c>
      <c r="K68" s="145"/>
    </row>
    <row r="69" spans="1:11" s="125" customFormat="1" ht="18" customHeight="1">
      <c r="A69" s="125">
        <f t="shared" si="3"/>
        <v>8</v>
      </c>
      <c r="B69" s="140">
        <v>42228</v>
      </c>
      <c r="C69" s="141" t="s">
        <v>368</v>
      </c>
      <c r="D69" s="140">
        <f t="shared" si="1"/>
        <v>42228</v>
      </c>
      <c r="E69" s="142" t="s">
        <v>469</v>
      </c>
      <c r="F69" s="142"/>
      <c r="G69" s="143" t="s">
        <v>94</v>
      </c>
      <c r="H69" s="144"/>
      <c r="I69" s="144">
        <v>55000</v>
      </c>
      <c r="J69" s="145">
        <f t="shared" si="2"/>
        <v>3260168</v>
      </c>
      <c r="K69" s="145"/>
    </row>
    <row r="70" spans="1:11" s="125" customFormat="1" ht="18" customHeight="1">
      <c r="A70" s="125">
        <f t="shared" si="3"/>
        <v>8</v>
      </c>
      <c r="B70" s="140">
        <v>42234</v>
      </c>
      <c r="C70" s="141" t="s">
        <v>371</v>
      </c>
      <c r="D70" s="140">
        <f t="shared" si="1"/>
        <v>42234</v>
      </c>
      <c r="E70" s="142" t="s">
        <v>624</v>
      </c>
      <c r="F70" s="142"/>
      <c r="G70" s="143" t="s">
        <v>367</v>
      </c>
      <c r="H70" s="144">
        <v>25000000</v>
      </c>
      <c r="I70" s="144"/>
      <c r="J70" s="145">
        <f t="shared" si="2"/>
        <v>28260168</v>
      </c>
      <c r="K70" s="145"/>
    </row>
    <row r="71" spans="1:11" s="125" customFormat="1" ht="18" customHeight="1">
      <c r="A71" s="125">
        <f t="shared" si="3"/>
        <v>8</v>
      </c>
      <c r="B71" s="140">
        <v>42234</v>
      </c>
      <c r="C71" s="141" t="s">
        <v>368</v>
      </c>
      <c r="D71" s="140">
        <f t="shared" si="1"/>
        <v>42234</v>
      </c>
      <c r="E71" s="142" t="s">
        <v>1010</v>
      </c>
      <c r="F71" s="142"/>
      <c r="G71" s="143" t="s">
        <v>374</v>
      </c>
      <c r="H71" s="144"/>
      <c r="I71" s="144">
        <v>4459886</v>
      </c>
      <c r="J71" s="145">
        <f t="shared" si="2"/>
        <v>23800282</v>
      </c>
      <c r="K71" s="145"/>
    </row>
    <row r="72" spans="1:11" s="125" customFormat="1" ht="18" customHeight="1">
      <c r="A72" s="125">
        <f t="shared" si="3"/>
        <v>8</v>
      </c>
      <c r="B72" s="140">
        <v>42234</v>
      </c>
      <c r="C72" s="141" t="s">
        <v>368</v>
      </c>
      <c r="D72" s="140">
        <f t="shared" si="1"/>
        <v>42234</v>
      </c>
      <c r="E72" s="142" t="s">
        <v>1013</v>
      </c>
      <c r="F72" s="142"/>
      <c r="G72" s="143" t="s">
        <v>374</v>
      </c>
      <c r="H72" s="144"/>
      <c r="I72" s="144">
        <v>5812552</v>
      </c>
      <c r="J72" s="145">
        <f t="shared" si="2"/>
        <v>17987730</v>
      </c>
      <c r="K72" s="145"/>
    </row>
    <row r="73" spans="1:11" s="125" customFormat="1" ht="18" customHeight="1">
      <c r="A73" s="125">
        <f t="shared" si="3"/>
        <v>8</v>
      </c>
      <c r="B73" s="140">
        <v>42234</v>
      </c>
      <c r="C73" s="141" t="s">
        <v>368</v>
      </c>
      <c r="D73" s="140">
        <f t="shared" si="1"/>
        <v>42234</v>
      </c>
      <c r="E73" s="142" t="s">
        <v>1012</v>
      </c>
      <c r="F73" s="142"/>
      <c r="G73" s="143" t="s">
        <v>374</v>
      </c>
      <c r="H73" s="144"/>
      <c r="I73" s="144">
        <v>7237062</v>
      </c>
      <c r="J73" s="145">
        <f t="shared" si="2"/>
        <v>10750668</v>
      </c>
      <c r="K73" s="145"/>
    </row>
    <row r="74" spans="1:11" s="125" customFormat="1" ht="18" customHeight="1">
      <c r="A74" s="125">
        <f t="shared" si="3"/>
        <v>8</v>
      </c>
      <c r="B74" s="140">
        <v>42234</v>
      </c>
      <c r="C74" s="141" t="s">
        <v>368</v>
      </c>
      <c r="D74" s="140">
        <f t="shared" si="1"/>
        <v>42234</v>
      </c>
      <c r="E74" s="142" t="s">
        <v>1011</v>
      </c>
      <c r="F74" s="142"/>
      <c r="G74" s="143" t="s">
        <v>374</v>
      </c>
      <c r="H74" s="144"/>
      <c r="I74" s="144">
        <v>5357168</v>
      </c>
      <c r="J74" s="145">
        <f t="shared" si="2"/>
        <v>5393500</v>
      </c>
      <c r="K74" s="145"/>
    </row>
    <row r="75" spans="1:11" s="125" customFormat="1" ht="18" customHeight="1">
      <c r="A75" s="125">
        <f t="shared" si="3"/>
        <v>8</v>
      </c>
      <c r="B75" s="140">
        <v>42234</v>
      </c>
      <c r="C75" s="141" t="s">
        <v>371</v>
      </c>
      <c r="D75" s="140">
        <f t="shared" si="1"/>
        <v>42234</v>
      </c>
      <c r="E75" s="142" t="s">
        <v>1014</v>
      </c>
      <c r="F75" s="142"/>
      <c r="G75" s="143" t="s">
        <v>438</v>
      </c>
      <c r="H75" s="144">
        <v>1154784000</v>
      </c>
      <c r="I75" s="144"/>
      <c r="J75" s="145">
        <f t="shared" si="2"/>
        <v>1160177500</v>
      </c>
      <c r="K75" s="145"/>
    </row>
    <row r="76" spans="1:11" s="125" customFormat="1" ht="18" customHeight="1">
      <c r="A76" s="125">
        <f t="shared" ref="A76:A138" si="7">IF(B76&lt;&gt;"",MONTH(B76),"")</f>
        <v>8</v>
      </c>
      <c r="B76" s="140">
        <v>42235</v>
      </c>
      <c r="C76" s="141" t="s">
        <v>368</v>
      </c>
      <c r="D76" s="140">
        <f t="shared" si="1"/>
        <v>42235</v>
      </c>
      <c r="E76" s="142" t="s">
        <v>62</v>
      </c>
      <c r="F76" s="142"/>
      <c r="G76" s="143" t="s">
        <v>367</v>
      </c>
      <c r="H76" s="144"/>
      <c r="I76" s="144">
        <v>1160000000</v>
      </c>
      <c r="J76" s="145">
        <f t="shared" si="2"/>
        <v>177500</v>
      </c>
      <c r="K76" s="145"/>
    </row>
    <row r="77" spans="1:11" s="125" customFormat="1" ht="18" customHeight="1">
      <c r="A77" s="125">
        <f t="shared" si="7"/>
        <v>8</v>
      </c>
      <c r="B77" s="140">
        <v>42240</v>
      </c>
      <c r="C77" s="141" t="s">
        <v>371</v>
      </c>
      <c r="D77" s="140">
        <f t="shared" ref="D77:D85" si="8">IF(B77&lt;&gt;"",B77,"")</f>
        <v>42240</v>
      </c>
      <c r="E77" s="142" t="s">
        <v>413</v>
      </c>
      <c r="F77" s="142"/>
      <c r="G77" s="143" t="s">
        <v>414</v>
      </c>
      <c r="H77" s="144">
        <v>10346</v>
      </c>
      <c r="I77" s="144"/>
      <c r="J77" s="145">
        <f t="shared" ref="J77:J106" si="9">IF(B77&lt;&gt;"",J76+H77-I77,0)</f>
        <v>187846</v>
      </c>
      <c r="K77" s="145"/>
    </row>
    <row r="78" spans="1:11" s="125" customFormat="1" ht="18" customHeight="1">
      <c r="A78" s="125">
        <f t="shared" si="7"/>
        <v>8</v>
      </c>
      <c r="B78" s="140">
        <v>42247</v>
      </c>
      <c r="C78" s="141" t="s">
        <v>371</v>
      </c>
      <c r="D78" s="140">
        <f t="shared" si="8"/>
        <v>42247</v>
      </c>
      <c r="E78" s="142" t="s">
        <v>624</v>
      </c>
      <c r="F78" s="142"/>
      <c r="G78" s="143" t="s">
        <v>367</v>
      </c>
      <c r="H78" s="144">
        <v>900000000</v>
      </c>
      <c r="I78" s="144"/>
      <c r="J78" s="145">
        <f t="shared" si="9"/>
        <v>900187846</v>
      </c>
      <c r="K78" s="145"/>
    </row>
    <row r="79" spans="1:11" s="125" customFormat="1" ht="18" customHeight="1">
      <c r="A79" s="125">
        <f t="shared" si="7"/>
        <v>9</v>
      </c>
      <c r="B79" s="140">
        <v>42248</v>
      </c>
      <c r="C79" s="141" t="s">
        <v>368</v>
      </c>
      <c r="D79" s="140">
        <f t="shared" si="8"/>
        <v>42248</v>
      </c>
      <c r="E79" s="142" t="s">
        <v>471</v>
      </c>
      <c r="F79" s="142"/>
      <c r="G79" s="143" t="s">
        <v>36</v>
      </c>
      <c r="H79" s="144"/>
      <c r="I79" s="144">
        <v>900000000</v>
      </c>
      <c r="J79" s="145">
        <f t="shared" si="9"/>
        <v>187846</v>
      </c>
      <c r="K79" s="145"/>
    </row>
    <row r="80" spans="1:11" s="125" customFormat="1" ht="18" customHeight="1">
      <c r="A80" s="125">
        <f t="shared" si="7"/>
        <v>9</v>
      </c>
      <c r="B80" s="140">
        <v>42250</v>
      </c>
      <c r="C80" s="141" t="s">
        <v>371</v>
      </c>
      <c r="D80" s="140">
        <f t="shared" si="8"/>
        <v>42250</v>
      </c>
      <c r="E80" s="142" t="s">
        <v>624</v>
      </c>
      <c r="F80" s="142"/>
      <c r="G80" s="143" t="s">
        <v>367</v>
      </c>
      <c r="H80" s="144">
        <v>901000000</v>
      </c>
      <c r="I80" s="144"/>
      <c r="J80" s="145">
        <f t="shared" si="9"/>
        <v>901187846</v>
      </c>
      <c r="K80" s="145"/>
    </row>
    <row r="81" spans="1:11" s="125" customFormat="1" ht="18" customHeight="1">
      <c r="A81" s="125">
        <f t="shared" si="7"/>
        <v>9</v>
      </c>
      <c r="B81" s="140">
        <v>42251</v>
      </c>
      <c r="C81" s="141" t="s">
        <v>368</v>
      </c>
      <c r="D81" s="140">
        <f t="shared" si="8"/>
        <v>42251</v>
      </c>
      <c r="E81" s="142" t="s">
        <v>471</v>
      </c>
      <c r="F81" s="142"/>
      <c r="G81" s="143" t="s">
        <v>36</v>
      </c>
      <c r="H81" s="144"/>
      <c r="I81" s="144">
        <v>900000000</v>
      </c>
      <c r="J81" s="145">
        <f t="shared" si="9"/>
        <v>1187846</v>
      </c>
      <c r="K81" s="145"/>
    </row>
    <row r="82" spans="1:11" s="125" customFormat="1" ht="18" customHeight="1">
      <c r="A82" s="125">
        <f t="shared" si="7"/>
        <v>9</v>
      </c>
      <c r="B82" s="140">
        <v>42251</v>
      </c>
      <c r="C82" s="141" t="s">
        <v>368</v>
      </c>
      <c r="D82" s="140">
        <f t="shared" si="8"/>
        <v>42251</v>
      </c>
      <c r="E82" s="142" t="s">
        <v>1104</v>
      </c>
      <c r="F82" s="142"/>
      <c r="G82" s="143" t="s">
        <v>94</v>
      </c>
      <c r="H82" s="144"/>
      <c r="I82" s="144">
        <v>296937</v>
      </c>
      <c r="J82" s="145">
        <f t="shared" si="9"/>
        <v>890909</v>
      </c>
      <c r="K82" s="145"/>
    </row>
    <row r="83" spans="1:11" s="125" customFormat="1" ht="18" customHeight="1">
      <c r="A83" s="125">
        <f t="shared" ref="A83" si="10">IF(B83&lt;&gt;"",MONTH(B83),"")</f>
        <v>9</v>
      </c>
      <c r="B83" s="140">
        <v>42251</v>
      </c>
      <c r="C83" s="141" t="s">
        <v>368</v>
      </c>
      <c r="D83" s="140">
        <f t="shared" ref="D83" si="11">IF(B83&lt;&gt;"",B83,"")</f>
        <v>42251</v>
      </c>
      <c r="E83" s="142" t="s">
        <v>1104</v>
      </c>
      <c r="F83" s="142"/>
      <c r="G83" s="143" t="s">
        <v>94</v>
      </c>
      <c r="H83" s="144"/>
      <c r="I83" s="144">
        <v>296937</v>
      </c>
      <c r="J83" s="145">
        <f t="shared" ref="J83" si="12">IF(B83&lt;&gt;"",J82+H83-I83,0)</f>
        <v>593972</v>
      </c>
      <c r="K83" s="145"/>
    </row>
    <row r="84" spans="1:11" s="125" customFormat="1" ht="18" customHeight="1">
      <c r="A84" s="125">
        <f t="shared" si="7"/>
        <v>9</v>
      </c>
      <c r="B84" s="140">
        <v>42266</v>
      </c>
      <c r="C84" s="141" t="s">
        <v>371</v>
      </c>
      <c r="D84" s="140">
        <f t="shared" si="8"/>
        <v>42266</v>
      </c>
      <c r="E84" s="142" t="s">
        <v>624</v>
      </c>
      <c r="F84" s="142"/>
      <c r="G84" s="143" t="s">
        <v>367</v>
      </c>
      <c r="H84" s="144">
        <v>25000000</v>
      </c>
      <c r="I84" s="144"/>
      <c r="J84" s="145">
        <f t="shared" si="9"/>
        <v>25593972</v>
      </c>
      <c r="K84" s="145"/>
    </row>
    <row r="85" spans="1:11" s="125" customFormat="1" ht="18" customHeight="1">
      <c r="A85" s="125">
        <f t="shared" si="7"/>
        <v>9</v>
      </c>
      <c r="B85" s="140">
        <v>42266</v>
      </c>
      <c r="C85" s="141" t="s">
        <v>368</v>
      </c>
      <c r="D85" s="140">
        <f t="shared" si="8"/>
        <v>42266</v>
      </c>
      <c r="E85" s="142" t="s">
        <v>1013</v>
      </c>
      <c r="F85" s="142"/>
      <c r="G85" s="143" t="s">
        <v>374</v>
      </c>
      <c r="H85" s="144"/>
      <c r="I85" s="144">
        <v>5917275</v>
      </c>
      <c r="J85" s="145">
        <f t="shared" si="9"/>
        <v>19676697</v>
      </c>
      <c r="K85" s="145"/>
    </row>
    <row r="86" spans="1:11" s="125" customFormat="1" ht="18" customHeight="1">
      <c r="A86" s="125">
        <f t="shared" ref="A86:A87" si="13">IF(B86&lt;&gt;"",MONTH(B86),"")</f>
        <v>9</v>
      </c>
      <c r="B86" s="140">
        <v>42266</v>
      </c>
      <c r="C86" s="141" t="s">
        <v>368</v>
      </c>
      <c r="D86" s="140">
        <f t="shared" ref="D86:D104" si="14">IF(B86&lt;&gt;"",B86,"")</f>
        <v>42266</v>
      </c>
      <c r="E86" s="142" t="s">
        <v>927</v>
      </c>
      <c r="F86" s="142"/>
      <c r="G86" s="143" t="s">
        <v>374</v>
      </c>
      <c r="H86" s="144"/>
      <c r="I86" s="144">
        <v>7367400</v>
      </c>
      <c r="J86" s="145">
        <f t="shared" ref="J86:J87" si="15">IF(B86&lt;&gt;"",J85+H86-I86,0)</f>
        <v>12309297</v>
      </c>
      <c r="K86" s="145"/>
    </row>
    <row r="87" spans="1:11" s="125" customFormat="1" ht="18" customHeight="1">
      <c r="A87" s="125">
        <f t="shared" si="13"/>
        <v>9</v>
      </c>
      <c r="B87" s="140">
        <v>42266</v>
      </c>
      <c r="C87" s="141" t="s">
        <v>368</v>
      </c>
      <c r="D87" s="140">
        <f t="shared" si="14"/>
        <v>42266</v>
      </c>
      <c r="E87" s="142" t="s">
        <v>1128</v>
      </c>
      <c r="F87" s="142"/>
      <c r="G87" s="143" t="s">
        <v>374</v>
      </c>
      <c r="H87" s="144"/>
      <c r="I87" s="144">
        <v>3381300</v>
      </c>
      <c r="J87" s="145">
        <f t="shared" si="15"/>
        <v>8927997</v>
      </c>
      <c r="K87" s="145"/>
    </row>
    <row r="88" spans="1:11" s="125" customFormat="1" ht="18" customHeight="1">
      <c r="A88" s="125">
        <f t="shared" ref="A88" si="16">IF(B88&lt;&gt;"",MONTH(B88),"")</f>
        <v>9</v>
      </c>
      <c r="B88" s="140">
        <v>42271</v>
      </c>
      <c r="C88" s="141" t="s">
        <v>371</v>
      </c>
      <c r="D88" s="140">
        <f t="shared" si="14"/>
        <v>42271</v>
      </c>
      <c r="E88" s="142" t="s">
        <v>413</v>
      </c>
      <c r="F88" s="142"/>
      <c r="G88" s="143" t="s">
        <v>414</v>
      </c>
      <c r="H88" s="144">
        <v>15545</v>
      </c>
      <c r="I88" s="144"/>
      <c r="J88" s="145">
        <f t="shared" ref="J88" si="17">IF(B88&lt;&gt;"",J87+H88-I88,0)</f>
        <v>8943542</v>
      </c>
      <c r="K88" s="145"/>
    </row>
    <row r="89" spans="1:11" s="125" customFormat="1" ht="18" customHeight="1">
      <c r="A89" s="125">
        <f t="shared" si="7"/>
        <v>10</v>
      </c>
      <c r="B89" s="140">
        <v>42278</v>
      </c>
      <c r="C89" s="141" t="s">
        <v>371</v>
      </c>
      <c r="D89" s="140">
        <f t="shared" si="14"/>
        <v>42278</v>
      </c>
      <c r="E89" s="142" t="s">
        <v>624</v>
      </c>
      <c r="F89" s="142"/>
      <c r="G89" s="143" t="s">
        <v>367</v>
      </c>
      <c r="H89" s="144">
        <v>2000000000</v>
      </c>
      <c r="I89" s="144"/>
      <c r="J89" s="145">
        <f t="shared" si="9"/>
        <v>2008943542</v>
      </c>
      <c r="K89" s="145"/>
    </row>
    <row r="90" spans="1:11" s="125" customFormat="1" ht="18" customHeight="1">
      <c r="A90" s="125">
        <f t="shared" si="7"/>
        <v>10</v>
      </c>
      <c r="B90" s="140">
        <v>42279</v>
      </c>
      <c r="C90" s="141" t="s">
        <v>368</v>
      </c>
      <c r="D90" s="140">
        <f t="shared" si="14"/>
        <v>42279</v>
      </c>
      <c r="E90" s="142" t="s">
        <v>62</v>
      </c>
      <c r="F90" s="142"/>
      <c r="G90" s="143" t="s">
        <v>367</v>
      </c>
      <c r="H90" s="144"/>
      <c r="I90" s="144">
        <v>150000000</v>
      </c>
      <c r="J90" s="145">
        <f t="shared" si="9"/>
        <v>1858943542</v>
      </c>
      <c r="K90" s="145"/>
    </row>
    <row r="91" spans="1:11" s="125" customFormat="1" ht="18" customHeight="1">
      <c r="A91" s="125">
        <f t="shared" si="7"/>
        <v>10</v>
      </c>
      <c r="B91" s="140">
        <v>42279</v>
      </c>
      <c r="C91" s="141" t="s">
        <v>368</v>
      </c>
      <c r="D91" s="140">
        <f t="shared" si="14"/>
        <v>42279</v>
      </c>
      <c r="E91" s="142" t="s">
        <v>1200</v>
      </c>
      <c r="F91" s="142"/>
      <c r="G91" s="143" t="s">
        <v>94</v>
      </c>
      <c r="H91" s="144"/>
      <c r="I91" s="144">
        <v>46549</v>
      </c>
      <c r="J91" s="145">
        <f t="shared" si="9"/>
        <v>1858896993</v>
      </c>
      <c r="K91" s="145"/>
    </row>
    <row r="92" spans="1:11" s="125" customFormat="1" ht="18" customHeight="1">
      <c r="A92" s="125">
        <f t="shared" si="7"/>
        <v>10</v>
      </c>
      <c r="B92" s="140">
        <v>42279</v>
      </c>
      <c r="C92" s="141" t="s">
        <v>368</v>
      </c>
      <c r="D92" s="140">
        <f t="shared" si="14"/>
        <v>42279</v>
      </c>
      <c r="E92" s="142" t="s">
        <v>471</v>
      </c>
      <c r="F92" s="142"/>
      <c r="G92" s="143" t="s">
        <v>36</v>
      </c>
      <c r="H92" s="144"/>
      <c r="I92" s="144">
        <v>1850000000</v>
      </c>
      <c r="J92" s="145">
        <f t="shared" si="9"/>
        <v>8896993</v>
      </c>
      <c r="K92" s="145"/>
    </row>
    <row r="93" spans="1:11" s="125" customFormat="1" ht="18" customHeight="1">
      <c r="A93" s="125">
        <f t="shared" si="7"/>
        <v>10</v>
      </c>
      <c r="B93" s="140">
        <v>42297</v>
      </c>
      <c r="C93" s="141" t="s">
        <v>368</v>
      </c>
      <c r="D93" s="140">
        <f t="shared" si="14"/>
        <v>42297</v>
      </c>
      <c r="E93" s="142" t="s">
        <v>1201</v>
      </c>
      <c r="F93" s="142"/>
      <c r="G93" s="143" t="s">
        <v>374</v>
      </c>
      <c r="H93" s="144"/>
      <c r="I93" s="144">
        <v>3250808</v>
      </c>
      <c r="J93" s="145">
        <f t="shared" si="9"/>
        <v>5646185</v>
      </c>
      <c r="K93" s="145"/>
    </row>
    <row r="94" spans="1:11" s="125" customFormat="1" ht="18" customHeight="1">
      <c r="A94" s="125">
        <f t="shared" si="7"/>
        <v>10</v>
      </c>
      <c r="B94" s="140">
        <v>42298</v>
      </c>
      <c r="C94" s="141" t="s">
        <v>371</v>
      </c>
      <c r="D94" s="140">
        <f t="shared" si="14"/>
        <v>42298</v>
      </c>
      <c r="E94" s="142" t="s">
        <v>624</v>
      </c>
      <c r="F94" s="142"/>
      <c r="G94" s="143" t="s">
        <v>367</v>
      </c>
      <c r="H94" s="144">
        <v>15000000</v>
      </c>
      <c r="I94" s="144"/>
      <c r="J94" s="145">
        <f t="shared" si="9"/>
        <v>20646185</v>
      </c>
      <c r="K94" s="145"/>
    </row>
    <row r="95" spans="1:11" s="125" customFormat="1" ht="18" customHeight="1">
      <c r="A95" s="125">
        <f t="shared" si="7"/>
        <v>10</v>
      </c>
      <c r="B95" s="140">
        <v>42298</v>
      </c>
      <c r="C95" s="141" t="s">
        <v>368</v>
      </c>
      <c r="D95" s="140">
        <f t="shared" si="14"/>
        <v>42298</v>
      </c>
      <c r="E95" s="142" t="s">
        <v>1201</v>
      </c>
      <c r="F95" s="142"/>
      <c r="G95" s="143" t="s">
        <v>374</v>
      </c>
      <c r="H95" s="144"/>
      <c r="I95" s="144">
        <v>5684771</v>
      </c>
      <c r="J95" s="145">
        <f t="shared" si="9"/>
        <v>14961414</v>
      </c>
      <c r="K95" s="145"/>
    </row>
    <row r="96" spans="1:11" s="125" customFormat="1" ht="18" customHeight="1">
      <c r="A96" s="125">
        <f t="shared" si="7"/>
        <v>10</v>
      </c>
      <c r="B96" s="140">
        <v>42298</v>
      </c>
      <c r="C96" s="141" t="s">
        <v>368</v>
      </c>
      <c r="D96" s="140">
        <f t="shared" ref="D96:D97" si="18">IF(B96&lt;&gt;"",B96,"")</f>
        <v>42298</v>
      </c>
      <c r="E96" s="142" t="s">
        <v>1201</v>
      </c>
      <c r="F96" s="142"/>
      <c r="G96" s="143" t="s">
        <v>374</v>
      </c>
      <c r="H96" s="144"/>
      <c r="I96" s="144">
        <v>7078387</v>
      </c>
      <c r="J96" s="145">
        <f t="shared" si="9"/>
        <v>7883027</v>
      </c>
      <c r="K96" s="145"/>
    </row>
    <row r="97" spans="1:11" s="125" customFormat="1" ht="18" customHeight="1">
      <c r="A97" s="125">
        <f t="shared" si="7"/>
        <v>10</v>
      </c>
      <c r="B97" s="140">
        <v>42298</v>
      </c>
      <c r="C97" s="141" t="s">
        <v>368</v>
      </c>
      <c r="D97" s="140">
        <f t="shared" si="18"/>
        <v>42298</v>
      </c>
      <c r="E97" s="142" t="s">
        <v>1201</v>
      </c>
      <c r="F97" s="142"/>
      <c r="G97" s="143" t="s">
        <v>374</v>
      </c>
      <c r="H97" s="144"/>
      <c r="I97" s="144">
        <v>7533695</v>
      </c>
      <c r="J97" s="145">
        <f t="shared" si="9"/>
        <v>349332</v>
      </c>
      <c r="K97" s="145"/>
    </row>
    <row r="98" spans="1:11" s="125" customFormat="1" ht="18" customHeight="1">
      <c r="A98" s="125">
        <f t="shared" si="7"/>
        <v>10</v>
      </c>
      <c r="B98" s="140">
        <v>42301</v>
      </c>
      <c r="C98" s="141" t="s">
        <v>371</v>
      </c>
      <c r="D98" s="140">
        <f t="shared" si="14"/>
        <v>42301</v>
      </c>
      <c r="E98" s="142" t="s">
        <v>413</v>
      </c>
      <c r="F98" s="142"/>
      <c r="G98" s="143" t="s">
        <v>414</v>
      </c>
      <c r="H98" s="144">
        <v>18582</v>
      </c>
      <c r="I98" s="144"/>
      <c r="J98" s="145">
        <f t="shared" si="9"/>
        <v>367914</v>
      </c>
      <c r="K98" s="145"/>
    </row>
    <row r="99" spans="1:11" s="125" customFormat="1" ht="18" customHeight="1">
      <c r="A99" s="125">
        <f t="shared" si="7"/>
        <v>11</v>
      </c>
      <c r="B99" s="140">
        <v>42321</v>
      </c>
      <c r="C99" s="141" t="s">
        <v>368</v>
      </c>
      <c r="D99" s="140">
        <f t="shared" si="14"/>
        <v>42321</v>
      </c>
      <c r="E99" s="142" t="s">
        <v>469</v>
      </c>
      <c r="F99" s="142"/>
      <c r="G99" s="143" t="s">
        <v>94</v>
      </c>
      <c r="H99" s="144"/>
      <c r="I99" s="144">
        <v>50000</v>
      </c>
      <c r="J99" s="145">
        <f t="shared" si="9"/>
        <v>317914</v>
      </c>
      <c r="K99" s="145"/>
    </row>
    <row r="100" spans="1:11" s="125" customFormat="1" ht="18" customHeight="1">
      <c r="A100" s="125">
        <f t="shared" ref="A100" si="19">IF(B100&lt;&gt;"",MONTH(B100),"")</f>
        <v>11</v>
      </c>
      <c r="B100" s="140">
        <v>42321</v>
      </c>
      <c r="C100" s="141" t="s">
        <v>368</v>
      </c>
      <c r="D100" s="140">
        <f t="shared" ref="D100" si="20">IF(B100&lt;&gt;"",B100,"")</f>
        <v>42321</v>
      </c>
      <c r="E100" s="142" t="s">
        <v>809</v>
      </c>
      <c r="F100" s="142"/>
      <c r="G100" s="143" t="s">
        <v>35</v>
      </c>
      <c r="H100" s="144"/>
      <c r="I100" s="144">
        <v>5000</v>
      </c>
      <c r="J100" s="145">
        <f t="shared" si="9"/>
        <v>312914</v>
      </c>
      <c r="K100" s="145"/>
    </row>
    <row r="101" spans="1:11" s="125" customFormat="1" ht="18" customHeight="1">
      <c r="A101" s="125">
        <f t="shared" si="7"/>
        <v>11</v>
      </c>
      <c r="B101" s="140">
        <v>42321</v>
      </c>
      <c r="C101" s="141" t="s">
        <v>368</v>
      </c>
      <c r="D101" s="140">
        <f t="shared" ref="D101" si="21">IF(B101&lt;&gt;"",B101,"")</f>
        <v>42321</v>
      </c>
      <c r="E101" s="142" t="s">
        <v>469</v>
      </c>
      <c r="F101" s="142"/>
      <c r="G101" s="143" t="s">
        <v>94</v>
      </c>
      <c r="H101" s="144"/>
      <c r="I101" s="144">
        <v>50000</v>
      </c>
      <c r="J101" s="145">
        <f t="shared" si="9"/>
        <v>262914</v>
      </c>
      <c r="K101" s="145"/>
    </row>
    <row r="102" spans="1:11" s="125" customFormat="1" ht="18" customHeight="1">
      <c r="A102" s="125">
        <f t="shared" ref="A102" si="22">IF(B102&lt;&gt;"",MONTH(B102),"")</f>
        <v>11</v>
      </c>
      <c r="B102" s="140">
        <v>42321</v>
      </c>
      <c r="C102" s="141" t="s">
        <v>368</v>
      </c>
      <c r="D102" s="140">
        <f t="shared" ref="D102" si="23">IF(B102&lt;&gt;"",B102,"")</f>
        <v>42321</v>
      </c>
      <c r="E102" s="142" t="s">
        <v>809</v>
      </c>
      <c r="F102" s="142"/>
      <c r="G102" s="143" t="s">
        <v>35</v>
      </c>
      <c r="H102" s="144"/>
      <c r="I102" s="144">
        <v>5000</v>
      </c>
      <c r="J102" s="145">
        <f t="shared" si="9"/>
        <v>257914</v>
      </c>
      <c r="K102" s="145"/>
    </row>
    <row r="103" spans="1:11" s="125" customFormat="1" ht="18" customHeight="1">
      <c r="A103" s="125">
        <f t="shared" si="7"/>
        <v>11</v>
      </c>
      <c r="B103" s="140">
        <v>42327</v>
      </c>
      <c r="C103" s="141" t="s">
        <v>371</v>
      </c>
      <c r="D103" s="140">
        <f t="shared" si="14"/>
        <v>42327</v>
      </c>
      <c r="E103" s="142" t="s">
        <v>624</v>
      </c>
      <c r="F103" s="142"/>
      <c r="G103" s="143" t="s">
        <v>367</v>
      </c>
      <c r="H103" s="144">
        <v>25000000</v>
      </c>
      <c r="I103" s="144"/>
      <c r="J103" s="145">
        <f t="shared" si="9"/>
        <v>25257914</v>
      </c>
      <c r="K103" s="145"/>
    </row>
    <row r="104" spans="1:11" s="125" customFormat="1" ht="18" customHeight="1">
      <c r="A104" s="125">
        <f t="shared" si="7"/>
        <v>11</v>
      </c>
      <c r="B104" s="140">
        <v>42327</v>
      </c>
      <c r="C104" s="141" t="s">
        <v>368</v>
      </c>
      <c r="D104" s="140">
        <f t="shared" si="14"/>
        <v>42327</v>
      </c>
      <c r="E104" s="142" t="s">
        <v>926</v>
      </c>
      <c r="F104" s="142"/>
      <c r="G104" s="143" t="s">
        <v>374</v>
      </c>
      <c r="H104" s="144"/>
      <c r="I104" s="144">
        <v>5919905</v>
      </c>
      <c r="J104" s="145">
        <f t="shared" si="9"/>
        <v>19338009</v>
      </c>
      <c r="K104" s="145"/>
    </row>
    <row r="105" spans="1:11" s="125" customFormat="1" ht="18" customHeight="1">
      <c r="A105" s="125">
        <f t="shared" ref="A105:A107" si="24">IF(B105&lt;&gt;"",MONTH(B105),"")</f>
        <v>11</v>
      </c>
      <c r="B105" s="140">
        <v>42327</v>
      </c>
      <c r="C105" s="141" t="s">
        <v>368</v>
      </c>
      <c r="D105" s="140">
        <f t="shared" ref="D105:D122" si="25">IF(B105&lt;&gt;"",B105,"")</f>
        <v>42327</v>
      </c>
      <c r="E105" s="142" t="s">
        <v>927</v>
      </c>
      <c r="F105" s="142"/>
      <c r="G105" s="143" t="s">
        <v>374</v>
      </c>
      <c r="H105" s="144"/>
      <c r="I105" s="144">
        <v>7370674</v>
      </c>
      <c r="J105" s="145">
        <f t="shared" si="9"/>
        <v>11967335</v>
      </c>
      <c r="K105" s="145"/>
    </row>
    <row r="106" spans="1:11" s="125" customFormat="1" ht="18" customHeight="1">
      <c r="A106" s="125">
        <f t="shared" si="24"/>
        <v>11</v>
      </c>
      <c r="B106" s="140">
        <v>42327</v>
      </c>
      <c r="C106" s="141" t="s">
        <v>368</v>
      </c>
      <c r="D106" s="140">
        <f t="shared" si="25"/>
        <v>42327</v>
      </c>
      <c r="E106" s="142" t="s">
        <v>1128</v>
      </c>
      <c r="F106" s="142"/>
      <c r="G106" s="143" t="s">
        <v>374</v>
      </c>
      <c r="H106" s="144"/>
      <c r="I106" s="144">
        <v>3382803</v>
      </c>
      <c r="J106" s="145">
        <f t="shared" si="9"/>
        <v>8584532</v>
      </c>
      <c r="K106" s="145"/>
    </row>
    <row r="107" spans="1:11" s="125" customFormat="1" ht="18" customHeight="1">
      <c r="A107" s="125">
        <f t="shared" si="24"/>
        <v>11</v>
      </c>
      <c r="B107" s="140">
        <v>42327</v>
      </c>
      <c r="C107" s="141" t="s">
        <v>368</v>
      </c>
      <c r="D107" s="140">
        <f t="shared" si="25"/>
        <v>42327</v>
      </c>
      <c r="E107" s="142" t="s">
        <v>1270</v>
      </c>
      <c r="F107" s="142"/>
      <c r="G107" s="143" t="s">
        <v>374</v>
      </c>
      <c r="H107" s="144"/>
      <c r="I107" s="144">
        <v>4057653</v>
      </c>
      <c r="J107" s="145">
        <f t="shared" ref="J107:J138" si="26">IF(B107&lt;&gt;"",J106+H107-I107,0)</f>
        <v>4526879</v>
      </c>
      <c r="K107" s="145"/>
    </row>
    <row r="108" spans="1:11" s="125" customFormat="1" ht="18" customHeight="1">
      <c r="A108" s="125">
        <f t="shared" si="7"/>
        <v>11</v>
      </c>
      <c r="B108" s="140">
        <v>42338</v>
      </c>
      <c r="C108" s="141" t="s">
        <v>371</v>
      </c>
      <c r="D108" s="140">
        <f t="shared" si="25"/>
        <v>42338</v>
      </c>
      <c r="E108" s="142" t="s">
        <v>1271</v>
      </c>
      <c r="F108" s="142"/>
      <c r="G108" s="143" t="s">
        <v>604</v>
      </c>
      <c r="H108" s="144">
        <v>10000000</v>
      </c>
      <c r="I108" s="144"/>
      <c r="J108" s="145">
        <f t="shared" si="26"/>
        <v>14526879</v>
      </c>
      <c r="K108" s="145"/>
    </row>
    <row r="109" spans="1:11" s="125" customFormat="1" ht="18" customHeight="1">
      <c r="A109" s="125">
        <f t="shared" si="7"/>
        <v>12</v>
      </c>
      <c r="B109" s="140">
        <v>42339</v>
      </c>
      <c r="C109" s="141" t="s">
        <v>371</v>
      </c>
      <c r="D109" s="140">
        <f t="shared" si="25"/>
        <v>42339</v>
      </c>
      <c r="E109" s="142" t="s">
        <v>624</v>
      </c>
      <c r="F109" s="142"/>
      <c r="G109" s="143" t="s">
        <v>367</v>
      </c>
      <c r="H109" s="144">
        <v>50000000</v>
      </c>
      <c r="I109" s="144"/>
      <c r="J109" s="145">
        <f t="shared" si="26"/>
        <v>64526879</v>
      </c>
      <c r="K109" s="145"/>
    </row>
    <row r="110" spans="1:11" s="125" customFormat="1" ht="18" customHeight="1">
      <c r="A110" s="125">
        <f t="shared" si="7"/>
        <v>12</v>
      </c>
      <c r="B110" s="140">
        <v>42339</v>
      </c>
      <c r="C110" s="141" t="s">
        <v>371</v>
      </c>
      <c r="D110" s="140">
        <f t="shared" si="25"/>
        <v>42339</v>
      </c>
      <c r="E110" s="142" t="s">
        <v>471</v>
      </c>
      <c r="F110" s="142"/>
      <c r="G110" s="143" t="s">
        <v>36</v>
      </c>
      <c r="H110" s="144">
        <v>40000000</v>
      </c>
      <c r="I110" s="144"/>
      <c r="J110" s="145">
        <f t="shared" si="26"/>
        <v>104526879</v>
      </c>
      <c r="K110" s="145"/>
    </row>
    <row r="111" spans="1:11" s="125" customFormat="1" ht="18" customHeight="1">
      <c r="A111" s="125">
        <f t="shared" ref="A111" si="27">IF(B111&lt;&gt;"",MONTH(B111),"")</f>
        <v>12</v>
      </c>
      <c r="B111" s="140">
        <v>42339</v>
      </c>
      <c r="C111" s="141" t="s">
        <v>368</v>
      </c>
      <c r="D111" s="140">
        <f t="shared" ref="D111" si="28">IF(B111&lt;&gt;"",B111,"")</f>
        <v>42339</v>
      </c>
      <c r="E111" s="142" t="s">
        <v>471</v>
      </c>
      <c r="F111" s="142"/>
      <c r="G111" s="143" t="s">
        <v>36</v>
      </c>
      <c r="H111" s="144"/>
      <c r="I111" s="144">
        <v>100000000</v>
      </c>
      <c r="J111" s="145">
        <f t="shared" ref="J111" si="29">IF(B111&lt;&gt;"",J110+H111-I111,0)</f>
        <v>4526879</v>
      </c>
      <c r="K111" s="145"/>
    </row>
    <row r="112" spans="1:11" s="125" customFormat="1" ht="18" customHeight="1">
      <c r="A112" s="125">
        <f t="shared" ref="A112:A113" si="30">IF(B112&lt;&gt;"",MONTH(B112),"")</f>
        <v>12</v>
      </c>
      <c r="B112" s="140">
        <v>42339</v>
      </c>
      <c r="C112" s="141" t="s">
        <v>368</v>
      </c>
      <c r="D112" s="140">
        <f t="shared" ref="D112:D114" si="31">IF(B112&lt;&gt;"",B112,"")</f>
        <v>42339</v>
      </c>
      <c r="E112" s="142" t="s">
        <v>418</v>
      </c>
      <c r="F112" s="142"/>
      <c r="G112" s="143" t="s">
        <v>94</v>
      </c>
      <c r="H112" s="144"/>
      <c r="I112" s="144">
        <v>20000</v>
      </c>
      <c r="J112" s="145">
        <f t="shared" ref="J112:J113" si="32">IF(B112&lt;&gt;"",J111+H112-I112,0)</f>
        <v>4506879</v>
      </c>
      <c r="K112" s="145"/>
    </row>
    <row r="113" spans="1:11" s="125" customFormat="1" ht="18" customHeight="1">
      <c r="A113" s="125">
        <f t="shared" si="30"/>
        <v>12</v>
      </c>
      <c r="B113" s="140">
        <v>42339</v>
      </c>
      <c r="C113" s="141" t="s">
        <v>368</v>
      </c>
      <c r="D113" s="140">
        <f t="shared" si="31"/>
        <v>42339</v>
      </c>
      <c r="E113" s="142" t="s">
        <v>419</v>
      </c>
      <c r="F113" s="142"/>
      <c r="G113" s="143" t="s">
        <v>35</v>
      </c>
      <c r="H113" s="144"/>
      <c r="I113" s="144">
        <v>2000</v>
      </c>
      <c r="J113" s="145">
        <f t="shared" si="32"/>
        <v>4504879</v>
      </c>
      <c r="K113" s="145"/>
    </row>
    <row r="114" spans="1:11" s="125" customFormat="1" ht="18" customHeight="1">
      <c r="A114" s="125">
        <f t="shared" si="7"/>
        <v>12</v>
      </c>
      <c r="B114" s="140">
        <v>42339</v>
      </c>
      <c r="C114" s="141" t="s">
        <v>371</v>
      </c>
      <c r="D114" s="140">
        <f t="shared" si="31"/>
        <v>42339</v>
      </c>
      <c r="E114" s="142" t="s">
        <v>624</v>
      </c>
      <c r="F114" s="142"/>
      <c r="G114" s="143" t="s">
        <v>367</v>
      </c>
      <c r="H114" s="144">
        <v>1725000000</v>
      </c>
      <c r="I114" s="144"/>
      <c r="J114" s="145">
        <f t="shared" si="26"/>
        <v>1729504879</v>
      </c>
      <c r="K114" s="145"/>
    </row>
    <row r="115" spans="1:11" s="125" customFormat="1" ht="18" customHeight="1">
      <c r="A115" s="125">
        <f t="shared" si="7"/>
        <v>12</v>
      </c>
      <c r="B115" s="140">
        <v>42339</v>
      </c>
      <c r="C115" s="141" t="s">
        <v>368</v>
      </c>
      <c r="D115" s="140">
        <f t="shared" si="25"/>
        <v>42339</v>
      </c>
      <c r="E115" s="142" t="s">
        <v>677</v>
      </c>
      <c r="F115" s="142"/>
      <c r="G115" s="143" t="s">
        <v>370</v>
      </c>
      <c r="H115" s="144"/>
      <c r="I115" s="144">
        <v>1717513000</v>
      </c>
      <c r="J115" s="145">
        <f t="shared" si="26"/>
        <v>11991879</v>
      </c>
      <c r="K115" s="145"/>
    </row>
    <row r="116" spans="1:11" s="125" customFormat="1" ht="18" customHeight="1">
      <c r="A116" s="125">
        <f t="shared" si="7"/>
        <v>12</v>
      </c>
      <c r="B116" s="140">
        <v>42339</v>
      </c>
      <c r="C116" s="141" t="s">
        <v>368</v>
      </c>
      <c r="D116" s="140">
        <f t="shared" si="25"/>
        <v>42339</v>
      </c>
      <c r="E116" s="142" t="s">
        <v>1373</v>
      </c>
      <c r="F116" s="142"/>
      <c r="G116" s="143" t="s">
        <v>374</v>
      </c>
      <c r="H116" s="144"/>
      <c r="I116" s="144">
        <v>3341067</v>
      </c>
      <c r="J116" s="145">
        <f t="shared" si="26"/>
        <v>8650812</v>
      </c>
      <c r="K116" s="145"/>
    </row>
    <row r="117" spans="1:11" s="125" customFormat="1" ht="18" customHeight="1">
      <c r="A117" s="125">
        <f t="shared" si="7"/>
        <v>12</v>
      </c>
      <c r="B117" s="140">
        <v>42340</v>
      </c>
      <c r="C117" s="141" t="s">
        <v>371</v>
      </c>
      <c r="D117" s="140">
        <f t="shared" si="25"/>
        <v>42340</v>
      </c>
      <c r="E117" s="142" t="s">
        <v>1374</v>
      </c>
      <c r="F117" s="142"/>
      <c r="G117" s="143" t="s">
        <v>438</v>
      </c>
      <c r="H117" s="144">
        <v>1595604500</v>
      </c>
      <c r="I117" s="144"/>
      <c r="J117" s="145">
        <f t="shared" si="26"/>
        <v>1604255312</v>
      </c>
      <c r="K117" s="145"/>
    </row>
    <row r="118" spans="1:11" s="125" customFormat="1" ht="18" customHeight="1">
      <c r="A118" s="125">
        <f t="shared" si="7"/>
        <v>12</v>
      </c>
      <c r="B118" s="140">
        <v>42340</v>
      </c>
      <c r="C118" s="141" t="s">
        <v>368</v>
      </c>
      <c r="D118" s="140">
        <f t="shared" si="25"/>
        <v>42340</v>
      </c>
      <c r="E118" s="142" t="s">
        <v>62</v>
      </c>
      <c r="F118" s="142"/>
      <c r="G118" s="143" t="s">
        <v>367</v>
      </c>
      <c r="H118" s="144"/>
      <c r="I118" s="144">
        <v>1600000000</v>
      </c>
      <c r="J118" s="145">
        <f t="shared" si="26"/>
        <v>4255312</v>
      </c>
      <c r="K118" s="145"/>
    </row>
    <row r="119" spans="1:11" s="125" customFormat="1" ht="18" customHeight="1">
      <c r="A119" s="125">
        <f t="shared" si="7"/>
        <v>12</v>
      </c>
      <c r="B119" s="140">
        <v>42345</v>
      </c>
      <c r="C119" s="141" t="s">
        <v>371</v>
      </c>
      <c r="D119" s="140">
        <f t="shared" si="25"/>
        <v>42345</v>
      </c>
      <c r="E119" s="142" t="s">
        <v>471</v>
      </c>
      <c r="F119" s="142"/>
      <c r="G119" s="143" t="s">
        <v>36</v>
      </c>
      <c r="H119" s="144">
        <v>510000000</v>
      </c>
      <c r="I119" s="144"/>
      <c r="J119" s="145">
        <f t="shared" si="26"/>
        <v>514255312</v>
      </c>
      <c r="K119" s="145"/>
    </row>
    <row r="120" spans="1:11" s="125" customFormat="1" ht="18" customHeight="1">
      <c r="A120" s="125">
        <f t="shared" si="7"/>
        <v>12</v>
      </c>
      <c r="B120" s="140">
        <v>42345</v>
      </c>
      <c r="C120" s="141" t="s">
        <v>368</v>
      </c>
      <c r="D120" s="140">
        <f t="shared" si="25"/>
        <v>42345</v>
      </c>
      <c r="E120" s="142" t="s">
        <v>677</v>
      </c>
      <c r="F120" s="142"/>
      <c r="G120" s="143" t="s">
        <v>370</v>
      </c>
      <c r="H120" s="144"/>
      <c r="I120" s="144">
        <v>508274000</v>
      </c>
      <c r="J120" s="145">
        <f t="shared" si="26"/>
        <v>5981312</v>
      </c>
      <c r="K120" s="145"/>
    </row>
    <row r="121" spans="1:11" s="125" customFormat="1" ht="18" customHeight="1">
      <c r="A121" s="125">
        <f t="shared" si="7"/>
        <v>12</v>
      </c>
      <c r="B121" s="140">
        <v>42346</v>
      </c>
      <c r="C121" s="141" t="s">
        <v>371</v>
      </c>
      <c r="D121" s="140">
        <f t="shared" si="25"/>
        <v>42346</v>
      </c>
      <c r="E121" s="142" t="s">
        <v>1375</v>
      </c>
      <c r="F121" s="142"/>
      <c r="G121" s="143" t="s">
        <v>438</v>
      </c>
      <c r="H121" s="144">
        <v>1392210000</v>
      </c>
      <c r="I121" s="144"/>
      <c r="J121" s="145">
        <f t="shared" si="26"/>
        <v>1398191312</v>
      </c>
      <c r="K121" s="145"/>
    </row>
    <row r="122" spans="1:11" s="302" customFormat="1" ht="18" customHeight="1">
      <c r="A122" s="302">
        <f t="shared" si="7"/>
        <v>12</v>
      </c>
      <c r="B122" s="303">
        <v>42346</v>
      </c>
      <c r="C122" s="301" t="s">
        <v>368</v>
      </c>
      <c r="D122" s="303">
        <f t="shared" si="25"/>
        <v>42346</v>
      </c>
      <c r="E122" s="291" t="s">
        <v>677</v>
      </c>
      <c r="F122" s="291"/>
      <c r="G122" s="304" t="s">
        <v>370</v>
      </c>
      <c r="H122" s="305"/>
      <c r="I122" s="305">
        <v>478398000</v>
      </c>
      <c r="J122" s="306">
        <f t="shared" si="26"/>
        <v>919793312</v>
      </c>
      <c r="K122" s="306"/>
    </row>
    <row r="123" spans="1:11" s="302" customFormat="1" ht="18" customHeight="1">
      <c r="A123" s="302">
        <f t="shared" ref="A123" si="33">IF(B123&lt;&gt;"",MONTH(B123),"")</f>
        <v>12</v>
      </c>
      <c r="B123" s="303">
        <v>42346</v>
      </c>
      <c r="C123" s="301" t="s">
        <v>371</v>
      </c>
      <c r="D123" s="303">
        <f t="shared" ref="D123" si="34">IF(B123&lt;&gt;"",B123,"")</f>
        <v>42346</v>
      </c>
      <c r="E123" s="291" t="s">
        <v>1390</v>
      </c>
      <c r="F123" s="291"/>
      <c r="G123" s="304" t="s">
        <v>370</v>
      </c>
      <c r="H123" s="305">
        <v>478398000</v>
      </c>
      <c r="I123" s="305"/>
      <c r="J123" s="306">
        <f t="shared" ref="J123" si="35">IF(B123&lt;&gt;"",J122+H123-I123,0)</f>
        <v>1398191312</v>
      </c>
      <c r="K123" s="306"/>
    </row>
    <row r="124" spans="1:11" s="125" customFormat="1" ht="18" customHeight="1">
      <c r="A124" s="125">
        <f t="shared" si="7"/>
        <v>12</v>
      </c>
      <c r="B124" s="140">
        <v>42347</v>
      </c>
      <c r="C124" s="141" t="s">
        <v>368</v>
      </c>
      <c r="D124" s="140">
        <v>42347</v>
      </c>
      <c r="E124" s="142" t="s">
        <v>62</v>
      </c>
      <c r="F124" s="142"/>
      <c r="G124" s="143" t="s">
        <v>367</v>
      </c>
      <c r="H124" s="144"/>
      <c r="I124" s="144">
        <v>1390000000</v>
      </c>
      <c r="J124" s="145">
        <f t="shared" si="26"/>
        <v>8191312</v>
      </c>
      <c r="K124" s="145"/>
    </row>
    <row r="125" spans="1:11" s="125" customFormat="1" ht="18" customHeight="1">
      <c r="A125" s="125">
        <f t="shared" si="7"/>
        <v>12</v>
      </c>
      <c r="B125" s="140">
        <v>42347</v>
      </c>
      <c r="C125" s="141" t="s">
        <v>371</v>
      </c>
      <c r="D125" s="140">
        <v>42347</v>
      </c>
      <c r="E125" s="142" t="s">
        <v>624</v>
      </c>
      <c r="F125" s="142"/>
      <c r="G125" s="143" t="s">
        <v>367</v>
      </c>
      <c r="H125" s="144">
        <v>480000000</v>
      </c>
      <c r="I125" s="144"/>
      <c r="J125" s="145">
        <f t="shared" si="26"/>
        <v>488191312</v>
      </c>
      <c r="K125" s="145"/>
    </row>
    <row r="126" spans="1:11" s="125" customFormat="1" ht="18" customHeight="1">
      <c r="A126" s="125">
        <f t="shared" si="7"/>
        <v>12</v>
      </c>
      <c r="B126" s="140">
        <v>42347</v>
      </c>
      <c r="C126" s="141" t="s">
        <v>368</v>
      </c>
      <c r="D126" s="140">
        <v>42347</v>
      </c>
      <c r="E126" s="142" t="s">
        <v>677</v>
      </c>
      <c r="F126" s="142"/>
      <c r="G126" s="143" t="s">
        <v>370</v>
      </c>
      <c r="H126" s="144"/>
      <c r="I126" s="144">
        <v>478611000</v>
      </c>
      <c r="J126" s="145">
        <f t="shared" si="26"/>
        <v>9580312</v>
      </c>
      <c r="K126" s="145"/>
    </row>
    <row r="127" spans="1:11" s="125" customFormat="1" ht="18" customHeight="1">
      <c r="A127" s="125">
        <f t="shared" si="7"/>
        <v>12</v>
      </c>
      <c r="B127" s="140">
        <v>42347</v>
      </c>
      <c r="C127" s="141" t="s">
        <v>368</v>
      </c>
      <c r="D127" s="140">
        <v>42347</v>
      </c>
      <c r="E127" s="142" t="s">
        <v>927</v>
      </c>
      <c r="F127" s="142"/>
      <c r="G127" s="143" t="s">
        <v>374</v>
      </c>
      <c r="H127" s="144"/>
      <c r="I127" s="144">
        <v>5831216</v>
      </c>
      <c r="J127" s="145">
        <f t="shared" si="26"/>
        <v>3749096</v>
      </c>
      <c r="K127" s="145"/>
    </row>
    <row r="128" spans="1:11" s="125" customFormat="1" ht="18" customHeight="1">
      <c r="A128" s="125">
        <f t="shared" si="7"/>
        <v>12</v>
      </c>
      <c r="B128" s="140">
        <v>42348</v>
      </c>
      <c r="C128" s="141" t="s">
        <v>371</v>
      </c>
      <c r="D128" s="140">
        <v>42348</v>
      </c>
      <c r="E128" s="142" t="s">
        <v>1378</v>
      </c>
      <c r="F128" s="142"/>
      <c r="G128" s="143" t="s">
        <v>438</v>
      </c>
      <c r="H128" s="144">
        <v>741675000</v>
      </c>
      <c r="I128" s="144"/>
      <c r="J128" s="145">
        <f t="shared" si="26"/>
        <v>745424096</v>
      </c>
      <c r="K128" s="145"/>
    </row>
    <row r="129" spans="1:11" s="125" customFormat="1" ht="18" customHeight="1">
      <c r="A129" s="125">
        <f t="shared" si="7"/>
        <v>12</v>
      </c>
      <c r="B129" s="140">
        <v>42349</v>
      </c>
      <c r="C129" s="141" t="s">
        <v>368</v>
      </c>
      <c r="D129" s="140">
        <v>42349</v>
      </c>
      <c r="E129" s="142" t="s">
        <v>62</v>
      </c>
      <c r="F129" s="142"/>
      <c r="G129" s="143" t="s">
        <v>367</v>
      </c>
      <c r="H129" s="144"/>
      <c r="I129" s="144">
        <v>745000000</v>
      </c>
      <c r="J129" s="145">
        <f t="shared" si="26"/>
        <v>424096</v>
      </c>
      <c r="K129" s="145"/>
    </row>
    <row r="130" spans="1:11" s="125" customFormat="1" ht="18" customHeight="1">
      <c r="A130" s="125">
        <f t="shared" si="7"/>
        <v>12</v>
      </c>
      <c r="B130" s="140">
        <v>42353</v>
      </c>
      <c r="C130" s="141" t="s">
        <v>371</v>
      </c>
      <c r="D130" s="140">
        <v>42353</v>
      </c>
      <c r="E130" s="142" t="s">
        <v>471</v>
      </c>
      <c r="F130" s="142"/>
      <c r="G130" s="143" t="s">
        <v>36</v>
      </c>
      <c r="H130" s="144">
        <v>10000000</v>
      </c>
      <c r="I130" s="144"/>
      <c r="J130" s="145">
        <f t="shared" si="26"/>
        <v>10424096</v>
      </c>
      <c r="K130" s="145"/>
    </row>
    <row r="131" spans="1:11" s="125" customFormat="1" ht="18" customHeight="1">
      <c r="A131" s="125">
        <f t="shared" si="7"/>
        <v>12</v>
      </c>
      <c r="B131" s="140">
        <v>42353</v>
      </c>
      <c r="C131" s="141" t="s">
        <v>368</v>
      </c>
      <c r="D131" s="140">
        <v>42353</v>
      </c>
      <c r="E131" s="142" t="s">
        <v>1128</v>
      </c>
      <c r="F131" s="142"/>
      <c r="G131" s="143" t="s">
        <v>374</v>
      </c>
      <c r="H131" s="144"/>
      <c r="I131" s="144">
        <v>3276756</v>
      </c>
      <c r="J131" s="145">
        <f t="shared" si="26"/>
        <v>7147340</v>
      </c>
      <c r="K131" s="145"/>
    </row>
    <row r="132" spans="1:11" s="125" customFormat="1" ht="18" customHeight="1">
      <c r="A132" s="125">
        <f t="shared" si="7"/>
        <v>12</v>
      </c>
      <c r="B132" s="140">
        <v>42353</v>
      </c>
      <c r="C132" s="141" t="s">
        <v>368</v>
      </c>
      <c r="D132" s="140">
        <v>42353</v>
      </c>
      <c r="E132" s="142" t="s">
        <v>1270</v>
      </c>
      <c r="F132" s="142"/>
      <c r="G132" s="143" t="s">
        <v>374</v>
      </c>
      <c r="H132" s="144"/>
      <c r="I132" s="144">
        <v>3930619</v>
      </c>
      <c r="J132" s="145">
        <f t="shared" si="26"/>
        <v>3216721</v>
      </c>
      <c r="K132" s="145"/>
    </row>
    <row r="133" spans="1:11" s="125" customFormat="1" ht="18" customHeight="1">
      <c r="A133" s="125">
        <f t="shared" si="7"/>
        <v>12</v>
      </c>
      <c r="B133" s="140">
        <v>42362</v>
      </c>
      <c r="C133" s="141" t="s">
        <v>368</v>
      </c>
      <c r="D133" s="140">
        <v>42362</v>
      </c>
      <c r="E133" s="142" t="s">
        <v>1128</v>
      </c>
      <c r="F133" s="142"/>
      <c r="G133" s="143" t="s">
        <v>374</v>
      </c>
      <c r="H133" s="144"/>
      <c r="I133" s="144">
        <v>983049</v>
      </c>
      <c r="J133" s="145">
        <f t="shared" si="26"/>
        <v>2233672</v>
      </c>
      <c r="K133" s="145"/>
    </row>
    <row r="134" spans="1:11" s="125" customFormat="1" ht="18" customHeight="1">
      <c r="A134" s="125">
        <f t="shared" si="7"/>
        <v>12</v>
      </c>
      <c r="B134" s="140">
        <v>42362</v>
      </c>
      <c r="C134" s="141" t="s">
        <v>371</v>
      </c>
      <c r="D134" s="140">
        <v>42362</v>
      </c>
      <c r="E134" s="142" t="s">
        <v>413</v>
      </c>
      <c r="F134" s="142"/>
      <c r="G134" s="143" t="s">
        <v>414</v>
      </c>
      <c r="H134" s="144">
        <v>18778</v>
      </c>
      <c r="I134" s="144"/>
      <c r="J134" s="145">
        <f t="shared" si="26"/>
        <v>2252450</v>
      </c>
      <c r="K134" s="145"/>
    </row>
    <row r="135" spans="1:11" s="125" customFormat="1" ht="18" customHeight="1">
      <c r="A135" s="125">
        <f t="shared" si="7"/>
        <v>12</v>
      </c>
      <c r="B135" s="140">
        <v>42363</v>
      </c>
      <c r="C135" s="141" t="s">
        <v>371</v>
      </c>
      <c r="D135" s="140">
        <v>42363</v>
      </c>
      <c r="E135" s="142" t="s">
        <v>1379</v>
      </c>
      <c r="F135" s="142"/>
      <c r="G135" s="143" t="s">
        <v>438</v>
      </c>
      <c r="H135" s="144">
        <v>968790000</v>
      </c>
      <c r="I135" s="144"/>
      <c r="J135" s="145">
        <f t="shared" si="26"/>
        <v>971042450</v>
      </c>
      <c r="K135" s="145"/>
    </row>
    <row r="136" spans="1:11" s="125" customFormat="1" ht="18" customHeight="1">
      <c r="A136" s="125">
        <f t="shared" si="7"/>
        <v>12</v>
      </c>
      <c r="B136" s="140">
        <v>42363</v>
      </c>
      <c r="C136" s="141" t="s">
        <v>368</v>
      </c>
      <c r="D136" s="140">
        <v>42363</v>
      </c>
      <c r="E136" s="142" t="s">
        <v>62</v>
      </c>
      <c r="F136" s="142"/>
      <c r="G136" s="143" t="s">
        <v>367</v>
      </c>
      <c r="H136" s="144"/>
      <c r="I136" s="144">
        <v>970000000</v>
      </c>
      <c r="J136" s="145">
        <f t="shared" si="26"/>
        <v>1042450</v>
      </c>
      <c r="K136" s="145"/>
    </row>
    <row r="137" spans="1:11" s="125" customFormat="1" ht="18" customHeight="1">
      <c r="A137" s="125">
        <f t="shared" si="7"/>
        <v>12</v>
      </c>
      <c r="B137" s="140">
        <v>42368</v>
      </c>
      <c r="C137" s="141" t="s">
        <v>371</v>
      </c>
      <c r="D137" s="140">
        <v>42368</v>
      </c>
      <c r="E137" s="142" t="s">
        <v>468</v>
      </c>
      <c r="F137" s="142"/>
      <c r="G137" s="143" t="s">
        <v>370</v>
      </c>
      <c r="H137" s="144">
        <v>1356584000</v>
      </c>
      <c r="I137" s="144"/>
      <c r="J137" s="145">
        <f t="shared" si="26"/>
        <v>1357626450</v>
      </c>
      <c r="K137" s="145"/>
    </row>
    <row r="138" spans="1:11" s="125" customFormat="1" ht="18" customHeight="1">
      <c r="A138" s="125">
        <f t="shared" si="7"/>
        <v>12</v>
      </c>
      <c r="B138" s="140">
        <v>42368</v>
      </c>
      <c r="C138" s="141" t="s">
        <v>368</v>
      </c>
      <c r="D138" s="140">
        <v>42368</v>
      </c>
      <c r="E138" s="142" t="s">
        <v>62</v>
      </c>
      <c r="F138" s="142"/>
      <c r="G138" s="143" t="s">
        <v>367</v>
      </c>
      <c r="H138" s="144"/>
      <c r="I138" s="144">
        <v>1350000000</v>
      </c>
      <c r="J138" s="145">
        <f t="shared" si="26"/>
        <v>7626450</v>
      </c>
      <c r="K138" s="145"/>
    </row>
    <row r="139" spans="1:11" s="159" customFormat="1" ht="18" customHeight="1">
      <c r="A139" s="125" t="str">
        <f t="shared" ref="A139" si="36">IF(B139&lt;&gt;"",MONTH(B139),"")</f>
        <v/>
      </c>
      <c r="B139" s="202"/>
      <c r="C139" s="203"/>
      <c r="D139" s="202"/>
      <c r="E139" s="204"/>
      <c r="F139" s="204"/>
      <c r="G139" s="203"/>
      <c r="H139" s="205"/>
      <c r="I139" s="205"/>
      <c r="J139" s="206"/>
      <c r="K139" s="145"/>
    </row>
    <row r="140" spans="1:11" s="167" customFormat="1" ht="18" customHeight="1">
      <c r="B140" s="188"/>
      <c r="C140" s="189"/>
      <c r="D140" s="188"/>
      <c r="E140" s="173" t="s">
        <v>29</v>
      </c>
      <c r="F140" s="173"/>
      <c r="G140" s="190"/>
      <c r="H140" s="207">
        <f>SUM(H12:H139)</f>
        <v>24884834591</v>
      </c>
      <c r="I140" s="207">
        <f>SUM(I12:I139)</f>
        <v>24877999993</v>
      </c>
      <c r="J140" s="207">
        <f>J11+H140-I140</f>
        <v>7626450</v>
      </c>
      <c r="K140" s="190"/>
    </row>
    <row r="141" spans="1:11" s="167" customFormat="1" ht="18" customHeight="1">
      <c r="B141" s="188"/>
      <c r="C141" s="189"/>
      <c r="D141" s="188"/>
      <c r="E141" s="173" t="s">
        <v>431</v>
      </c>
      <c r="F141" s="173"/>
      <c r="G141" s="190"/>
      <c r="H141" s="173"/>
      <c r="I141" s="173"/>
      <c r="J141" s="207">
        <f>J140</f>
        <v>7626450</v>
      </c>
      <c r="K141" s="190"/>
    </row>
    <row r="142" spans="1:11" s="167" customFormat="1" ht="22.5" customHeight="1">
      <c r="B142" s="208" t="s">
        <v>432</v>
      </c>
      <c r="C142" s="209"/>
      <c r="H142" s="210"/>
      <c r="K142" s="211"/>
    </row>
    <row r="143" spans="1:11" s="167" customFormat="1" ht="12.75">
      <c r="B143" s="212" t="s">
        <v>465</v>
      </c>
      <c r="C143" s="213"/>
      <c r="H143" s="210"/>
      <c r="K143" s="211"/>
    </row>
    <row r="144" spans="1:11" s="167" customFormat="1" ht="12.75">
      <c r="B144" s="214"/>
      <c r="C144" s="215"/>
      <c r="D144" s="216"/>
      <c r="H144" s="210"/>
      <c r="I144" s="505" t="s">
        <v>1386</v>
      </c>
      <c r="J144" s="505"/>
      <c r="K144" s="505"/>
    </row>
    <row r="145" spans="2:13" s="167" customFormat="1" ht="17.25" customHeight="1">
      <c r="B145" s="503" t="s">
        <v>33</v>
      </c>
      <c r="C145" s="503"/>
      <c r="D145" s="215"/>
      <c r="G145" s="217" t="s">
        <v>13</v>
      </c>
      <c r="H145" s="218"/>
      <c r="I145" s="513" t="s">
        <v>14</v>
      </c>
      <c r="J145" s="513"/>
      <c r="K145" s="513"/>
      <c r="L145" s="219"/>
      <c r="M145" s="214"/>
    </row>
    <row r="146" spans="2:13" s="167" customFormat="1" ht="12.75">
      <c r="B146" s="504" t="s">
        <v>15</v>
      </c>
      <c r="C146" s="504"/>
      <c r="D146" s="221"/>
      <c r="G146" s="220" t="s">
        <v>15</v>
      </c>
      <c r="H146" s="222"/>
      <c r="I146" s="505" t="s">
        <v>16</v>
      </c>
      <c r="J146" s="505"/>
      <c r="K146" s="505"/>
      <c r="M146" s="223"/>
    </row>
  </sheetData>
  <autoFilter ref="A10:M143"/>
  <mergeCells count="19">
    <mergeCell ref="B146:C146"/>
    <mergeCell ref="I146:K146"/>
    <mergeCell ref="B4:K4"/>
    <mergeCell ref="B5:K5"/>
    <mergeCell ref="B6:K6"/>
    <mergeCell ref="B8:B9"/>
    <mergeCell ref="B145:C145"/>
    <mergeCell ref="I145:K145"/>
    <mergeCell ref="K8:K9"/>
    <mergeCell ref="A8:A9"/>
    <mergeCell ref="I144:K144"/>
    <mergeCell ref="B2:E3"/>
    <mergeCell ref="I1:K1"/>
    <mergeCell ref="I2:K2"/>
    <mergeCell ref="I3:K3"/>
    <mergeCell ref="G8:G9"/>
    <mergeCell ref="C8:D8"/>
    <mergeCell ref="E8:E9"/>
    <mergeCell ref="H8:J8"/>
  </mergeCells>
  <phoneticPr fontId="54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N82"/>
  <sheetViews>
    <sheetView topLeftCell="A8" workbookViewId="0">
      <pane ySplit="4" topLeftCell="A57" activePane="bottomLeft" state="frozen"/>
      <selection activeCell="E186" sqref="E186"/>
      <selection pane="bottomLeft" activeCell="E67" sqref="E67"/>
    </sheetView>
  </sheetViews>
  <sheetFormatPr defaultRowHeight="15.75"/>
  <cols>
    <col min="1" max="1" width="4.28515625" style="193" customWidth="1"/>
    <col min="2" max="2" width="9.5703125" style="193" customWidth="1"/>
    <col min="3" max="3" width="5.42578125" style="194" customWidth="1"/>
    <col min="4" max="4" width="9.28515625" style="193" customWidth="1"/>
    <col min="5" max="5" width="35" style="193" customWidth="1"/>
    <col min="6" max="6" width="14.140625" style="193" customWidth="1"/>
    <col min="7" max="7" width="6.42578125" style="193" customWidth="1"/>
    <col min="8" max="8" width="6.7109375" style="195" customWidth="1"/>
    <col min="9" max="10" width="14.5703125" style="193" customWidth="1"/>
    <col min="11" max="11" width="14.5703125" style="196" customWidth="1"/>
    <col min="12" max="12" width="7.42578125" style="193" customWidth="1"/>
    <col min="13" max="16384" width="9.140625" style="193"/>
  </cols>
  <sheetData>
    <row r="1" spans="1:14" s="159" customFormat="1" ht="16.5" customHeight="1">
      <c r="B1" s="160" t="s">
        <v>350</v>
      </c>
      <c r="C1" s="118"/>
      <c r="H1" s="161"/>
      <c r="J1" s="506" t="s">
        <v>351</v>
      </c>
      <c r="K1" s="506"/>
      <c r="L1" s="506"/>
      <c r="M1" s="121"/>
      <c r="N1" s="121"/>
    </row>
    <row r="2" spans="1:14" s="159" customFormat="1" ht="16.5" customHeight="1">
      <c r="B2" s="507" t="s">
        <v>352</v>
      </c>
      <c r="C2" s="507"/>
      <c r="D2" s="507"/>
      <c r="E2" s="507"/>
      <c r="F2" s="122"/>
      <c r="H2" s="161"/>
      <c r="J2" s="509" t="s">
        <v>353</v>
      </c>
      <c r="K2" s="509"/>
      <c r="L2" s="509"/>
      <c r="M2" s="119"/>
      <c r="N2" s="119"/>
    </row>
    <row r="3" spans="1:14" s="159" customFormat="1" ht="16.5" customHeight="1">
      <c r="B3" s="507"/>
      <c r="C3" s="507"/>
      <c r="D3" s="507"/>
      <c r="E3" s="507"/>
      <c r="F3" s="122"/>
      <c r="H3" s="161"/>
      <c r="J3" s="509" t="s">
        <v>354</v>
      </c>
      <c r="K3" s="509"/>
      <c r="L3" s="509"/>
    </row>
    <row r="4" spans="1:14" s="159" customFormat="1" ht="19.5" customHeight="1">
      <c r="B4" s="510" t="s">
        <v>355</v>
      </c>
      <c r="C4" s="510"/>
      <c r="D4" s="510"/>
      <c r="E4" s="510"/>
      <c r="F4" s="510"/>
      <c r="G4" s="510"/>
      <c r="H4" s="510"/>
      <c r="I4" s="510"/>
      <c r="J4" s="510"/>
      <c r="K4" s="510"/>
      <c r="L4" s="510"/>
    </row>
    <row r="5" spans="1:14" s="159" customFormat="1" ht="15">
      <c r="B5" s="492" t="s">
        <v>466</v>
      </c>
      <c r="C5" s="492"/>
      <c r="D5" s="492"/>
      <c r="E5" s="492"/>
      <c r="F5" s="492"/>
      <c r="G5" s="492"/>
      <c r="H5" s="492"/>
      <c r="I5" s="492"/>
      <c r="J5" s="492"/>
      <c r="K5" s="492"/>
      <c r="L5" s="492"/>
    </row>
    <row r="6" spans="1:14" s="159" customFormat="1" ht="15">
      <c r="B6" s="492" t="s">
        <v>478</v>
      </c>
      <c r="C6" s="492"/>
      <c r="D6" s="492"/>
      <c r="E6" s="492"/>
      <c r="F6" s="492"/>
      <c r="G6" s="492"/>
      <c r="H6" s="492"/>
      <c r="I6" s="492"/>
      <c r="J6" s="492"/>
      <c r="K6" s="492"/>
      <c r="L6" s="492"/>
    </row>
    <row r="7" spans="1:14" s="159" customFormat="1" ht="6.75" customHeight="1">
      <c r="B7" s="120"/>
      <c r="C7" s="120"/>
      <c r="D7" s="120"/>
      <c r="E7" s="120"/>
      <c r="F7" s="120"/>
      <c r="G7" s="120"/>
      <c r="H7" s="163"/>
      <c r="I7" s="120"/>
      <c r="J7" s="120"/>
      <c r="K7" s="164"/>
      <c r="L7" s="120"/>
    </row>
    <row r="8" spans="1:14" s="167" customFormat="1" ht="20.25" customHeight="1">
      <c r="A8" s="476" t="s">
        <v>175</v>
      </c>
      <c r="B8" s="514" t="s">
        <v>358</v>
      </c>
      <c r="C8" s="514" t="s">
        <v>359</v>
      </c>
      <c r="D8" s="514"/>
      <c r="E8" s="514" t="s">
        <v>3</v>
      </c>
      <c r="F8" s="189"/>
      <c r="G8" s="514" t="s">
        <v>22</v>
      </c>
      <c r="H8" s="515" t="s">
        <v>435</v>
      </c>
      <c r="I8" s="514" t="s">
        <v>125</v>
      </c>
      <c r="J8" s="514"/>
      <c r="K8" s="514"/>
      <c r="L8" s="514" t="s">
        <v>4</v>
      </c>
    </row>
    <row r="9" spans="1:14" s="167" customFormat="1" ht="22.5" customHeight="1">
      <c r="A9" s="477"/>
      <c r="B9" s="514"/>
      <c r="C9" s="189" t="s">
        <v>360</v>
      </c>
      <c r="D9" s="189" t="s">
        <v>361</v>
      </c>
      <c r="E9" s="514"/>
      <c r="F9" s="189"/>
      <c r="G9" s="514"/>
      <c r="H9" s="515"/>
      <c r="I9" s="189" t="s">
        <v>362</v>
      </c>
      <c r="J9" s="189" t="s">
        <v>363</v>
      </c>
      <c r="K9" s="225" t="s">
        <v>364</v>
      </c>
      <c r="L9" s="514"/>
    </row>
    <row r="10" spans="1:14" s="172" customFormat="1" ht="12">
      <c r="A10" s="128"/>
      <c r="B10" s="226" t="s">
        <v>7</v>
      </c>
      <c r="C10" s="226" t="s">
        <v>8</v>
      </c>
      <c r="D10" s="226" t="s">
        <v>9</v>
      </c>
      <c r="E10" s="226" t="s">
        <v>10</v>
      </c>
      <c r="F10" s="226"/>
      <c r="G10" s="226" t="s">
        <v>11</v>
      </c>
      <c r="H10" s="227"/>
      <c r="I10" s="226">
        <v>1</v>
      </c>
      <c r="J10" s="226">
        <v>2</v>
      </c>
      <c r="K10" s="226">
        <v>3</v>
      </c>
      <c r="L10" s="226" t="s">
        <v>27</v>
      </c>
    </row>
    <row r="11" spans="1:14" s="167" customFormat="1" ht="18.75" customHeight="1">
      <c r="A11" s="132"/>
      <c r="B11" s="173"/>
      <c r="C11" s="174"/>
      <c r="D11" s="173"/>
      <c r="E11" s="173" t="s">
        <v>365</v>
      </c>
      <c r="F11" s="173"/>
      <c r="G11" s="173"/>
      <c r="H11" s="175"/>
      <c r="I11" s="175"/>
      <c r="J11" s="173"/>
      <c r="K11" s="176">
        <v>1944.550000000163</v>
      </c>
      <c r="L11" s="173"/>
    </row>
    <row r="12" spans="1:14" s="125" customFormat="1" ht="18.75" customHeight="1">
      <c r="A12" s="125">
        <f t="shared" ref="A12:A43" si="0">IF(B12&lt;&gt;"",MONTH(B12),"")</f>
        <v>1</v>
      </c>
      <c r="B12" s="140">
        <v>42009</v>
      </c>
      <c r="C12" s="141" t="s">
        <v>371</v>
      </c>
      <c r="D12" s="140">
        <f>IF(B12&lt;&gt;"",B12,"")</f>
        <v>42009</v>
      </c>
      <c r="E12" s="142" t="s">
        <v>436</v>
      </c>
      <c r="F12" s="145">
        <f>(I12+J12)*H12</f>
        <v>40565000</v>
      </c>
      <c r="G12" s="141" t="s">
        <v>370</v>
      </c>
      <c r="H12" s="178">
        <v>21350</v>
      </c>
      <c r="I12" s="180"/>
      <c r="J12" s="180">
        <v>1900</v>
      </c>
      <c r="K12" s="181">
        <f>IF(B12&lt;&gt;"",K11+I12-J12,0)</f>
        <v>44.550000000162981</v>
      </c>
      <c r="L12" s="145"/>
    </row>
    <row r="13" spans="1:14" s="125" customFormat="1" ht="18.75" customHeight="1">
      <c r="A13" s="125">
        <f t="shared" si="0"/>
        <v>1</v>
      </c>
      <c r="B13" s="140">
        <v>42014</v>
      </c>
      <c r="C13" s="141" t="s">
        <v>371</v>
      </c>
      <c r="D13" s="140">
        <f t="shared" ref="D13:D57" si="1">IF(B13&lt;&gt;"",B13,"")</f>
        <v>42014</v>
      </c>
      <c r="E13" s="142" t="s">
        <v>479</v>
      </c>
      <c r="F13" s="145">
        <f t="shared" ref="F13:F74" si="2">(I13+J13)*H13</f>
        <v>426300000</v>
      </c>
      <c r="G13" s="141" t="s">
        <v>442</v>
      </c>
      <c r="H13" s="178">
        <v>21315</v>
      </c>
      <c r="I13" s="180">
        <v>20000</v>
      </c>
      <c r="J13" s="180"/>
      <c r="K13" s="181">
        <f t="shared" ref="K13:K74" si="3">IF(B13&lt;&gt;"",K12+I13-J13,0)</f>
        <v>20044.550000000163</v>
      </c>
      <c r="L13" s="145"/>
    </row>
    <row r="14" spans="1:14" s="125" customFormat="1" ht="18.75" customHeight="1">
      <c r="A14" s="125">
        <f t="shared" si="0"/>
        <v>1</v>
      </c>
      <c r="B14" s="140">
        <v>42017</v>
      </c>
      <c r="C14" s="141" t="s">
        <v>371</v>
      </c>
      <c r="D14" s="140">
        <f t="shared" si="1"/>
        <v>42017</v>
      </c>
      <c r="E14" s="142" t="s">
        <v>480</v>
      </c>
      <c r="F14" s="145">
        <f t="shared" si="2"/>
        <v>768336902.54999995</v>
      </c>
      <c r="G14" s="141" t="s">
        <v>442</v>
      </c>
      <c r="H14" s="178">
        <v>21315</v>
      </c>
      <c r="I14" s="180">
        <v>36046.769999999997</v>
      </c>
      <c r="J14" s="180"/>
      <c r="K14" s="181">
        <f t="shared" si="3"/>
        <v>56091.32000000016</v>
      </c>
      <c r="L14" s="145"/>
    </row>
    <row r="15" spans="1:14" s="125" customFormat="1" ht="18.75" customHeight="1">
      <c r="A15" s="125">
        <f t="shared" si="0"/>
        <v>1</v>
      </c>
      <c r="B15" s="140">
        <v>42017</v>
      </c>
      <c r="C15" s="141" t="s">
        <v>368</v>
      </c>
      <c r="D15" s="140">
        <f t="shared" si="1"/>
        <v>42017</v>
      </c>
      <c r="E15" s="142" t="s">
        <v>468</v>
      </c>
      <c r="F15" s="145">
        <f t="shared" si="2"/>
        <v>1194480000</v>
      </c>
      <c r="G15" s="141" t="s">
        <v>36</v>
      </c>
      <c r="H15" s="178">
        <v>21330</v>
      </c>
      <c r="I15" s="180"/>
      <c r="J15" s="180">
        <v>56000</v>
      </c>
      <c r="K15" s="181">
        <f t="shared" si="3"/>
        <v>91.32000000015978</v>
      </c>
      <c r="L15" s="145"/>
    </row>
    <row r="16" spans="1:14" s="125" customFormat="1" ht="18.75" customHeight="1">
      <c r="A16" s="125">
        <f t="shared" si="0"/>
        <v>1</v>
      </c>
      <c r="B16" s="140">
        <v>42021</v>
      </c>
      <c r="C16" s="141" t="s">
        <v>371</v>
      </c>
      <c r="D16" s="140">
        <f t="shared" si="1"/>
        <v>42021</v>
      </c>
      <c r="E16" s="142" t="s">
        <v>479</v>
      </c>
      <c r="F16" s="145">
        <f t="shared" si="2"/>
        <v>19639045.5</v>
      </c>
      <c r="G16" s="141" t="s">
        <v>442</v>
      </c>
      <c r="H16" s="178">
        <v>21325</v>
      </c>
      <c r="I16" s="180">
        <v>920.94</v>
      </c>
      <c r="J16" s="180"/>
      <c r="K16" s="181">
        <f t="shared" si="3"/>
        <v>1012.2600000001598</v>
      </c>
      <c r="L16" s="145"/>
    </row>
    <row r="17" spans="1:13" s="125" customFormat="1" ht="18.75" customHeight="1">
      <c r="A17" s="125">
        <f t="shared" si="0"/>
        <v>1</v>
      </c>
      <c r="B17" s="140">
        <v>42021</v>
      </c>
      <c r="C17" s="141" t="s">
        <v>371</v>
      </c>
      <c r="D17" s="140">
        <f t="shared" si="1"/>
        <v>42021</v>
      </c>
      <c r="E17" s="142" t="s">
        <v>481</v>
      </c>
      <c r="F17" s="145">
        <f t="shared" si="2"/>
        <v>290233.25</v>
      </c>
      <c r="G17" s="141" t="s">
        <v>374</v>
      </c>
      <c r="H17" s="178">
        <v>21325</v>
      </c>
      <c r="I17" s="180"/>
      <c r="J17" s="180">
        <v>13.61</v>
      </c>
      <c r="K17" s="181">
        <f t="shared" si="3"/>
        <v>998.65000000015982</v>
      </c>
      <c r="L17" s="145"/>
    </row>
    <row r="18" spans="1:13" s="125" customFormat="1" ht="18.75" customHeight="1">
      <c r="A18" s="125">
        <f t="shared" si="0"/>
        <v>1</v>
      </c>
      <c r="B18" s="140">
        <v>42024</v>
      </c>
      <c r="C18" s="141" t="s">
        <v>371</v>
      </c>
      <c r="D18" s="140">
        <f t="shared" si="1"/>
        <v>42024</v>
      </c>
      <c r="E18" s="142" t="s">
        <v>479</v>
      </c>
      <c r="F18" s="145">
        <f t="shared" si="2"/>
        <v>427800000</v>
      </c>
      <c r="G18" s="141" t="s">
        <v>442</v>
      </c>
      <c r="H18" s="178">
        <v>21390</v>
      </c>
      <c r="I18" s="180">
        <v>20000</v>
      </c>
      <c r="J18" s="180"/>
      <c r="K18" s="181">
        <f t="shared" si="3"/>
        <v>20998.650000000162</v>
      </c>
      <c r="L18" s="145"/>
    </row>
    <row r="19" spans="1:13" s="125" customFormat="1" ht="18.75" customHeight="1">
      <c r="A19" s="125">
        <f t="shared" si="0"/>
        <v>1</v>
      </c>
      <c r="B19" s="140">
        <v>42024</v>
      </c>
      <c r="C19" s="141" t="s">
        <v>368</v>
      </c>
      <c r="D19" s="140">
        <f t="shared" si="1"/>
        <v>42024</v>
      </c>
      <c r="E19" s="142" t="s">
        <v>482</v>
      </c>
      <c r="F19" s="145">
        <f t="shared" si="2"/>
        <v>4922272.95</v>
      </c>
      <c r="G19" s="143" t="s">
        <v>374</v>
      </c>
      <c r="H19" s="178">
        <v>21315</v>
      </c>
      <c r="I19" s="180"/>
      <c r="J19" s="180">
        <v>230.93</v>
      </c>
      <c r="K19" s="181">
        <f t="shared" si="3"/>
        <v>20767.720000000161</v>
      </c>
      <c r="L19" s="145"/>
    </row>
    <row r="20" spans="1:13" s="125" customFormat="1" ht="18.75" customHeight="1">
      <c r="A20" s="125">
        <f t="shared" si="0"/>
        <v>1</v>
      </c>
      <c r="B20" s="140">
        <v>42024</v>
      </c>
      <c r="C20" s="141" t="s">
        <v>368</v>
      </c>
      <c r="D20" s="140">
        <f t="shared" si="1"/>
        <v>42024</v>
      </c>
      <c r="E20" s="142" t="s">
        <v>483</v>
      </c>
      <c r="F20" s="145">
        <f t="shared" si="2"/>
        <v>13422694.950000001</v>
      </c>
      <c r="G20" s="141" t="s">
        <v>374</v>
      </c>
      <c r="H20" s="178">
        <v>21315</v>
      </c>
      <c r="I20" s="180"/>
      <c r="J20" s="180">
        <v>629.73</v>
      </c>
      <c r="K20" s="181">
        <f t="shared" si="3"/>
        <v>20137.990000000162</v>
      </c>
      <c r="L20" s="145"/>
    </row>
    <row r="21" spans="1:13" s="125" customFormat="1" ht="18.75" customHeight="1">
      <c r="A21" s="125">
        <f t="shared" si="0"/>
        <v>1</v>
      </c>
      <c r="B21" s="140">
        <v>42026</v>
      </c>
      <c r="C21" s="141" t="s">
        <v>371</v>
      </c>
      <c r="D21" s="140">
        <f t="shared" si="1"/>
        <v>42026</v>
      </c>
      <c r="E21" s="142" t="s">
        <v>436</v>
      </c>
      <c r="F21" s="145">
        <f t="shared" si="2"/>
        <v>213150000</v>
      </c>
      <c r="G21" s="141" t="s">
        <v>370</v>
      </c>
      <c r="H21" s="178">
        <v>21315</v>
      </c>
      <c r="I21" s="180">
        <v>10000</v>
      </c>
      <c r="J21" s="180"/>
      <c r="K21" s="181">
        <f t="shared" si="3"/>
        <v>30137.990000000162</v>
      </c>
      <c r="L21" s="145"/>
    </row>
    <row r="22" spans="1:13" s="125" customFormat="1" ht="18.75" customHeight="1">
      <c r="A22" s="125">
        <f t="shared" si="0"/>
        <v>1</v>
      </c>
      <c r="B22" s="140">
        <v>42026</v>
      </c>
      <c r="C22" s="141" t="s">
        <v>371</v>
      </c>
      <c r="D22" s="140">
        <f t="shared" si="1"/>
        <v>42026</v>
      </c>
      <c r="E22" s="142" t="s">
        <v>468</v>
      </c>
      <c r="F22" s="145">
        <f t="shared" si="2"/>
        <v>640800000</v>
      </c>
      <c r="G22" s="141" t="s">
        <v>36</v>
      </c>
      <c r="H22" s="178">
        <v>21360</v>
      </c>
      <c r="I22" s="180"/>
      <c r="J22" s="180">
        <v>30000</v>
      </c>
      <c r="K22" s="181">
        <f t="shared" si="3"/>
        <v>137.99000000016167</v>
      </c>
      <c r="L22" s="145"/>
    </row>
    <row r="23" spans="1:13" s="125" customFormat="1" ht="18.75" customHeight="1">
      <c r="A23" s="125">
        <f t="shared" si="0"/>
        <v>1</v>
      </c>
      <c r="B23" s="140">
        <v>42028</v>
      </c>
      <c r="C23" s="141" t="s">
        <v>371</v>
      </c>
      <c r="D23" s="140">
        <f t="shared" si="1"/>
        <v>42028</v>
      </c>
      <c r="E23" s="142" t="s">
        <v>413</v>
      </c>
      <c r="F23" s="145">
        <f t="shared" si="2"/>
        <v>8113</v>
      </c>
      <c r="G23" s="141" t="s">
        <v>414</v>
      </c>
      <c r="H23" s="178">
        <v>21350</v>
      </c>
      <c r="I23" s="180">
        <v>0.38</v>
      </c>
      <c r="J23" s="180"/>
      <c r="K23" s="181">
        <f t="shared" si="3"/>
        <v>138.37000000016167</v>
      </c>
      <c r="L23" s="145"/>
    </row>
    <row r="24" spans="1:13" s="125" customFormat="1" ht="18.75" customHeight="1">
      <c r="A24" s="125">
        <f t="shared" si="0"/>
        <v>1</v>
      </c>
      <c r="B24" s="140">
        <v>42033</v>
      </c>
      <c r="C24" s="141" t="s">
        <v>371</v>
      </c>
      <c r="D24" s="140">
        <f t="shared" si="1"/>
        <v>42033</v>
      </c>
      <c r="E24" s="142" t="s">
        <v>479</v>
      </c>
      <c r="F24" s="145">
        <f t="shared" si="2"/>
        <v>19634440.800000001</v>
      </c>
      <c r="G24" s="141" t="s">
        <v>442</v>
      </c>
      <c r="H24" s="178">
        <v>21320</v>
      </c>
      <c r="I24" s="180">
        <v>920.94</v>
      </c>
      <c r="J24" s="180"/>
      <c r="K24" s="181">
        <f t="shared" si="3"/>
        <v>1059.3100000001618</v>
      </c>
      <c r="L24" s="145"/>
    </row>
    <row r="25" spans="1:13" s="125" customFormat="1" ht="18.75" customHeight="1">
      <c r="A25" s="125">
        <f t="shared" si="0"/>
        <v>1</v>
      </c>
      <c r="B25" s="140">
        <v>42033</v>
      </c>
      <c r="C25" s="141" t="s">
        <v>371</v>
      </c>
      <c r="D25" s="140">
        <f t="shared" si="1"/>
        <v>42033</v>
      </c>
      <c r="E25" s="142" t="s">
        <v>481</v>
      </c>
      <c r="F25" s="145">
        <f t="shared" si="2"/>
        <v>373100</v>
      </c>
      <c r="G25" s="141" t="s">
        <v>374</v>
      </c>
      <c r="H25" s="178">
        <v>21320</v>
      </c>
      <c r="I25" s="180"/>
      <c r="J25" s="180">
        <v>17.5</v>
      </c>
      <c r="K25" s="181">
        <f t="shared" si="3"/>
        <v>1041.8100000001618</v>
      </c>
      <c r="L25" s="145"/>
      <c r="M25" s="228"/>
    </row>
    <row r="26" spans="1:13" s="125" customFormat="1" ht="18.75" customHeight="1">
      <c r="A26" s="125">
        <f t="shared" si="0"/>
        <v>2</v>
      </c>
      <c r="B26" s="140">
        <v>42039</v>
      </c>
      <c r="C26" s="141" t="s">
        <v>371</v>
      </c>
      <c r="D26" s="140">
        <f t="shared" si="1"/>
        <v>42039</v>
      </c>
      <c r="E26" s="142" t="s">
        <v>436</v>
      </c>
      <c r="F26" s="145">
        <f t="shared" si="2"/>
        <v>21345000</v>
      </c>
      <c r="G26" s="141" t="s">
        <v>370</v>
      </c>
      <c r="H26" s="178">
        <v>21345</v>
      </c>
      <c r="I26" s="180"/>
      <c r="J26" s="180">
        <v>1000</v>
      </c>
      <c r="K26" s="181">
        <f t="shared" si="3"/>
        <v>41.810000000161835</v>
      </c>
      <c r="L26" s="145"/>
    </row>
    <row r="27" spans="1:13" s="125" customFormat="1" ht="18.75" customHeight="1">
      <c r="A27" s="125">
        <f t="shared" si="0"/>
        <v>2</v>
      </c>
      <c r="B27" s="140">
        <v>42059</v>
      </c>
      <c r="C27" s="141" t="s">
        <v>368</v>
      </c>
      <c r="D27" s="140">
        <f t="shared" si="1"/>
        <v>42059</v>
      </c>
      <c r="E27" s="142" t="s">
        <v>436</v>
      </c>
      <c r="F27" s="145">
        <f t="shared" si="2"/>
        <v>1185480000</v>
      </c>
      <c r="G27" s="141" t="s">
        <v>370</v>
      </c>
      <c r="H27" s="178">
        <v>21360</v>
      </c>
      <c r="I27" s="180">
        <v>55500</v>
      </c>
      <c r="J27" s="180"/>
      <c r="K27" s="181">
        <f t="shared" si="3"/>
        <v>55541.810000000165</v>
      </c>
      <c r="L27" s="145"/>
    </row>
    <row r="28" spans="1:13" s="125" customFormat="1" ht="18.75" customHeight="1">
      <c r="A28" s="125">
        <f t="shared" si="0"/>
        <v>2</v>
      </c>
      <c r="B28" s="140">
        <v>42059</v>
      </c>
      <c r="C28" s="141" t="s">
        <v>368</v>
      </c>
      <c r="D28" s="140">
        <f t="shared" si="1"/>
        <v>42059</v>
      </c>
      <c r="E28" s="142" t="s">
        <v>484</v>
      </c>
      <c r="F28" s="145">
        <f t="shared" si="2"/>
        <v>1173150000</v>
      </c>
      <c r="G28" s="143" t="s">
        <v>438</v>
      </c>
      <c r="H28" s="178">
        <v>21330</v>
      </c>
      <c r="I28" s="180"/>
      <c r="J28" s="180">
        <v>55000</v>
      </c>
      <c r="K28" s="181">
        <f t="shared" si="3"/>
        <v>541.81000000016502</v>
      </c>
      <c r="L28" s="145"/>
    </row>
    <row r="29" spans="1:13" s="125" customFormat="1" ht="18.75" customHeight="1">
      <c r="A29" s="125">
        <f t="shared" si="0"/>
        <v>2</v>
      </c>
      <c r="B29" s="140">
        <v>42059</v>
      </c>
      <c r="C29" s="141" t="s">
        <v>368</v>
      </c>
      <c r="D29" s="140">
        <f t="shared" si="1"/>
        <v>42059</v>
      </c>
      <c r="E29" s="142" t="s">
        <v>485</v>
      </c>
      <c r="F29" s="145">
        <f t="shared" si="2"/>
        <v>6256728.8999999994</v>
      </c>
      <c r="G29" s="141" t="s">
        <v>374</v>
      </c>
      <c r="H29" s="178">
        <v>21330</v>
      </c>
      <c r="I29" s="180"/>
      <c r="J29" s="180">
        <v>293.33</v>
      </c>
      <c r="K29" s="181">
        <f t="shared" si="3"/>
        <v>248.48000000016503</v>
      </c>
      <c r="L29" s="145"/>
      <c r="M29" s="228"/>
    </row>
    <row r="30" spans="1:13" s="125" customFormat="1" ht="18.75" customHeight="1">
      <c r="A30" s="125">
        <f t="shared" si="0"/>
        <v>5</v>
      </c>
      <c r="B30" s="140">
        <v>42151</v>
      </c>
      <c r="C30" s="141" t="s">
        <v>371</v>
      </c>
      <c r="D30" s="140">
        <f t="shared" si="1"/>
        <v>42151</v>
      </c>
      <c r="E30" s="142" t="s">
        <v>679</v>
      </c>
      <c r="F30" s="145">
        <f t="shared" si="2"/>
        <v>1178820000</v>
      </c>
      <c r="G30" s="143" t="s">
        <v>442</v>
      </c>
      <c r="H30" s="178">
        <v>21830</v>
      </c>
      <c r="I30" s="180">
        <v>54000</v>
      </c>
      <c r="J30" s="180"/>
      <c r="K30" s="181">
        <f t="shared" si="3"/>
        <v>54248.480000000163</v>
      </c>
      <c r="L30" s="145"/>
    </row>
    <row r="31" spans="1:13" s="125" customFormat="1" ht="18.75" customHeight="1">
      <c r="A31" s="125">
        <f t="shared" si="0"/>
        <v>5</v>
      </c>
      <c r="B31" s="140">
        <v>42151</v>
      </c>
      <c r="C31" s="141" t="s">
        <v>371</v>
      </c>
      <c r="D31" s="140">
        <f t="shared" si="1"/>
        <v>42151</v>
      </c>
      <c r="E31" s="142" t="s">
        <v>677</v>
      </c>
      <c r="F31" s="145">
        <f t="shared" si="2"/>
        <v>588870000</v>
      </c>
      <c r="G31" s="143" t="s">
        <v>36</v>
      </c>
      <c r="H31" s="178">
        <v>21810</v>
      </c>
      <c r="I31" s="180">
        <v>27000</v>
      </c>
      <c r="J31" s="180"/>
      <c r="K31" s="181">
        <f t="shared" si="3"/>
        <v>81248.480000000156</v>
      </c>
      <c r="L31" s="145"/>
    </row>
    <row r="32" spans="1:13" s="125" customFormat="1" ht="18.75" customHeight="1">
      <c r="A32" s="125">
        <f t="shared" si="0"/>
        <v>5</v>
      </c>
      <c r="B32" s="140">
        <v>42151</v>
      </c>
      <c r="C32" s="141" t="s">
        <v>368</v>
      </c>
      <c r="D32" s="140">
        <f t="shared" si="1"/>
        <v>42151</v>
      </c>
      <c r="E32" s="142" t="s">
        <v>681</v>
      </c>
      <c r="F32" s="145">
        <f t="shared" si="2"/>
        <v>1766610000</v>
      </c>
      <c r="G32" s="143" t="s">
        <v>438</v>
      </c>
      <c r="H32" s="178">
        <v>21810</v>
      </c>
      <c r="I32" s="180"/>
      <c r="J32" s="180">
        <v>81000</v>
      </c>
      <c r="K32" s="181">
        <f t="shared" si="3"/>
        <v>248.480000000156</v>
      </c>
      <c r="L32" s="145"/>
    </row>
    <row r="33" spans="1:12" s="125" customFormat="1" ht="18.75" customHeight="1">
      <c r="A33" s="125">
        <f t="shared" si="0"/>
        <v>5</v>
      </c>
      <c r="B33" s="140">
        <v>42151</v>
      </c>
      <c r="C33" s="141" t="s">
        <v>368</v>
      </c>
      <c r="D33" s="140">
        <f t="shared" si="1"/>
        <v>42151</v>
      </c>
      <c r="E33" s="142" t="s">
        <v>680</v>
      </c>
      <c r="F33" s="145">
        <f t="shared" si="2"/>
        <v>3422861.4</v>
      </c>
      <c r="G33" s="143" t="s">
        <v>374</v>
      </c>
      <c r="H33" s="178">
        <v>21810</v>
      </c>
      <c r="I33" s="180"/>
      <c r="J33" s="180">
        <v>156.94</v>
      </c>
      <c r="K33" s="181">
        <f t="shared" si="3"/>
        <v>91.540000000155999</v>
      </c>
      <c r="L33" s="145"/>
    </row>
    <row r="34" spans="1:12" s="125" customFormat="1" ht="18.75" customHeight="1">
      <c r="A34" s="125">
        <f t="shared" si="0"/>
        <v>6</v>
      </c>
      <c r="B34" s="140">
        <v>42157</v>
      </c>
      <c r="C34" s="141" t="s">
        <v>371</v>
      </c>
      <c r="D34" s="140">
        <f t="shared" si="1"/>
        <v>42157</v>
      </c>
      <c r="E34" s="142" t="s">
        <v>677</v>
      </c>
      <c r="F34" s="145">
        <f t="shared" si="2"/>
        <v>1942425000</v>
      </c>
      <c r="G34" s="143" t="s">
        <v>36</v>
      </c>
      <c r="H34" s="178">
        <v>21825</v>
      </c>
      <c r="I34" s="180">
        <v>89000</v>
      </c>
      <c r="J34" s="180"/>
      <c r="K34" s="181">
        <f t="shared" si="3"/>
        <v>89091.540000000154</v>
      </c>
      <c r="L34" s="145"/>
    </row>
    <row r="35" spans="1:12" s="125" customFormat="1" ht="18.75" customHeight="1">
      <c r="A35" s="125">
        <f t="shared" si="0"/>
        <v>6</v>
      </c>
      <c r="B35" s="140">
        <v>42158</v>
      </c>
      <c r="C35" s="141" t="s">
        <v>371</v>
      </c>
      <c r="D35" s="140">
        <f t="shared" si="1"/>
        <v>42158</v>
      </c>
      <c r="E35" s="142" t="s">
        <v>436</v>
      </c>
      <c r="F35" s="145">
        <f t="shared" si="2"/>
        <v>91446750</v>
      </c>
      <c r="G35" s="141" t="s">
        <v>370</v>
      </c>
      <c r="H35" s="178">
        <v>21825</v>
      </c>
      <c r="I35" s="180">
        <v>4190</v>
      </c>
      <c r="J35" s="180"/>
      <c r="K35" s="181">
        <f t="shared" si="3"/>
        <v>93281.540000000154</v>
      </c>
      <c r="L35" s="145"/>
    </row>
    <row r="36" spans="1:12" s="125" customFormat="1" ht="18.75" customHeight="1">
      <c r="A36" s="125">
        <f t="shared" si="0"/>
        <v>6</v>
      </c>
      <c r="B36" s="140">
        <v>42158</v>
      </c>
      <c r="C36" s="141" t="s">
        <v>371</v>
      </c>
      <c r="D36" s="140">
        <f t="shared" si="1"/>
        <v>42158</v>
      </c>
      <c r="E36" s="142" t="s">
        <v>677</v>
      </c>
      <c r="F36" s="145">
        <f t="shared" si="2"/>
        <v>54562500</v>
      </c>
      <c r="G36" s="143" t="s">
        <v>36</v>
      </c>
      <c r="H36" s="178">
        <v>21825</v>
      </c>
      <c r="I36" s="180">
        <v>2500</v>
      </c>
      <c r="J36" s="180"/>
      <c r="K36" s="181">
        <f t="shared" si="3"/>
        <v>95781.540000000154</v>
      </c>
      <c r="L36" s="145"/>
    </row>
    <row r="37" spans="1:12" s="125" customFormat="1" ht="18.75" customHeight="1">
      <c r="A37" s="125">
        <f t="shared" si="0"/>
        <v>6</v>
      </c>
      <c r="B37" s="140">
        <v>42158</v>
      </c>
      <c r="C37" s="141" t="s">
        <v>368</v>
      </c>
      <c r="D37" s="140">
        <f t="shared" si="1"/>
        <v>42158</v>
      </c>
      <c r="E37" s="142" t="s">
        <v>832</v>
      </c>
      <c r="F37" s="145">
        <f t="shared" si="2"/>
        <v>2088652500</v>
      </c>
      <c r="G37" s="143" t="s">
        <v>438</v>
      </c>
      <c r="H37" s="178">
        <v>21825</v>
      </c>
      <c r="I37" s="180"/>
      <c r="J37" s="180">
        <v>95700</v>
      </c>
      <c r="K37" s="181">
        <f t="shared" si="3"/>
        <v>81.540000000153668</v>
      </c>
      <c r="L37" s="145"/>
    </row>
    <row r="38" spans="1:12" s="125" customFormat="1" ht="18.75" customHeight="1">
      <c r="A38" s="125">
        <f t="shared" si="0"/>
        <v>6</v>
      </c>
      <c r="B38" s="140">
        <v>42158</v>
      </c>
      <c r="C38" s="141" t="s">
        <v>371</v>
      </c>
      <c r="D38" s="140">
        <f t="shared" si="1"/>
        <v>42158</v>
      </c>
      <c r="E38" s="142" t="s">
        <v>833</v>
      </c>
      <c r="F38" s="145">
        <f t="shared" si="2"/>
        <v>51460076.25</v>
      </c>
      <c r="G38" s="143" t="s">
        <v>442</v>
      </c>
      <c r="H38" s="178">
        <v>21825</v>
      </c>
      <c r="I38" s="180">
        <v>2357.85</v>
      </c>
      <c r="J38" s="180"/>
      <c r="K38" s="181">
        <f t="shared" si="3"/>
        <v>2439.3900000001536</v>
      </c>
      <c r="L38" s="145"/>
    </row>
    <row r="39" spans="1:12" s="125" customFormat="1" ht="18.75" customHeight="1">
      <c r="A39" s="125">
        <f t="shared" si="0"/>
        <v>6</v>
      </c>
      <c r="B39" s="140">
        <v>42158</v>
      </c>
      <c r="C39" s="141" t="s">
        <v>368</v>
      </c>
      <c r="D39" s="140">
        <f t="shared" si="1"/>
        <v>42158</v>
      </c>
      <c r="E39" s="142" t="s">
        <v>834</v>
      </c>
      <c r="F39" s="145">
        <f t="shared" si="2"/>
        <v>802068.75</v>
      </c>
      <c r="G39" s="143" t="s">
        <v>374</v>
      </c>
      <c r="H39" s="178">
        <v>21825</v>
      </c>
      <c r="I39" s="180"/>
      <c r="J39" s="180">
        <v>36.75</v>
      </c>
      <c r="K39" s="181">
        <f t="shared" si="3"/>
        <v>2402.6400000001536</v>
      </c>
      <c r="L39" s="145"/>
    </row>
    <row r="40" spans="1:12" s="125" customFormat="1" ht="18.75" customHeight="1">
      <c r="A40" s="125">
        <f t="shared" si="0"/>
        <v>6</v>
      </c>
      <c r="B40" s="140">
        <v>42170</v>
      </c>
      <c r="C40" s="141" t="s">
        <v>368</v>
      </c>
      <c r="D40" s="140">
        <f t="shared" si="1"/>
        <v>42170</v>
      </c>
      <c r="E40" s="142" t="s">
        <v>436</v>
      </c>
      <c r="F40" s="145">
        <f t="shared" si="2"/>
        <v>52320000</v>
      </c>
      <c r="G40" s="141" t="s">
        <v>370</v>
      </c>
      <c r="H40" s="178">
        <v>21800</v>
      </c>
      <c r="I40" s="180"/>
      <c r="J40" s="180">
        <v>2400</v>
      </c>
      <c r="K40" s="181">
        <f t="shared" si="3"/>
        <v>2.6400000001535773</v>
      </c>
      <c r="L40" s="145"/>
    </row>
    <row r="41" spans="1:12" s="125" customFormat="1" ht="18.75" customHeight="1">
      <c r="A41" s="125">
        <f t="shared" si="0"/>
        <v>6</v>
      </c>
      <c r="B41" s="140">
        <v>42178</v>
      </c>
      <c r="C41" s="141" t="s">
        <v>371</v>
      </c>
      <c r="D41" s="140">
        <f t="shared" si="1"/>
        <v>42178</v>
      </c>
      <c r="E41" s="142" t="s">
        <v>436</v>
      </c>
      <c r="F41" s="145">
        <f t="shared" si="2"/>
        <v>952006000</v>
      </c>
      <c r="G41" s="141" t="s">
        <v>370</v>
      </c>
      <c r="H41" s="178">
        <v>21835</v>
      </c>
      <c r="I41" s="180">
        <v>43600</v>
      </c>
      <c r="J41" s="180"/>
      <c r="K41" s="181">
        <f t="shared" si="3"/>
        <v>43602.640000000152</v>
      </c>
      <c r="L41" s="145"/>
    </row>
    <row r="42" spans="1:12" s="125" customFormat="1" ht="18.75" customHeight="1">
      <c r="A42" s="125">
        <f t="shared" si="0"/>
        <v>6</v>
      </c>
      <c r="B42" s="140">
        <v>42178</v>
      </c>
      <c r="C42" s="141" t="s">
        <v>371</v>
      </c>
      <c r="D42" s="140">
        <f t="shared" si="1"/>
        <v>42178</v>
      </c>
      <c r="E42" s="142" t="s">
        <v>480</v>
      </c>
      <c r="F42" s="145">
        <f t="shared" si="2"/>
        <v>404532678</v>
      </c>
      <c r="G42" s="143" t="s">
        <v>442</v>
      </c>
      <c r="H42" s="178">
        <v>21835</v>
      </c>
      <c r="I42" s="180">
        <v>18526.8</v>
      </c>
      <c r="J42" s="180"/>
      <c r="K42" s="181">
        <f t="shared" si="3"/>
        <v>62129.440000000148</v>
      </c>
      <c r="L42" s="145"/>
    </row>
    <row r="43" spans="1:12" s="125" customFormat="1" ht="18.75" customHeight="1">
      <c r="A43" s="125">
        <f t="shared" si="0"/>
        <v>6</v>
      </c>
      <c r="B43" s="140">
        <v>42178</v>
      </c>
      <c r="C43" s="141" t="s">
        <v>368</v>
      </c>
      <c r="D43" s="140">
        <f t="shared" si="1"/>
        <v>42178</v>
      </c>
      <c r="E43" s="142" t="s">
        <v>835</v>
      </c>
      <c r="F43" s="145">
        <f t="shared" si="2"/>
        <v>952006000</v>
      </c>
      <c r="G43" s="143" t="s">
        <v>438</v>
      </c>
      <c r="H43" s="178">
        <v>21835</v>
      </c>
      <c r="I43" s="180"/>
      <c r="J43" s="180">
        <v>43600</v>
      </c>
      <c r="K43" s="181">
        <f t="shared" si="3"/>
        <v>18529.440000000148</v>
      </c>
      <c r="L43" s="145"/>
    </row>
    <row r="44" spans="1:12" s="125" customFormat="1" ht="18.75" customHeight="1">
      <c r="A44" s="125">
        <f t="shared" ref="A44:A74" si="4">IF(B44&lt;&gt;"",MONTH(B44),"")</f>
        <v>6</v>
      </c>
      <c r="B44" s="140">
        <v>42178</v>
      </c>
      <c r="C44" s="141" t="s">
        <v>368</v>
      </c>
      <c r="D44" s="140">
        <f t="shared" si="1"/>
        <v>42178</v>
      </c>
      <c r="E44" s="142" t="s">
        <v>836</v>
      </c>
      <c r="F44" s="145">
        <f t="shared" si="2"/>
        <v>4646488</v>
      </c>
      <c r="G44" s="143" t="s">
        <v>374</v>
      </c>
      <c r="H44" s="178">
        <v>21835</v>
      </c>
      <c r="I44" s="180"/>
      <c r="J44" s="180">
        <v>212.8</v>
      </c>
      <c r="K44" s="181">
        <f t="shared" si="3"/>
        <v>18316.640000000149</v>
      </c>
      <c r="L44" s="145"/>
    </row>
    <row r="45" spans="1:12" s="125" customFormat="1" ht="18.75" customHeight="1">
      <c r="A45" s="125">
        <f t="shared" si="4"/>
        <v>6</v>
      </c>
      <c r="B45" s="140">
        <v>42178</v>
      </c>
      <c r="C45" s="141" t="s">
        <v>368</v>
      </c>
      <c r="D45" s="140">
        <f t="shared" ref="D45:D47" si="5">IF(B45&lt;&gt;"",B45,"")</f>
        <v>42178</v>
      </c>
      <c r="E45" s="142" t="s">
        <v>837</v>
      </c>
      <c r="F45" s="145">
        <f t="shared" si="2"/>
        <v>4141881.15</v>
      </c>
      <c r="G45" s="143" t="s">
        <v>374</v>
      </c>
      <c r="H45" s="178">
        <v>21835</v>
      </c>
      <c r="I45" s="180"/>
      <c r="J45" s="180">
        <v>189.69</v>
      </c>
      <c r="K45" s="181">
        <f t="shared" si="3"/>
        <v>18126.95000000015</v>
      </c>
      <c r="L45" s="145"/>
    </row>
    <row r="46" spans="1:12" s="125" customFormat="1" ht="18.75" customHeight="1">
      <c r="A46" s="125">
        <f t="shared" si="4"/>
        <v>6</v>
      </c>
      <c r="B46" s="140">
        <v>42179</v>
      </c>
      <c r="C46" s="141" t="s">
        <v>371</v>
      </c>
      <c r="D46" s="140">
        <f t="shared" si="5"/>
        <v>42179</v>
      </c>
      <c r="E46" s="142" t="s">
        <v>413</v>
      </c>
      <c r="F46" s="145">
        <f t="shared" si="2"/>
        <v>9389.0499999999993</v>
      </c>
      <c r="G46" s="143" t="s">
        <v>414</v>
      </c>
      <c r="H46" s="178">
        <v>21835</v>
      </c>
      <c r="I46" s="180">
        <v>0.43</v>
      </c>
      <c r="J46" s="180"/>
      <c r="K46" s="181">
        <f t="shared" si="3"/>
        <v>18127.38000000015</v>
      </c>
      <c r="L46" s="145"/>
    </row>
    <row r="47" spans="1:12" s="125" customFormat="1" ht="18.75" customHeight="1">
      <c r="A47" s="125">
        <f t="shared" si="4"/>
        <v>6</v>
      </c>
      <c r="B47" s="140">
        <v>42180</v>
      </c>
      <c r="C47" s="141" t="s">
        <v>368</v>
      </c>
      <c r="D47" s="140">
        <f t="shared" si="5"/>
        <v>42180</v>
      </c>
      <c r="E47" s="142" t="s">
        <v>436</v>
      </c>
      <c r="F47" s="145">
        <f t="shared" si="2"/>
        <v>395213500</v>
      </c>
      <c r="G47" s="143" t="s">
        <v>370</v>
      </c>
      <c r="H47" s="178">
        <v>21835</v>
      </c>
      <c r="I47" s="180"/>
      <c r="J47" s="180">
        <v>18100</v>
      </c>
      <c r="K47" s="181">
        <f t="shared" si="3"/>
        <v>27.380000000150176</v>
      </c>
      <c r="L47" s="145"/>
    </row>
    <row r="48" spans="1:12" s="125" customFormat="1" ht="18.75" customHeight="1">
      <c r="A48" s="125">
        <f t="shared" si="4"/>
        <v>8</v>
      </c>
      <c r="B48" s="140">
        <v>42233</v>
      </c>
      <c r="C48" s="141" t="s">
        <v>371</v>
      </c>
      <c r="D48" s="140">
        <f t="shared" si="1"/>
        <v>42233</v>
      </c>
      <c r="E48" s="142" t="s">
        <v>436</v>
      </c>
      <c r="F48" s="145">
        <f t="shared" si="2"/>
        <v>1215830000</v>
      </c>
      <c r="G48" s="143" t="s">
        <v>370</v>
      </c>
      <c r="H48" s="178">
        <v>22106</v>
      </c>
      <c r="I48" s="180">
        <v>55000</v>
      </c>
      <c r="J48" s="180"/>
      <c r="K48" s="181">
        <f t="shared" si="3"/>
        <v>55027.38000000015</v>
      </c>
      <c r="L48" s="145"/>
    </row>
    <row r="49" spans="1:12" s="125" customFormat="1" ht="18.75" customHeight="1">
      <c r="A49" s="125">
        <f t="shared" si="4"/>
        <v>8</v>
      </c>
      <c r="B49" s="140">
        <v>42233</v>
      </c>
      <c r="C49" s="141" t="s">
        <v>368</v>
      </c>
      <c r="D49" s="140">
        <f t="shared" si="1"/>
        <v>42233</v>
      </c>
      <c r="E49" s="142" t="s">
        <v>1015</v>
      </c>
      <c r="F49" s="145">
        <f t="shared" si="2"/>
        <v>1216050000</v>
      </c>
      <c r="G49" s="143" t="s">
        <v>438</v>
      </c>
      <c r="H49" s="178">
        <v>22110</v>
      </c>
      <c r="I49" s="180"/>
      <c r="J49" s="180">
        <v>55000</v>
      </c>
      <c r="K49" s="181">
        <f t="shared" si="3"/>
        <v>27.380000000150176</v>
      </c>
      <c r="L49" s="145"/>
    </row>
    <row r="50" spans="1:12" s="125" customFormat="1" ht="18.75" customHeight="1">
      <c r="A50" s="125">
        <f t="shared" si="4"/>
        <v>9</v>
      </c>
      <c r="B50" s="140">
        <v>42277</v>
      </c>
      <c r="C50" s="141" t="s">
        <v>371</v>
      </c>
      <c r="D50" s="140">
        <f t="shared" si="1"/>
        <v>42277</v>
      </c>
      <c r="E50" s="142" t="s">
        <v>817</v>
      </c>
      <c r="F50" s="145">
        <f t="shared" si="2"/>
        <v>2283165000</v>
      </c>
      <c r="G50" s="143" t="s">
        <v>442</v>
      </c>
      <c r="H50" s="178">
        <v>22450</v>
      </c>
      <c r="I50" s="180">
        <v>101700</v>
      </c>
      <c r="J50" s="180"/>
      <c r="K50" s="181">
        <f t="shared" si="3"/>
        <v>101727.38000000015</v>
      </c>
      <c r="L50" s="145"/>
    </row>
    <row r="51" spans="1:12" s="125" customFormat="1" ht="18.75" customHeight="1">
      <c r="A51" s="125">
        <f t="shared" si="4"/>
        <v>9</v>
      </c>
      <c r="B51" s="140">
        <v>42277</v>
      </c>
      <c r="C51" s="141" t="s">
        <v>368</v>
      </c>
      <c r="D51" s="140">
        <f t="shared" si="1"/>
        <v>42277</v>
      </c>
      <c r="E51" s="142" t="s">
        <v>436</v>
      </c>
      <c r="F51" s="145">
        <f t="shared" si="2"/>
        <v>2283165000</v>
      </c>
      <c r="G51" s="143" t="s">
        <v>370</v>
      </c>
      <c r="H51" s="178">
        <v>22450</v>
      </c>
      <c r="I51" s="180"/>
      <c r="J51" s="180">
        <v>101700</v>
      </c>
      <c r="K51" s="181">
        <f t="shared" si="3"/>
        <v>27.380000000150176</v>
      </c>
      <c r="L51" s="145"/>
    </row>
    <row r="52" spans="1:12" s="125" customFormat="1" ht="18.75" customHeight="1">
      <c r="A52" s="125">
        <f t="shared" si="4"/>
        <v>10</v>
      </c>
      <c r="B52" s="140">
        <v>42285</v>
      </c>
      <c r="C52" s="141" t="s">
        <v>371</v>
      </c>
      <c r="D52" s="140">
        <f t="shared" si="1"/>
        <v>42285</v>
      </c>
      <c r="E52" s="142" t="s">
        <v>817</v>
      </c>
      <c r="F52" s="145">
        <f t="shared" si="2"/>
        <v>110395344.00000001</v>
      </c>
      <c r="G52" s="143" t="s">
        <v>442</v>
      </c>
      <c r="H52" s="178">
        <v>22340</v>
      </c>
      <c r="I52" s="180">
        <v>4941.6000000000004</v>
      </c>
      <c r="J52" s="180"/>
      <c r="K52" s="181">
        <f t="shared" si="3"/>
        <v>4968.9800000001505</v>
      </c>
      <c r="L52" s="145"/>
    </row>
    <row r="53" spans="1:12" s="125" customFormat="1" ht="18.75" customHeight="1">
      <c r="A53" s="125">
        <f t="shared" si="4"/>
        <v>10</v>
      </c>
      <c r="B53" s="140">
        <v>42285</v>
      </c>
      <c r="C53" s="141" t="s">
        <v>368</v>
      </c>
      <c r="D53" s="140">
        <f t="shared" si="1"/>
        <v>42285</v>
      </c>
      <c r="E53" s="142" t="s">
        <v>481</v>
      </c>
      <c r="F53" s="145">
        <f t="shared" si="2"/>
        <v>1767093.9999999998</v>
      </c>
      <c r="G53" s="143" t="s">
        <v>374</v>
      </c>
      <c r="H53" s="178">
        <v>22340</v>
      </c>
      <c r="I53" s="180"/>
      <c r="J53" s="180">
        <v>79.099999999999994</v>
      </c>
      <c r="K53" s="181">
        <f t="shared" si="3"/>
        <v>4889.8800000001502</v>
      </c>
      <c r="L53" s="145"/>
    </row>
    <row r="54" spans="1:12" s="125" customFormat="1" ht="18.75" customHeight="1">
      <c r="A54" s="125">
        <f t="shared" si="4"/>
        <v>10</v>
      </c>
      <c r="B54" s="140">
        <v>42291</v>
      </c>
      <c r="C54" s="141" t="s">
        <v>368</v>
      </c>
      <c r="D54" s="140">
        <f t="shared" si="1"/>
        <v>42291</v>
      </c>
      <c r="E54" s="142" t="s">
        <v>1199</v>
      </c>
      <c r="F54" s="145">
        <f t="shared" si="2"/>
        <v>107376000</v>
      </c>
      <c r="G54" s="143" t="s">
        <v>36</v>
      </c>
      <c r="H54" s="178">
        <v>22370</v>
      </c>
      <c r="I54" s="180"/>
      <c r="J54" s="180">
        <v>4800</v>
      </c>
      <c r="K54" s="181">
        <f t="shared" si="3"/>
        <v>89.880000000150176</v>
      </c>
      <c r="L54" s="145"/>
    </row>
    <row r="55" spans="1:12" s="125" customFormat="1" ht="18.75" customHeight="1">
      <c r="A55" s="125">
        <f t="shared" si="4"/>
        <v>11</v>
      </c>
      <c r="B55" s="140">
        <v>42321</v>
      </c>
      <c r="C55" s="141" t="s">
        <v>371</v>
      </c>
      <c r="D55" s="140">
        <f t="shared" si="1"/>
        <v>42321</v>
      </c>
      <c r="E55" s="142" t="s">
        <v>817</v>
      </c>
      <c r="F55" s="145">
        <f t="shared" si="2"/>
        <v>2063961000</v>
      </c>
      <c r="G55" s="143" t="s">
        <v>442</v>
      </c>
      <c r="H55" s="178">
        <v>22410</v>
      </c>
      <c r="I55" s="180">
        <v>92100</v>
      </c>
      <c r="J55" s="180"/>
      <c r="K55" s="181">
        <f t="shared" si="3"/>
        <v>92189.88000000015</v>
      </c>
      <c r="L55" s="145"/>
    </row>
    <row r="56" spans="1:12" s="125" customFormat="1" ht="18.75" customHeight="1">
      <c r="A56" s="125">
        <f t="shared" si="4"/>
        <v>11</v>
      </c>
      <c r="B56" s="140">
        <v>42321</v>
      </c>
      <c r="C56" s="141" t="s">
        <v>368</v>
      </c>
      <c r="D56" s="140">
        <f t="shared" ref="D56" si="6">IF(B56&lt;&gt;"",B56,"")</f>
        <v>42321</v>
      </c>
      <c r="E56" s="142" t="s">
        <v>1273</v>
      </c>
      <c r="F56" s="145">
        <f t="shared" si="2"/>
        <v>2061720000</v>
      </c>
      <c r="G56" s="143" t="s">
        <v>36</v>
      </c>
      <c r="H56" s="178">
        <v>22410</v>
      </c>
      <c r="I56" s="180"/>
      <c r="J56" s="180">
        <v>92000</v>
      </c>
      <c r="K56" s="181">
        <f t="shared" si="3"/>
        <v>189.88000000015018</v>
      </c>
      <c r="L56" s="145"/>
    </row>
    <row r="57" spans="1:12" s="125" customFormat="1" ht="18.75" customHeight="1">
      <c r="A57" s="125">
        <f t="shared" si="4"/>
        <v>11</v>
      </c>
      <c r="B57" s="140">
        <v>42328</v>
      </c>
      <c r="C57" s="141" t="s">
        <v>371</v>
      </c>
      <c r="D57" s="140">
        <f t="shared" si="1"/>
        <v>42328</v>
      </c>
      <c r="E57" s="142" t="s">
        <v>817</v>
      </c>
      <c r="F57" s="145">
        <f t="shared" si="2"/>
        <v>100248231.60000001</v>
      </c>
      <c r="G57" s="143" t="s">
        <v>442</v>
      </c>
      <c r="H57" s="178">
        <v>22440</v>
      </c>
      <c r="I57" s="180">
        <v>4467.3900000000003</v>
      </c>
      <c r="J57" s="180"/>
      <c r="K57" s="181">
        <f t="shared" si="3"/>
        <v>4657.2700000001505</v>
      </c>
      <c r="L57" s="145"/>
    </row>
    <row r="58" spans="1:12" s="125" customFormat="1" ht="18.75" customHeight="1">
      <c r="A58" s="125">
        <f t="shared" ref="A58" si="7">IF(B58&lt;&gt;"",MONTH(B58),"")</f>
        <v>11</v>
      </c>
      <c r="B58" s="140">
        <v>42328</v>
      </c>
      <c r="C58" s="141" t="s">
        <v>368</v>
      </c>
      <c r="D58" s="140">
        <f t="shared" ref="D58:D59" si="8">IF(B58&lt;&gt;"",B58,"")</f>
        <v>42328</v>
      </c>
      <c r="E58" s="142" t="s">
        <v>481</v>
      </c>
      <c r="F58" s="145">
        <f t="shared" si="2"/>
        <v>1406539.2</v>
      </c>
      <c r="G58" s="143" t="s">
        <v>374</v>
      </c>
      <c r="H58" s="178">
        <v>22440</v>
      </c>
      <c r="I58" s="180"/>
      <c r="J58" s="180">
        <v>62.68</v>
      </c>
      <c r="K58" s="181">
        <f t="shared" si="3"/>
        <v>4594.5900000001502</v>
      </c>
      <c r="L58" s="145"/>
    </row>
    <row r="59" spans="1:12" s="125" customFormat="1" ht="18.75" customHeight="1">
      <c r="A59" s="125">
        <f t="shared" si="4"/>
        <v>11</v>
      </c>
      <c r="B59" s="140">
        <v>42335</v>
      </c>
      <c r="C59" s="141" t="s">
        <v>368</v>
      </c>
      <c r="D59" s="140">
        <f t="shared" si="8"/>
        <v>42335</v>
      </c>
      <c r="E59" s="142" t="s">
        <v>1274</v>
      </c>
      <c r="F59" s="145">
        <f t="shared" si="2"/>
        <v>101340000</v>
      </c>
      <c r="G59" s="143" t="s">
        <v>370</v>
      </c>
      <c r="H59" s="178">
        <v>22520</v>
      </c>
      <c r="I59" s="180"/>
      <c r="J59" s="180">
        <v>4500</v>
      </c>
      <c r="K59" s="181">
        <f t="shared" si="3"/>
        <v>94.590000000150212</v>
      </c>
      <c r="L59" s="145"/>
    </row>
    <row r="60" spans="1:12" s="125" customFormat="1" ht="18.75" customHeight="1">
      <c r="A60" s="125">
        <f t="shared" si="4"/>
        <v>12</v>
      </c>
      <c r="B60" s="140">
        <v>42339</v>
      </c>
      <c r="C60" s="141" t="s">
        <v>371</v>
      </c>
      <c r="D60" s="140">
        <v>42339</v>
      </c>
      <c r="E60" s="142" t="s">
        <v>677</v>
      </c>
      <c r="F60" s="145">
        <f t="shared" si="2"/>
        <v>1717513000</v>
      </c>
      <c r="G60" s="141" t="s">
        <v>36</v>
      </c>
      <c r="H60" s="178">
        <v>22510</v>
      </c>
      <c r="I60" s="180">
        <v>76300</v>
      </c>
      <c r="J60" s="180"/>
      <c r="K60" s="181">
        <f t="shared" si="3"/>
        <v>76394.590000000157</v>
      </c>
      <c r="L60" s="145"/>
    </row>
    <row r="61" spans="1:12" s="125" customFormat="1" ht="18.75" customHeight="1">
      <c r="A61" s="125">
        <f t="shared" si="4"/>
        <v>12</v>
      </c>
      <c r="B61" s="140">
        <v>42339</v>
      </c>
      <c r="C61" s="141" t="s">
        <v>368</v>
      </c>
      <c r="D61" s="140">
        <v>42339</v>
      </c>
      <c r="E61" s="142" t="s">
        <v>1380</v>
      </c>
      <c r="F61" s="145">
        <f t="shared" si="2"/>
        <v>1717513000</v>
      </c>
      <c r="G61" s="141" t="s">
        <v>438</v>
      </c>
      <c r="H61" s="178">
        <v>22510</v>
      </c>
      <c r="I61" s="180"/>
      <c r="J61" s="180">
        <v>76300</v>
      </c>
      <c r="K61" s="181">
        <f t="shared" si="3"/>
        <v>94.590000000156579</v>
      </c>
      <c r="L61" s="145"/>
    </row>
    <row r="62" spans="1:12" s="125" customFormat="1" ht="18.75" customHeight="1">
      <c r="A62" s="125">
        <f t="shared" si="4"/>
        <v>12</v>
      </c>
      <c r="B62" s="140">
        <v>42345</v>
      </c>
      <c r="C62" s="141" t="s">
        <v>371</v>
      </c>
      <c r="D62" s="140">
        <v>42345</v>
      </c>
      <c r="E62" s="142" t="s">
        <v>436</v>
      </c>
      <c r="F62" s="145">
        <f t="shared" si="2"/>
        <v>886500000</v>
      </c>
      <c r="G62" s="141" t="s">
        <v>370</v>
      </c>
      <c r="H62" s="178">
        <v>22500</v>
      </c>
      <c r="I62" s="180">
        <v>39400</v>
      </c>
      <c r="J62" s="180"/>
      <c r="K62" s="181">
        <f t="shared" si="3"/>
        <v>39494.590000000157</v>
      </c>
      <c r="L62" s="145"/>
    </row>
    <row r="63" spans="1:12" s="125" customFormat="1" ht="18.75" customHeight="1">
      <c r="A63" s="125">
        <f t="shared" si="4"/>
        <v>12</v>
      </c>
      <c r="B63" s="140">
        <v>42345</v>
      </c>
      <c r="C63" s="141" t="s">
        <v>371</v>
      </c>
      <c r="D63" s="140">
        <v>42345</v>
      </c>
      <c r="E63" s="142" t="s">
        <v>677</v>
      </c>
      <c r="F63" s="145">
        <f t="shared" si="2"/>
        <v>508274000</v>
      </c>
      <c r="G63" s="141" t="s">
        <v>36</v>
      </c>
      <c r="H63" s="178">
        <v>22490</v>
      </c>
      <c r="I63" s="180">
        <v>22600</v>
      </c>
      <c r="J63" s="180"/>
      <c r="K63" s="181">
        <f t="shared" si="3"/>
        <v>62094.590000000157</v>
      </c>
      <c r="L63" s="145"/>
    </row>
    <row r="64" spans="1:12" s="125" customFormat="1" ht="18.75" customHeight="1">
      <c r="A64" s="125">
        <f t="shared" si="4"/>
        <v>12</v>
      </c>
      <c r="B64" s="140">
        <v>42345</v>
      </c>
      <c r="C64" s="141" t="s">
        <v>368</v>
      </c>
      <c r="D64" s="140">
        <v>42345</v>
      </c>
      <c r="E64" s="142" t="s">
        <v>1381</v>
      </c>
      <c r="F64" s="145">
        <f t="shared" si="2"/>
        <v>1395620000</v>
      </c>
      <c r="G64" s="141" t="s">
        <v>438</v>
      </c>
      <c r="H64" s="178">
        <v>22510</v>
      </c>
      <c r="I64" s="180"/>
      <c r="J64" s="180">
        <v>62000</v>
      </c>
      <c r="K64" s="181">
        <f t="shared" si="3"/>
        <v>94.590000000156579</v>
      </c>
      <c r="L64" s="145"/>
    </row>
    <row r="65" spans="1:12" s="125" customFormat="1" ht="18.75" customHeight="1">
      <c r="A65" s="125">
        <f t="shared" si="4"/>
        <v>12</v>
      </c>
      <c r="B65" s="140">
        <v>42346</v>
      </c>
      <c r="C65" s="141" t="s">
        <v>371</v>
      </c>
      <c r="D65" s="140">
        <v>42346</v>
      </c>
      <c r="E65" s="142" t="s">
        <v>480</v>
      </c>
      <c r="F65" s="145">
        <f t="shared" si="2"/>
        <v>261223276</v>
      </c>
      <c r="G65" s="141" t="s">
        <v>442</v>
      </c>
      <c r="H65" s="178">
        <v>22460</v>
      </c>
      <c r="I65" s="180">
        <v>11630.6</v>
      </c>
      <c r="J65" s="180"/>
      <c r="K65" s="181">
        <f t="shared" si="3"/>
        <v>11725.190000000157</v>
      </c>
      <c r="L65" s="145"/>
    </row>
    <row r="66" spans="1:12" s="125" customFormat="1" ht="18.75" customHeight="1">
      <c r="A66" s="125">
        <f t="shared" si="4"/>
        <v>12</v>
      </c>
      <c r="B66" s="140">
        <v>42346</v>
      </c>
      <c r="C66" s="141" t="s">
        <v>371</v>
      </c>
      <c r="D66" s="140">
        <v>42346</v>
      </c>
      <c r="E66" s="142" t="s">
        <v>677</v>
      </c>
      <c r="F66" s="145">
        <f t="shared" si="2"/>
        <v>478398000</v>
      </c>
      <c r="G66" s="143" t="s">
        <v>36</v>
      </c>
      <c r="H66" s="178">
        <v>22460</v>
      </c>
      <c r="I66" s="180">
        <v>21300</v>
      </c>
      <c r="J66" s="180"/>
      <c r="K66" s="181">
        <f t="shared" si="3"/>
        <v>33025.190000000155</v>
      </c>
      <c r="L66" s="145"/>
    </row>
    <row r="67" spans="1:12" s="125" customFormat="1" ht="18.75" customHeight="1">
      <c r="A67" s="125">
        <f t="shared" si="4"/>
        <v>12</v>
      </c>
      <c r="B67" s="140">
        <v>42346</v>
      </c>
      <c r="C67" s="141" t="s">
        <v>368</v>
      </c>
      <c r="D67" s="140">
        <v>42346</v>
      </c>
      <c r="E67" s="142" t="s">
        <v>1390</v>
      </c>
      <c r="F67" s="145">
        <f t="shared" si="2"/>
        <v>478398000</v>
      </c>
      <c r="G67" s="141" t="s">
        <v>36</v>
      </c>
      <c r="H67" s="178">
        <v>22460</v>
      </c>
      <c r="I67" s="180"/>
      <c r="J67" s="180">
        <v>21300</v>
      </c>
      <c r="K67" s="181">
        <f t="shared" si="3"/>
        <v>11725.190000000155</v>
      </c>
      <c r="L67" s="145"/>
    </row>
    <row r="68" spans="1:12" s="125" customFormat="1" ht="18.75" customHeight="1">
      <c r="A68" s="125">
        <f t="shared" si="4"/>
        <v>12</v>
      </c>
      <c r="B68" s="140">
        <v>42347</v>
      </c>
      <c r="C68" s="141" t="s">
        <v>371</v>
      </c>
      <c r="D68" s="140">
        <v>42347</v>
      </c>
      <c r="E68" s="142" t="s">
        <v>677</v>
      </c>
      <c r="F68" s="145">
        <f t="shared" si="2"/>
        <v>478611000</v>
      </c>
      <c r="G68" s="143" t="s">
        <v>36</v>
      </c>
      <c r="H68" s="178">
        <v>22470</v>
      </c>
      <c r="I68" s="180">
        <v>21300</v>
      </c>
      <c r="J68" s="180"/>
      <c r="K68" s="181">
        <f t="shared" si="3"/>
        <v>33025.190000000155</v>
      </c>
      <c r="L68" s="145"/>
    </row>
    <row r="69" spans="1:12" s="125" customFormat="1" ht="18.75" customHeight="1">
      <c r="A69" s="125">
        <f t="shared" si="4"/>
        <v>12</v>
      </c>
      <c r="B69" s="140">
        <v>42347</v>
      </c>
      <c r="C69" s="141" t="s">
        <v>368</v>
      </c>
      <c r="D69" s="140">
        <v>42347</v>
      </c>
      <c r="E69" s="142" t="s">
        <v>1382</v>
      </c>
      <c r="F69" s="145">
        <f t="shared" si="2"/>
        <v>741510000</v>
      </c>
      <c r="G69" s="141" t="s">
        <v>438</v>
      </c>
      <c r="H69" s="178">
        <v>22470</v>
      </c>
      <c r="I69" s="180"/>
      <c r="J69" s="180">
        <v>33000</v>
      </c>
      <c r="K69" s="181">
        <f t="shared" si="3"/>
        <v>25.190000000155123</v>
      </c>
      <c r="L69" s="145"/>
    </row>
    <row r="70" spans="1:12" s="125" customFormat="1" ht="18.75" customHeight="1">
      <c r="A70" s="125">
        <f t="shared" si="4"/>
        <v>12</v>
      </c>
      <c r="B70" s="140">
        <v>42362</v>
      </c>
      <c r="C70" s="141" t="s">
        <v>371</v>
      </c>
      <c r="D70" s="140">
        <v>42362</v>
      </c>
      <c r="E70" s="142" t="s">
        <v>436</v>
      </c>
      <c r="F70" s="145">
        <f t="shared" si="2"/>
        <v>981741200</v>
      </c>
      <c r="G70" s="143" t="s">
        <v>370</v>
      </c>
      <c r="H70" s="178">
        <v>22517</v>
      </c>
      <c r="I70" s="180">
        <v>43600</v>
      </c>
      <c r="J70" s="180"/>
      <c r="K70" s="181">
        <f t="shared" si="3"/>
        <v>43625.190000000155</v>
      </c>
      <c r="L70" s="145"/>
    </row>
    <row r="71" spans="1:12" s="125" customFormat="1" ht="18.75" customHeight="1">
      <c r="A71" s="125">
        <f t="shared" si="4"/>
        <v>12</v>
      </c>
      <c r="B71" s="140">
        <v>42362</v>
      </c>
      <c r="C71" s="141" t="s">
        <v>368</v>
      </c>
      <c r="D71" s="140">
        <v>42362</v>
      </c>
      <c r="E71" s="142" t="s">
        <v>1383</v>
      </c>
      <c r="F71" s="145">
        <f t="shared" si="2"/>
        <v>979692000</v>
      </c>
      <c r="G71" s="143" t="s">
        <v>438</v>
      </c>
      <c r="H71" s="178">
        <v>22470</v>
      </c>
      <c r="I71" s="180"/>
      <c r="J71" s="180">
        <v>43600</v>
      </c>
      <c r="K71" s="181">
        <f t="shared" si="3"/>
        <v>25.190000000155123</v>
      </c>
      <c r="L71" s="145"/>
    </row>
    <row r="72" spans="1:12" s="125" customFormat="1" ht="18.75" customHeight="1">
      <c r="A72" s="125">
        <f t="shared" si="4"/>
        <v>12</v>
      </c>
      <c r="B72" s="140">
        <v>42368</v>
      </c>
      <c r="C72" s="141" t="s">
        <v>371</v>
      </c>
      <c r="D72" s="140">
        <v>42368</v>
      </c>
      <c r="E72" s="142" t="s">
        <v>1384</v>
      </c>
      <c r="F72" s="145">
        <f t="shared" si="2"/>
        <v>1358262211.2</v>
      </c>
      <c r="G72" s="143" t="s">
        <v>442</v>
      </c>
      <c r="H72" s="178">
        <v>22460</v>
      </c>
      <c r="I72" s="180">
        <v>60474.720000000001</v>
      </c>
      <c r="J72" s="180"/>
      <c r="K72" s="181">
        <f t="shared" si="3"/>
        <v>60499.910000000156</v>
      </c>
      <c r="L72" s="145"/>
    </row>
    <row r="73" spans="1:12" s="125" customFormat="1" ht="18.75" customHeight="1">
      <c r="A73" s="125">
        <f t="shared" si="4"/>
        <v>12</v>
      </c>
      <c r="B73" s="140">
        <v>42368</v>
      </c>
      <c r="C73" s="141" t="s">
        <v>368</v>
      </c>
      <c r="D73" s="140">
        <v>42368</v>
      </c>
      <c r="E73" s="142" t="s">
        <v>1385</v>
      </c>
      <c r="F73" s="145">
        <f t="shared" si="2"/>
        <v>1356584000</v>
      </c>
      <c r="G73" s="143" t="s">
        <v>36</v>
      </c>
      <c r="H73" s="178">
        <v>22460</v>
      </c>
      <c r="I73" s="180"/>
      <c r="J73" s="180">
        <v>60400</v>
      </c>
      <c r="K73" s="181">
        <f t="shared" si="3"/>
        <v>99.910000000156288</v>
      </c>
      <c r="L73" s="145"/>
    </row>
    <row r="74" spans="1:12" s="125" customFormat="1" ht="18.75" customHeight="1">
      <c r="A74" s="125">
        <f t="shared" si="4"/>
        <v>12</v>
      </c>
      <c r="B74" s="140">
        <v>42368</v>
      </c>
      <c r="C74" s="141" t="s">
        <v>371</v>
      </c>
      <c r="D74" s="140">
        <v>42368</v>
      </c>
      <c r="E74" s="142" t="s">
        <v>817</v>
      </c>
      <c r="F74" s="145">
        <f t="shared" si="2"/>
        <v>2195248485.5999999</v>
      </c>
      <c r="G74" s="141" t="s">
        <v>442</v>
      </c>
      <c r="H74" s="178">
        <v>22460</v>
      </c>
      <c r="I74" s="180">
        <v>97740.36</v>
      </c>
      <c r="J74" s="180"/>
      <c r="K74" s="181">
        <f t="shared" si="3"/>
        <v>97840.270000000164</v>
      </c>
      <c r="L74" s="145"/>
    </row>
    <row r="75" spans="1:12" s="159" customFormat="1" ht="18.75" customHeight="1">
      <c r="A75" s="125" t="str">
        <f t="shared" ref="A75" si="9">IF(B75&lt;&gt;"",MONTH(B75),"")</f>
        <v/>
      </c>
      <c r="B75" s="183"/>
      <c r="C75" s="182"/>
      <c r="D75" s="183"/>
      <c r="E75" s="184"/>
      <c r="F75" s="184"/>
      <c r="G75" s="182"/>
      <c r="H75" s="185"/>
      <c r="I75" s="229"/>
      <c r="J75" s="229"/>
      <c r="K75" s="187"/>
      <c r="L75" s="230"/>
    </row>
    <row r="76" spans="1:12" s="167" customFormat="1" ht="18.75" customHeight="1">
      <c r="B76" s="188"/>
      <c r="C76" s="189"/>
      <c r="D76" s="190"/>
      <c r="E76" s="173" t="s">
        <v>29</v>
      </c>
      <c r="F76" s="173"/>
      <c r="G76" s="190"/>
      <c r="H76" s="191"/>
      <c r="I76" s="207">
        <f>SUM(I12:I75)</f>
        <v>1037118.7799999999</v>
      </c>
      <c r="J76" s="207">
        <f>SUM(J12:J75)</f>
        <v>941223.06</v>
      </c>
      <c r="K76" s="176">
        <f>K11+I76-J76</f>
        <v>97840.270000000019</v>
      </c>
      <c r="L76" s="190"/>
    </row>
    <row r="77" spans="1:12" s="167" customFormat="1" ht="18.75" customHeight="1">
      <c r="B77" s="188"/>
      <c r="C77" s="189"/>
      <c r="D77" s="190"/>
      <c r="E77" s="173" t="s">
        <v>431</v>
      </c>
      <c r="F77" s="173"/>
      <c r="G77" s="190"/>
      <c r="H77" s="191"/>
      <c r="I77" s="173"/>
      <c r="J77" s="173"/>
      <c r="K77" s="176">
        <f>K76</f>
        <v>97840.270000000019</v>
      </c>
      <c r="L77" s="190"/>
    </row>
    <row r="78" spans="1:12" s="167" customFormat="1" ht="22.5" customHeight="1">
      <c r="B78" s="208" t="s">
        <v>432</v>
      </c>
      <c r="C78" s="209"/>
      <c r="H78" s="210"/>
      <c r="K78" s="211"/>
    </row>
    <row r="79" spans="1:12" s="167" customFormat="1" ht="12.75">
      <c r="B79" s="212" t="s">
        <v>1387</v>
      </c>
      <c r="C79" s="213"/>
      <c r="H79" s="210"/>
      <c r="K79" s="211"/>
    </row>
    <row r="80" spans="1:12" s="167" customFormat="1" ht="12.75">
      <c r="B80" s="214"/>
      <c r="C80" s="215"/>
      <c r="D80" s="216"/>
      <c r="H80" s="210"/>
      <c r="J80" s="505" t="s">
        <v>1386</v>
      </c>
      <c r="K80" s="505"/>
      <c r="L80" s="505"/>
    </row>
    <row r="81" spans="2:13" s="167" customFormat="1" ht="17.25" customHeight="1">
      <c r="B81" s="503" t="s">
        <v>33</v>
      </c>
      <c r="C81" s="503"/>
      <c r="D81" s="215"/>
      <c r="G81" s="217" t="s">
        <v>13</v>
      </c>
      <c r="H81" s="218"/>
      <c r="I81" s="217"/>
      <c r="J81" s="215"/>
      <c r="K81" s="231" t="s">
        <v>14</v>
      </c>
      <c r="L81" s="219"/>
      <c r="M81" s="214"/>
    </row>
    <row r="82" spans="2:13" s="167" customFormat="1" ht="12.75">
      <c r="B82" s="504" t="s">
        <v>15</v>
      </c>
      <c r="C82" s="504"/>
      <c r="D82" s="221"/>
      <c r="G82" s="220" t="s">
        <v>15</v>
      </c>
      <c r="H82" s="222"/>
      <c r="I82" s="220"/>
      <c r="J82" s="505" t="s">
        <v>16</v>
      </c>
      <c r="K82" s="505"/>
      <c r="L82" s="505"/>
      <c r="M82" s="223"/>
    </row>
  </sheetData>
  <autoFilter ref="B10:N82"/>
  <mergeCells count="19"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  <mergeCell ref="B81:C81"/>
    <mergeCell ref="B82:C82"/>
    <mergeCell ref="J82:L82"/>
    <mergeCell ref="G8:G9"/>
    <mergeCell ref="J1:L1"/>
    <mergeCell ref="B2:E3"/>
    <mergeCell ref="J2:L2"/>
    <mergeCell ref="J3:L3"/>
    <mergeCell ref="J80:L80"/>
  </mergeCells>
  <phoneticPr fontId="54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indexed="47"/>
  </sheetPr>
  <dimension ref="A1:M111"/>
  <sheetViews>
    <sheetView topLeftCell="A5" zoomScaleNormal="100" workbookViewId="0">
      <pane ySplit="7" topLeftCell="A12" activePane="bottomLeft" state="frozen"/>
      <selection activeCell="A5" sqref="A5"/>
      <selection pane="bottomLeft" activeCell="O18" sqref="O18"/>
    </sheetView>
  </sheetViews>
  <sheetFormatPr defaultRowHeight="15.75"/>
  <cols>
    <col min="1" max="1" width="8.5703125" style="268" customWidth="1"/>
    <col min="2" max="2" width="6" style="269" customWidth="1"/>
    <col min="3" max="3" width="8.85546875" style="268" customWidth="1"/>
    <col min="4" max="4" width="42.28515625" style="270" customWidth="1"/>
    <col min="5" max="5" width="6.42578125" style="271" customWidth="1"/>
    <col min="6" max="6" width="14.5703125" style="272" customWidth="1"/>
    <col min="7" max="7" width="14.28515625" style="272" customWidth="1"/>
    <col min="8" max="8" width="13.42578125" style="272" customWidth="1"/>
    <col min="9" max="9" width="8" style="272" customWidth="1"/>
    <col min="10" max="10" width="1.42578125" style="272" customWidth="1"/>
    <col min="11" max="11" width="5.7109375" style="272" customWidth="1"/>
    <col min="12" max="12" width="2.85546875" style="272" customWidth="1"/>
    <col min="13" max="13" width="10.5703125" style="272" customWidth="1"/>
    <col min="14" max="14" width="3.140625" style="272" customWidth="1"/>
    <col min="15" max="16384" width="9.140625" style="272"/>
  </cols>
  <sheetData>
    <row r="1" spans="1:13" s="238" customFormat="1" ht="16.5" customHeight="1">
      <c r="A1" s="232" t="s">
        <v>350</v>
      </c>
      <c r="B1" s="233"/>
      <c r="C1" s="234"/>
      <c r="D1" s="235"/>
      <c r="E1" s="236"/>
      <c r="F1" s="518" t="s">
        <v>486</v>
      </c>
      <c r="G1" s="518"/>
      <c r="H1" s="518"/>
      <c r="I1" s="518"/>
      <c r="J1" s="237"/>
    </row>
    <row r="2" spans="1:13" s="238" customFormat="1" ht="16.5" customHeight="1">
      <c r="A2" s="267" t="s">
        <v>352</v>
      </c>
      <c r="B2" s="422"/>
      <c r="C2" s="422"/>
      <c r="D2" s="422"/>
      <c r="E2" s="236"/>
      <c r="F2" s="519" t="s">
        <v>487</v>
      </c>
      <c r="G2" s="519"/>
      <c r="H2" s="519"/>
      <c r="I2" s="519"/>
      <c r="J2" s="239"/>
    </row>
    <row r="3" spans="1:13" s="238" customFormat="1" ht="16.5" customHeight="1">
      <c r="A3" s="422"/>
      <c r="B3" s="422"/>
      <c r="C3" s="422"/>
      <c r="D3" s="422"/>
      <c r="E3" s="236"/>
      <c r="F3" s="519" t="s">
        <v>174</v>
      </c>
      <c r="G3" s="519"/>
      <c r="H3" s="519"/>
      <c r="I3" s="519"/>
      <c r="J3" s="239"/>
    </row>
    <row r="4" spans="1:13" s="238" customFormat="1" ht="19.5" customHeight="1">
      <c r="A4" s="521" t="s">
        <v>355</v>
      </c>
      <c r="B4" s="521"/>
      <c r="C4" s="521"/>
      <c r="D4" s="521"/>
      <c r="E4" s="521"/>
      <c r="F4" s="521"/>
      <c r="G4" s="521"/>
      <c r="H4" s="521"/>
      <c r="I4" s="521"/>
      <c r="J4" s="254"/>
    </row>
    <row r="5" spans="1:13" s="238" customFormat="1" ht="15">
      <c r="A5" s="519" t="str">
        <f>"Nơi mở tài khoản giao dịch: Ngân Hàng Eximbank Quận "&amp;IF(M6="Q4",4,11)</f>
        <v>Nơi mở tài khoản giao dịch: Ngân Hàng Eximbank Quận 4</v>
      </c>
      <c r="B5" s="519"/>
      <c r="C5" s="519"/>
      <c r="D5" s="519"/>
      <c r="E5" s="519"/>
      <c r="F5" s="519"/>
      <c r="G5" s="519"/>
      <c r="H5" s="519"/>
      <c r="I5" s="519"/>
      <c r="J5" s="239"/>
      <c r="K5" s="237" t="s">
        <v>175</v>
      </c>
    </row>
    <row r="6" spans="1:13" s="238" customFormat="1" ht="15">
      <c r="A6" s="531" t="s">
        <v>488</v>
      </c>
      <c r="B6" s="531"/>
      <c r="C6" s="531"/>
      <c r="D6" s="531"/>
      <c r="E6" s="519" t="str">
        <f>IF($M$6="Q11","1015 148 5100 9180",IF($M$6="Q4","1402 148 5100 9465",""))</f>
        <v>1402 148 5100 9465</v>
      </c>
      <c r="F6" s="519"/>
      <c r="G6" s="240" t="s">
        <v>178</v>
      </c>
      <c r="I6" s="281"/>
      <c r="J6" s="241"/>
      <c r="K6" s="242">
        <v>12</v>
      </c>
      <c r="L6" s="243"/>
      <c r="M6" s="244" t="s">
        <v>1422</v>
      </c>
    </row>
    <row r="7" spans="1:13" s="238" customFormat="1" ht="5.25" customHeight="1">
      <c r="A7" s="245"/>
      <c r="B7" s="239"/>
      <c r="C7" s="245"/>
      <c r="D7" s="246"/>
      <c r="E7" s="247"/>
      <c r="F7" s="239"/>
      <c r="G7" s="239"/>
      <c r="H7" s="239"/>
      <c r="I7" s="239"/>
      <c r="J7" s="239"/>
    </row>
    <row r="8" spans="1:13" s="250" customFormat="1" ht="16.5" customHeight="1">
      <c r="A8" s="522" t="s">
        <v>358</v>
      </c>
      <c r="B8" s="524" t="s">
        <v>359</v>
      </c>
      <c r="C8" s="525"/>
      <c r="D8" s="527" t="s">
        <v>3</v>
      </c>
      <c r="E8" s="529" t="s">
        <v>22</v>
      </c>
      <c r="F8" s="526" t="s">
        <v>125</v>
      </c>
      <c r="G8" s="524"/>
      <c r="H8" s="525"/>
      <c r="I8" s="527" t="s">
        <v>4</v>
      </c>
      <c r="J8" s="276"/>
    </row>
    <row r="9" spans="1:13" s="250" customFormat="1" ht="24.75" customHeight="1">
      <c r="A9" s="523"/>
      <c r="B9" s="248" t="s">
        <v>360</v>
      </c>
      <c r="C9" s="251" t="s">
        <v>361</v>
      </c>
      <c r="D9" s="528"/>
      <c r="E9" s="530"/>
      <c r="F9" s="249" t="s">
        <v>362</v>
      </c>
      <c r="G9" s="249" t="s">
        <v>363</v>
      </c>
      <c r="H9" s="249" t="s">
        <v>364</v>
      </c>
      <c r="I9" s="528"/>
      <c r="J9" s="276"/>
    </row>
    <row r="10" spans="1:13" s="252" customFormat="1" ht="12">
      <c r="A10" s="282" t="s">
        <v>7</v>
      </c>
      <c r="B10" s="283" t="s">
        <v>8</v>
      </c>
      <c r="C10" s="282" t="s">
        <v>9</v>
      </c>
      <c r="D10" s="283" t="s">
        <v>10</v>
      </c>
      <c r="E10" s="284" t="s">
        <v>11</v>
      </c>
      <c r="F10" s="283">
        <v>1</v>
      </c>
      <c r="G10" s="283">
        <v>2</v>
      </c>
      <c r="H10" s="283">
        <v>3</v>
      </c>
      <c r="I10" s="283" t="s">
        <v>27</v>
      </c>
      <c r="J10" s="277"/>
    </row>
    <row r="11" spans="1:13" s="250" customFormat="1" ht="18" customHeight="1">
      <c r="A11" s="449"/>
      <c r="B11" s="450"/>
      <c r="C11" s="449"/>
      <c r="D11" s="451" t="s">
        <v>365</v>
      </c>
      <c r="E11" s="452"/>
      <c r="F11" s="453"/>
      <c r="G11" s="451"/>
      <c r="H11" s="453">
        <f ca="1">IF($M$6="Q11",funtion3,IF($M$6="Q4",funtion4,(funtion3+funtion4+109992)))</f>
        <v>14526879</v>
      </c>
      <c r="I11" s="451"/>
      <c r="J11" s="278"/>
    </row>
    <row r="12" spans="1:13" s="250" customFormat="1" ht="18" customHeight="1">
      <c r="A12" s="256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42339</v>
      </c>
      <c r="B12" s="256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256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42339</v>
      </c>
      <c r="D12" s="257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Nộp tiền vào TK VND</v>
      </c>
      <c r="E12" s="258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1111</v>
      </c>
      <c r="F12" s="259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50000000</v>
      </c>
      <c r="G12" s="259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60">
        <f t="shared" ref="H12:H43" ca="1" si="0">IF(A12&lt;&gt;"",ROUND(H11+F12-G12,0),"")</f>
        <v>64526879</v>
      </c>
      <c r="I12" s="260"/>
      <c r="J12" s="279"/>
    </row>
    <row r="13" spans="1:13" s="250" customFormat="1" ht="18" customHeight="1">
      <c r="A13" s="256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42339</v>
      </c>
      <c r="B13" s="256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GBC</v>
      </c>
      <c r="C13" s="256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42339</v>
      </c>
      <c r="D13" s="257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Chuyển VND - Q11</v>
      </c>
      <c r="E13" s="258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1121</v>
      </c>
      <c r="F13" s="259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40000000</v>
      </c>
      <c r="G13" s="259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0</v>
      </c>
      <c r="H13" s="260">
        <f t="shared" ca="1" si="0"/>
        <v>104526879</v>
      </c>
      <c r="I13" s="260"/>
      <c r="J13" s="279"/>
    </row>
    <row r="14" spans="1:13" s="250" customFormat="1" ht="18" customHeight="1">
      <c r="A14" s="256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42339</v>
      </c>
      <c r="B14" s="256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256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42339</v>
      </c>
      <c r="D14" s="257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Chuyển VND - Q11</v>
      </c>
      <c r="E14" s="258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1121</v>
      </c>
      <c r="F14" s="259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259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100000000</v>
      </c>
      <c r="H14" s="260">
        <f t="shared" ca="1" si="0"/>
        <v>4526879</v>
      </c>
      <c r="I14" s="260"/>
      <c r="J14" s="279"/>
    </row>
    <row r="15" spans="1:13" s="250" customFormat="1" ht="18" customHeight="1">
      <c r="A15" s="256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42339</v>
      </c>
      <c r="B15" s="256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GBN</v>
      </c>
      <c r="C15" s="256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42339</v>
      </c>
      <c r="D15" s="257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>Phí kiểm đếm</v>
      </c>
      <c r="E15" s="258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642</v>
      </c>
      <c r="F15" s="259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0</v>
      </c>
      <c r="G15" s="259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20000</v>
      </c>
      <c r="H15" s="260">
        <f t="shared" ca="1" si="0"/>
        <v>4506879</v>
      </c>
      <c r="I15" s="260"/>
      <c r="J15" s="279"/>
    </row>
    <row r="16" spans="1:13" s="250" customFormat="1" ht="18" customHeight="1">
      <c r="A16" s="256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42339</v>
      </c>
      <c r="B16" s="256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GBN</v>
      </c>
      <c r="C16" s="256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42339</v>
      </c>
      <c r="D16" s="257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VAT Phí kiểm đếm</v>
      </c>
      <c r="E16" s="258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1331</v>
      </c>
      <c r="F16" s="259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259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2000</v>
      </c>
      <c r="H16" s="260">
        <f t="shared" ca="1" si="0"/>
        <v>4504879</v>
      </c>
      <c r="I16" s="260"/>
      <c r="J16" s="279"/>
    </row>
    <row r="17" spans="1:10" s="250" customFormat="1" ht="18" customHeight="1">
      <c r="A17" s="256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42339</v>
      </c>
      <c r="B17" s="256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GBC</v>
      </c>
      <c r="C17" s="256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42339</v>
      </c>
      <c r="D17" s="257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Nộp tiền vào TK VND</v>
      </c>
      <c r="E17" s="258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1111</v>
      </c>
      <c r="F17" s="259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1725000000</v>
      </c>
      <c r="G17" s="259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260">
        <f t="shared" ca="1" si="0"/>
        <v>1729504879</v>
      </c>
      <c r="I17" s="260"/>
      <c r="J17" s="279"/>
    </row>
    <row r="18" spans="1:10" s="250" customFormat="1" ht="18" customHeight="1">
      <c r="A18" s="256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42339</v>
      </c>
      <c r="B18" s="256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256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42339</v>
      </c>
      <c r="D18" s="257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Mua ngoại tệ trả nợ vay</v>
      </c>
      <c r="E18" s="258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1122</v>
      </c>
      <c r="F18" s="259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59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1717513000</v>
      </c>
      <c r="H18" s="260">
        <f t="shared" ca="1" si="0"/>
        <v>11991879</v>
      </c>
      <c r="I18" s="260"/>
      <c r="J18" s="279"/>
    </row>
    <row r="19" spans="1:10" s="250" customFormat="1" ht="18" customHeight="1">
      <c r="A19" s="256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42339</v>
      </c>
      <c r="B19" s="256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256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42339</v>
      </c>
      <c r="D19" s="257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Lãi KU 1402LDS201501662</v>
      </c>
      <c r="E19" s="258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635</v>
      </c>
      <c r="F19" s="259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259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3341067</v>
      </c>
      <c r="H19" s="260">
        <f t="shared" ca="1" si="0"/>
        <v>8650812</v>
      </c>
      <c r="I19" s="260"/>
      <c r="J19" s="279"/>
    </row>
    <row r="20" spans="1:10" s="250" customFormat="1" ht="18" customHeight="1">
      <c r="A20" s="256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42340</v>
      </c>
      <c r="B20" s="256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GBC</v>
      </c>
      <c r="C20" s="256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42340</v>
      </c>
      <c r="D20" s="257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Vay KU 1402LDS201503829</v>
      </c>
      <c r="E20" s="258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3411</v>
      </c>
      <c r="F20" s="259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1595604500</v>
      </c>
      <c r="G20" s="259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260">
        <f t="shared" ca="1" si="0"/>
        <v>1604255312</v>
      </c>
      <c r="I20" s="260"/>
      <c r="J20" s="279"/>
    </row>
    <row r="21" spans="1:10" s="250" customFormat="1" ht="18" customHeight="1">
      <c r="A21" s="256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42340</v>
      </c>
      <c r="B21" s="256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256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42340</v>
      </c>
      <c r="D21" s="257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Rút tiền gửi NH nhập quỹ TM</v>
      </c>
      <c r="E21" s="258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1111</v>
      </c>
      <c r="F21" s="259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259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1600000000</v>
      </c>
      <c r="H21" s="260">
        <f t="shared" ca="1" si="0"/>
        <v>4255312</v>
      </c>
      <c r="I21" s="260"/>
      <c r="J21" s="279"/>
    </row>
    <row r="22" spans="1:10" s="250" customFormat="1" ht="18" customHeight="1">
      <c r="A22" s="256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42345</v>
      </c>
      <c r="B22" s="256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GBC</v>
      </c>
      <c r="C22" s="256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42345</v>
      </c>
      <c r="D22" s="257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Chuyển VND - Q11</v>
      </c>
      <c r="E22" s="258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1121</v>
      </c>
      <c r="F22" s="259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510000000</v>
      </c>
      <c r="G22" s="259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260">
        <f t="shared" ca="1" si="0"/>
        <v>514255312</v>
      </c>
      <c r="I22" s="260"/>
      <c r="J22" s="279"/>
    </row>
    <row r="23" spans="1:10" s="250" customFormat="1" ht="18" customHeight="1">
      <c r="A23" s="256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42345</v>
      </c>
      <c r="B23" s="256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256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42345</v>
      </c>
      <c r="D23" s="257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Mua ngoại tệ trả nợ vay</v>
      </c>
      <c r="E23" s="258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1122</v>
      </c>
      <c r="F23" s="259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259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508274000</v>
      </c>
      <c r="H23" s="260">
        <f t="shared" ca="1" si="0"/>
        <v>5981312</v>
      </c>
      <c r="I23" s="260"/>
      <c r="J23" s="279"/>
    </row>
    <row r="24" spans="1:10" s="250" customFormat="1" ht="18" customHeight="1">
      <c r="A24" s="256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42346</v>
      </c>
      <c r="B24" s="256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GBC</v>
      </c>
      <c r="C24" s="256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42346</v>
      </c>
      <c r="D24" s="257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Vay KU 1402LDS201503901</v>
      </c>
      <c r="E24" s="258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3411</v>
      </c>
      <c r="F24" s="259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1392210000</v>
      </c>
      <c r="G24" s="259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0</v>
      </c>
      <c r="H24" s="260">
        <f t="shared" ca="1" si="0"/>
        <v>1398191312</v>
      </c>
      <c r="I24" s="260"/>
      <c r="J24" s="279"/>
    </row>
    <row r="25" spans="1:10" s="250" customFormat="1" ht="18" customHeight="1">
      <c r="A25" s="256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42346</v>
      </c>
      <c r="B25" s="256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GBN</v>
      </c>
      <c r="C25" s="256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42346</v>
      </c>
      <c r="D25" s="257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Mua ngoại tệ trả nợ vay</v>
      </c>
      <c r="E25" s="258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1122</v>
      </c>
      <c r="F25" s="259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259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478398000</v>
      </c>
      <c r="H25" s="260">
        <f t="shared" ca="1" si="0"/>
        <v>919793312</v>
      </c>
      <c r="I25" s="260"/>
      <c r="J25" s="279"/>
    </row>
    <row r="26" spans="1:10" s="250" customFormat="1" ht="18" customHeight="1">
      <c r="A26" s="256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42346</v>
      </c>
      <c r="B26" s="256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GBC</v>
      </c>
      <c r="C26" s="256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42346</v>
      </c>
      <c r="D26" s="257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Hủy bút toán mua NT</v>
      </c>
      <c r="E26" s="258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1122</v>
      </c>
      <c r="F26" s="259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478398000</v>
      </c>
      <c r="G26" s="259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0</v>
      </c>
      <c r="H26" s="260">
        <f t="shared" ca="1" si="0"/>
        <v>1398191312</v>
      </c>
      <c r="I26" s="260"/>
      <c r="J26" s="279"/>
    </row>
    <row r="27" spans="1:10" s="250" customFormat="1" ht="18" customHeight="1">
      <c r="A27" s="256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42347</v>
      </c>
      <c r="B27" s="256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256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42347</v>
      </c>
      <c r="D27" s="257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Rút tiền gửi NH nhập quỹ TM</v>
      </c>
      <c r="E27" s="258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1111</v>
      </c>
      <c r="F27" s="259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259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1390000000</v>
      </c>
      <c r="H27" s="260">
        <f t="shared" ca="1" si="0"/>
        <v>8191312</v>
      </c>
      <c r="I27" s="260"/>
      <c r="J27" s="279"/>
    </row>
    <row r="28" spans="1:10" s="250" customFormat="1" ht="18" customHeight="1">
      <c r="A28" s="256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42347</v>
      </c>
      <c r="B28" s="256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GBC</v>
      </c>
      <c r="C28" s="256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42347</v>
      </c>
      <c r="D28" s="257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Nộp tiền vào TK VND</v>
      </c>
      <c r="E28" s="258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1111</v>
      </c>
      <c r="F28" s="259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480000000</v>
      </c>
      <c r="G28" s="259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0</v>
      </c>
      <c r="H28" s="260">
        <f t="shared" ca="1" si="0"/>
        <v>488191312</v>
      </c>
      <c r="I28" s="260"/>
      <c r="J28" s="279"/>
    </row>
    <row r="29" spans="1:10" s="250" customFormat="1" ht="18" customHeight="1">
      <c r="A29" s="256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42347</v>
      </c>
      <c r="B29" s="256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256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42347</v>
      </c>
      <c r="D29" s="257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Mua ngoại tệ trả nợ vay</v>
      </c>
      <c r="E29" s="258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1122</v>
      </c>
      <c r="F29" s="259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259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478611000</v>
      </c>
      <c r="H29" s="260">
        <f t="shared" ca="1" si="0"/>
        <v>9580312</v>
      </c>
      <c r="I29" s="260"/>
      <c r="J29" s="279"/>
    </row>
    <row r="30" spans="1:10" s="250" customFormat="1" ht="18" customHeight="1">
      <c r="A30" s="256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42347</v>
      </c>
      <c r="B30" s="256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GBN</v>
      </c>
      <c r="C30" s="256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42347</v>
      </c>
      <c r="D30" s="257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Trả lãi KU 1402LDS201501740</v>
      </c>
      <c r="E30" s="258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635</v>
      </c>
      <c r="F30" s="259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259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5831216</v>
      </c>
      <c r="H30" s="260">
        <f t="shared" ca="1" si="0"/>
        <v>3749096</v>
      </c>
      <c r="I30" s="260"/>
      <c r="J30" s="279"/>
    </row>
    <row r="31" spans="1:10" s="250" customFormat="1" ht="18" customHeight="1">
      <c r="A31" s="256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42348</v>
      </c>
      <c r="B31" s="256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GBC</v>
      </c>
      <c r="C31" s="256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42348</v>
      </c>
      <c r="D31" s="257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Vay KU 1402LDS201503946</v>
      </c>
      <c r="E31" s="258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3411</v>
      </c>
      <c r="F31" s="259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741675000</v>
      </c>
      <c r="G31" s="259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0</v>
      </c>
      <c r="H31" s="260">
        <f t="shared" ca="1" si="0"/>
        <v>745424096</v>
      </c>
      <c r="I31" s="260"/>
      <c r="J31" s="279"/>
    </row>
    <row r="32" spans="1:10" s="250" customFormat="1" ht="18" customHeight="1">
      <c r="A32" s="256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42349</v>
      </c>
      <c r="B32" s="256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256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42349</v>
      </c>
      <c r="D32" s="257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Rút tiền gửi NH nhập quỹ TM</v>
      </c>
      <c r="E32" s="258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1111</v>
      </c>
      <c r="F32" s="259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59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745000000</v>
      </c>
      <c r="H32" s="260">
        <f t="shared" ca="1" si="0"/>
        <v>424096</v>
      </c>
      <c r="I32" s="260"/>
      <c r="J32" s="279"/>
    </row>
    <row r="33" spans="1:10" s="250" customFormat="1" ht="18" customHeight="1">
      <c r="A33" s="256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42353</v>
      </c>
      <c r="B33" s="256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GBC</v>
      </c>
      <c r="C33" s="256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42353</v>
      </c>
      <c r="D33" s="257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Chuyển VND - Q11</v>
      </c>
      <c r="E33" s="258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1121</v>
      </c>
      <c r="F33" s="259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10000000</v>
      </c>
      <c r="G33" s="259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0</v>
      </c>
      <c r="H33" s="260">
        <f t="shared" ca="1" si="0"/>
        <v>10424096</v>
      </c>
      <c r="I33" s="260"/>
      <c r="J33" s="279"/>
    </row>
    <row r="34" spans="1:10" s="250" customFormat="1" ht="18" customHeight="1">
      <c r="A34" s="256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42353</v>
      </c>
      <c r="B34" s="256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256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42353</v>
      </c>
      <c r="D34" s="257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Trả lãi KU 1402LDS201502032</v>
      </c>
      <c r="E34" s="258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635</v>
      </c>
      <c r="F34" s="259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59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3276756</v>
      </c>
      <c r="H34" s="260">
        <f t="shared" ca="1" si="0"/>
        <v>7147340</v>
      </c>
      <c r="I34" s="260"/>
      <c r="J34" s="279"/>
    </row>
    <row r="35" spans="1:10" s="250" customFormat="1" ht="18" customHeight="1">
      <c r="A35" s="256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42353</v>
      </c>
      <c r="B35" s="256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256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42353</v>
      </c>
      <c r="D35" s="257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Trả lãi KU 1402LDS201502638</v>
      </c>
      <c r="E35" s="258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635</v>
      </c>
      <c r="F35" s="259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259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3930619</v>
      </c>
      <c r="H35" s="260">
        <f t="shared" ca="1" si="0"/>
        <v>3216721</v>
      </c>
      <c r="I35" s="260"/>
      <c r="J35" s="279"/>
    </row>
    <row r="36" spans="1:10" s="250" customFormat="1" ht="18" customHeight="1">
      <c r="A36" s="256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42362</v>
      </c>
      <c r="B36" s="256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GBN</v>
      </c>
      <c r="C36" s="256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42362</v>
      </c>
      <c r="D36" s="257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Trả lãi KU 1402LDS201502032</v>
      </c>
      <c r="E36" s="258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635</v>
      </c>
      <c r="F36" s="259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0</v>
      </c>
      <c r="G36" s="259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983049</v>
      </c>
      <c r="H36" s="260">
        <f t="shared" ca="1" si="0"/>
        <v>2233672</v>
      </c>
      <c r="I36" s="260"/>
      <c r="J36" s="279"/>
    </row>
    <row r="37" spans="1:10" s="250" customFormat="1" ht="18" customHeight="1">
      <c r="A37" s="256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42362</v>
      </c>
      <c r="B37" s="256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GBC</v>
      </c>
      <c r="C37" s="256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42362</v>
      </c>
      <c r="D37" s="257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Lãi tiền gửi</v>
      </c>
      <c r="E37" s="258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515</v>
      </c>
      <c r="F37" s="259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18778</v>
      </c>
      <c r="G37" s="259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0</v>
      </c>
      <c r="H37" s="260">
        <f t="shared" ca="1" si="0"/>
        <v>2252450</v>
      </c>
      <c r="I37" s="260"/>
      <c r="J37" s="279"/>
    </row>
    <row r="38" spans="1:10" s="250" customFormat="1" ht="18" customHeight="1">
      <c r="A38" s="256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42363</v>
      </c>
      <c r="B38" s="256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GBC</v>
      </c>
      <c r="C38" s="256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42363</v>
      </c>
      <c r="D38" s="257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Vay KU 1402LDS201504121</v>
      </c>
      <c r="E38" s="258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3411</v>
      </c>
      <c r="F38" s="259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968790000</v>
      </c>
      <c r="G38" s="259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0</v>
      </c>
      <c r="H38" s="260">
        <f t="shared" ca="1" si="0"/>
        <v>971042450</v>
      </c>
      <c r="I38" s="260"/>
      <c r="J38" s="279"/>
    </row>
    <row r="39" spans="1:10" s="250" customFormat="1" ht="18" customHeight="1">
      <c r="A39" s="256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42363</v>
      </c>
      <c r="B39" s="256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256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42363</v>
      </c>
      <c r="D39" s="257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Rút tiền gửi NH nhập quỹ TM</v>
      </c>
      <c r="E39" s="258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1111</v>
      </c>
      <c r="F39" s="259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59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970000000</v>
      </c>
      <c r="H39" s="260">
        <f t="shared" ca="1" si="0"/>
        <v>1042450</v>
      </c>
      <c r="I39" s="260"/>
      <c r="J39" s="279"/>
    </row>
    <row r="40" spans="1:10" s="250" customFormat="1" ht="18" customHeight="1">
      <c r="A40" s="256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42368</v>
      </c>
      <c r="B40" s="256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GBC</v>
      </c>
      <c r="C40" s="256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42368</v>
      </c>
      <c r="D40" s="257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Bán NT chuyển TK VND</v>
      </c>
      <c r="E40" s="258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1122</v>
      </c>
      <c r="F40" s="259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1356584000</v>
      </c>
      <c r="G40" s="259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260">
        <f t="shared" ca="1" si="0"/>
        <v>1357626450</v>
      </c>
      <c r="I40" s="260"/>
      <c r="J40" s="279"/>
    </row>
    <row r="41" spans="1:10" s="250" customFormat="1" ht="18" customHeight="1">
      <c r="A41" s="256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42368</v>
      </c>
      <c r="B41" s="256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GBN</v>
      </c>
      <c r="C41" s="256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42368</v>
      </c>
      <c r="D41" s="257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Rút tiền gửi NH nhập quỹ TM</v>
      </c>
      <c r="E41" s="258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1111</v>
      </c>
      <c r="F41" s="259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259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1350000000</v>
      </c>
      <c r="H41" s="260">
        <f t="shared" ca="1" si="0"/>
        <v>7626450</v>
      </c>
      <c r="I41" s="260"/>
      <c r="J41" s="279"/>
    </row>
    <row r="42" spans="1:10" s="250" customFormat="1" ht="18" customHeight="1">
      <c r="A42" s="256" t="str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/>
      </c>
      <c r="B42" s="256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/>
      </c>
      <c r="C42" s="256" t="str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/>
      </c>
      <c r="D42" s="257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/>
      </c>
      <c r="E42" s="258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/>
      </c>
      <c r="F42" s="259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59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0</v>
      </c>
      <c r="H42" s="260" t="str">
        <f t="shared" ca="1" si="0"/>
        <v/>
      </c>
      <c r="I42" s="260"/>
      <c r="J42" s="279"/>
    </row>
    <row r="43" spans="1:10" s="250" customFormat="1" ht="18" customHeight="1">
      <c r="A43" s="256" t="str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/>
      </c>
      <c r="B43" s="256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/>
      </c>
      <c r="C43" s="256" t="str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/>
      </c>
      <c r="D43" s="257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/>
      </c>
      <c r="E43" s="258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/>
      </c>
      <c r="F43" s="259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59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0</v>
      </c>
      <c r="H43" s="260" t="str">
        <f t="shared" ca="1" si="0"/>
        <v/>
      </c>
      <c r="I43" s="260"/>
      <c r="J43" s="279"/>
    </row>
    <row r="44" spans="1:10" s="250" customFormat="1" ht="18" customHeight="1">
      <c r="A44" s="256" t="str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/>
      </c>
      <c r="B44" s="256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/>
      </c>
      <c r="C44" s="256" t="str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/>
      </c>
      <c r="D44" s="257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/>
      </c>
      <c r="E44" s="258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/>
      </c>
      <c r="F44" s="259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59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0</v>
      </c>
      <c r="H44" s="260" t="str">
        <f t="shared" ref="H44:H75" ca="1" si="1">IF(A44&lt;&gt;"",ROUND(H43+F44-G44,0),"")</f>
        <v/>
      </c>
      <c r="I44" s="260"/>
      <c r="J44" s="279"/>
    </row>
    <row r="45" spans="1:10" s="250" customFormat="1" ht="18" customHeight="1">
      <c r="A45" s="256" t="str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/>
      </c>
      <c r="B45" s="256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/>
      </c>
      <c r="C45" s="256" t="str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/>
      </c>
      <c r="D45" s="257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/>
      </c>
      <c r="E45" s="258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/>
      </c>
      <c r="F45" s="259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59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0</v>
      </c>
      <c r="H45" s="260" t="str">
        <f t="shared" ca="1" si="1"/>
        <v/>
      </c>
      <c r="I45" s="260"/>
      <c r="J45" s="279"/>
    </row>
    <row r="46" spans="1:10" s="250" customFormat="1" ht="18" customHeight="1">
      <c r="A46" s="256" t="str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/>
      </c>
      <c r="B46" s="256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/>
      </c>
      <c r="C46" s="256" t="str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/>
      </c>
      <c r="D46" s="257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/>
      </c>
      <c r="E46" s="258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/>
      </c>
      <c r="F46" s="259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259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260" t="str">
        <f t="shared" ca="1" si="1"/>
        <v/>
      </c>
      <c r="I46" s="260"/>
      <c r="J46" s="279"/>
    </row>
    <row r="47" spans="1:10" s="250" customFormat="1" ht="18" customHeight="1">
      <c r="A47" s="256" t="str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/>
      </c>
      <c r="B47" s="256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/>
      </c>
      <c r="C47" s="256" t="str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/>
      </c>
      <c r="D47" s="257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/>
      </c>
      <c r="E47" s="258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/>
      </c>
      <c r="F47" s="259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59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0</v>
      </c>
      <c r="H47" s="260" t="str">
        <f t="shared" ca="1" si="1"/>
        <v/>
      </c>
      <c r="I47" s="260"/>
      <c r="J47" s="279"/>
    </row>
    <row r="48" spans="1:10" s="250" customFormat="1" ht="18" customHeight="1">
      <c r="A48" s="256" t="str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/>
      </c>
      <c r="B48" s="256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/>
      </c>
      <c r="C48" s="256" t="str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/>
      </c>
      <c r="D48" s="257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/>
      </c>
      <c r="E48" s="258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/>
      </c>
      <c r="F48" s="259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59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0</v>
      </c>
      <c r="H48" s="260" t="str">
        <f t="shared" ca="1" si="1"/>
        <v/>
      </c>
      <c r="I48" s="260"/>
      <c r="J48" s="279"/>
    </row>
    <row r="49" spans="1:10" s="250" customFormat="1" ht="18" customHeight="1">
      <c r="A49" s="256" t="str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/>
      </c>
      <c r="B49" s="256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/>
      </c>
      <c r="C49" s="256" t="str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/>
      </c>
      <c r="D49" s="257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/>
      </c>
      <c r="E49" s="258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/>
      </c>
      <c r="F49" s="259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59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0</v>
      </c>
      <c r="H49" s="260" t="str">
        <f t="shared" ca="1" si="1"/>
        <v/>
      </c>
      <c r="I49" s="260"/>
      <c r="J49" s="279"/>
    </row>
    <row r="50" spans="1:10" s="250" customFormat="1" ht="18" customHeight="1">
      <c r="A50" s="256" t="str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/>
      </c>
      <c r="B50" s="256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/>
      </c>
      <c r="C50" s="256" t="str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/>
      </c>
      <c r="D50" s="257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/>
      </c>
      <c r="E50" s="258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/>
      </c>
      <c r="F50" s="259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259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0</v>
      </c>
      <c r="H50" s="260" t="str">
        <f t="shared" ca="1" si="1"/>
        <v/>
      </c>
      <c r="I50" s="260"/>
      <c r="J50" s="279"/>
    </row>
    <row r="51" spans="1:10" s="250" customFormat="1" ht="18" customHeight="1">
      <c r="A51" s="256" t="str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/>
      </c>
      <c r="B51" s="256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/>
      </c>
      <c r="C51" s="256" t="str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/>
      </c>
      <c r="D51" s="257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/>
      </c>
      <c r="E51" s="258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/>
      </c>
      <c r="F51" s="259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59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0</v>
      </c>
      <c r="H51" s="260" t="str">
        <f t="shared" ca="1" si="1"/>
        <v/>
      </c>
      <c r="I51" s="260"/>
      <c r="J51" s="279"/>
    </row>
    <row r="52" spans="1:10" s="250" customFormat="1" ht="18" customHeight="1">
      <c r="A52" s="256" t="str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/>
      </c>
      <c r="B52" s="256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/>
      </c>
      <c r="C52" s="256" t="str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/>
      </c>
      <c r="D52" s="257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/>
      </c>
      <c r="E52" s="258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/>
      </c>
      <c r="F52" s="259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259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0</v>
      </c>
      <c r="H52" s="260" t="str">
        <f t="shared" ca="1" si="1"/>
        <v/>
      </c>
      <c r="I52" s="260"/>
      <c r="J52" s="279"/>
    </row>
    <row r="53" spans="1:10" s="250" customFormat="1" ht="18" customHeight="1">
      <c r="A53" s="256" t="str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/>
      </c>
      <c r="B53" s="256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/>
      </c>
      <c r="C53" s="256" t="str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/>
      </c>
      <c r="D53" s="257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/>
      </c>
      <c r="E53" s="258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/>
      </c>
      <c r="F53" s="259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59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0</v>
      </c>
      <c r="H53" s="260" t="str">
        <f t="shared" ca="1" si="1"/>
        <v/>
      </c>
      <c r="I53" s="260"/>
      <c r="J53" s="279"/>
    </row>
    <row r="54" spans="1:10" s="250" customFormat="1" ht="18" customHeight="1">
      <c r="A54" s="256" t="str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/>
      </c>
      <c r="B54" s="256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/>
      </c>
      <c r="C54" s="256" t="str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/>
      </c>
      <c r="D54" s="257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/>
      </c>
      <c r="E54" s="258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/>
      </c>
      <c r="F54" s="259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259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0</v>
      </c>
      <c r="H54" s="260" t="str">
        <f t="shared" ca="1" si="1"/>
        <v/>
      </c>
      <c r="I54" s="260"/>
      <c r="J54" s="279"/>
    </row>
    <row r="55" spans="1:10" s="250" customFormat="1" ht="18" customHeight="1">
      <c r="A55" s="256" t="str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/>
      </c>
      <c r="B55" s="256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/>
      </c>
      <c r="C55" s="256" t="str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/>
      </c>
      <c r="D55" s="257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/>
      </c>
      <c r="E55" s="258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/>
      </c>
      <c r="F55" s="259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59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0</v>
      </c>
      <c r="H55" s="260" t="str">
        <f t="shared" ca="1" si="1"/>
        <v/>
      </c>
      <c r="I55" s="260"/>
      <c r="J55" s="279"/>
    </row>
    <row r="56" spans="1:10" s="250" customFormat="1" ht="18" customHeight="1">
      <c r="A56" s="256" t="str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/>
      </c>
      <c r="B56" s="256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/>
      </c>
      <c r="C56" s="256" t="str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/>
      </c>
      <c r="D56" s="257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/>
      </c>
      <c r="E56" s="258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/>
      </c>
      <c r="F56" s="259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259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0</v>
      </c>
      <c r="H56" s="260" t="str">
        <f t="shared" ca="1" si="1"/>
        <v/>
      </c>
      <c r="I56" s="260"/>
      <c r="J56" s="279"/>
    </row>
    <row r="57" spans="1:10" s="250" customFormat="1" ht="18" customHeight="1">
      <c r="A57" s="256" t="str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/>
      </c>
      <c r="B57" s="256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/>
      </c>
      <c r="C57" s="256" t="str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/>
      </c>
      <c r="D57" s="257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/>
      </c>
      <c r="E57" s="258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/>
      </c>
      <c r="F57" s="259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59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0</v>
      </c>
      <c r="H57" s="260" t="str">
        <f t="shared" ca="1" si="1"/>
        <v/>
      </c>
      <c r="I57" s="260"/>
      <c r="J57" s="279"/>
    </row>
    <row r="58" spans="1:10" s="250" customFormat="1" ht="18" customHeight="1">
      <c r="A58" s="256" t="str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/>
      </c>
      <c r="B58" s="256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/>
      </c>
      <c r="C58" s="256" t="str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/>
      </c>
      <c r="D58" s="257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/>
      </c>
      <c r="E58" s="258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/>
      </c>
      <c r="F58" s="259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59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0</v>
      </c>
      <c r="H58" s="260" t="str">
        <f t="shared" ca="1" si="1"/>
        <v/>
      </c>
      <c r="I58" s="260"/>
      <c r="J58" s="279"/>
    </row>
    <row r="59" spans="1:10" s="250" customFormat="1" ht="18" customHeight="1">
      <c r="A59" s="256" t="str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/>
      </c>
      <c r="B59" s="256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/>
      </c>
      <c r="C59" s="256" t="str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/>
      </c>
      <c r="D59" s="257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/>
      </c>
      <c r="E59" s="258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/>
      </c>
      <c r="F59" s="259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259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0</v>
      </c>
      <c r="H59" s="260" t="str">
        <f t="shared" ca="1" si="1"/>
        <v/>
      </c>
      <c r="I59" s="260"/>
      <c r="J59" s="279"/>
    </row>
    <row r="60" spans="1:10" s="250" customFormat="1" ht="18" customHeight="1">
      <c r="A60" s="256" t="str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/>
      </c>
      <c r="B60" s="256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/>
      </c>
      <c r="C60" s="256" t="str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/>
      </c>
      <c r="D60" s="257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/>
      </c>
      <c r="E60" s="258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/>
      </c>
      <c r="F60" s="259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259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0</v>
      </c>
      <c r="H60" s="260" t="str">
        <f t="shared" ca="1" si="1"/>
        <v/>
      </c>
      <c r="I60" s="260"/>
      <c r="J60" s="279"/>
    </row>
    <row r="61" spans="1:10" s="250" customFormat="1" ht="18" customHeight="1">
      <c r="A61" s="256" t="str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/>
      </c>
      <c r="B61" s="256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/>
      </c>
      <c r="C61" s="256" t="str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/>
      </c>
      <c r="D61" s="257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/>
      </c>
      <c r="E61" s="258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/>
      </c>
      <c r="F61" s="259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259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260" t="str">
        <f t="shared" ca="1" si="1"/>
        <v/>
      </c>
      <c r="I61" s="260"/>
      <c r="J61" s="279"/>
    </row>
    <row r="62" spans="1:10" s="250" customFormat="1" ht="18" customHeight="1">
      <c r="A62" s="256" t="str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/>
      </c>
      <c r="B62" s="256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/>
      </c>
      <c r="C62" s="256" t="str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/>
      </c>
      <c r="D62" s="257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/>
      </c>
      <c r="E62" s="258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/>
      </c>
      <c r="F62" s="259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259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260" t="str">
        <f t="shared" ca="1" si="1"/>
        <v/>
      </c>
      <c r="I62" s="260"/>
      <c r="J62" s="279"/>
    </row>
    <row r="63" spans="1:10" s="250" customFormat="1" ht="18" customHeight="1">
      <c r="A63" s="256" t="str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/>
      </c>
      <c r="B63" s="256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/>
      </c>
      <c r="C63" s="256" t="str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/>
      </c>
      <c r="D63" s="257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/>
      </c>
      <c r="E63" s="258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/>
      </c>
      <c r="F63" s="259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59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0</v>
      </c>
      <c r="H63" s="260" t="str">
        <f t="shared" ca="1" si="1"/>
        <v/>
      </c>
      <c r="I63" s="260"/>
      <c r="J63" s="279"/>
    </row>
    <row r="64" spans="1:10" s="250" customFormat="1" ht="18" customHeight="1">
      <c r="A64" s="256" t="str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/>
      </c>
      <c r="B64" s="256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/>
      </c>
      <c r="C64" s="256" t="str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/>
      </c>
      <c r="D64" s="257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/>
      </c>
      <c r="E64" s="258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/>
      </c>
      <c r="F64" s="259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259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260" t="str">
        <f t="shared" ca="1" si="1"/>
        <v/>
      </c>
      <c r="I64" s="260"/>
      <c r="J64" s="279"/>
    </row>
    <row r="65" spans="1:10" s="250" customFormat="1" ht="18" customHeight="1">
      <c r="A65" s="256" t="str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/>
      </c>
      <c r="B65" s="256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/>
      </c>
      <c r="C65" s="256" t="str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/>
      </c>
      <c r="D65" s="257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/>
      </c>
      <c r="E65" s="258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/>
      </c>
      <c r="F65" s="259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59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0</v>
      </c>
      <c r="H65" s="260" t="str">
        <f t="shared" ca="1" si="1"/>
        <v/>
      </c>
      <c r="I65" s="260"/>
      <c r="J65" s="279"/>
    </row>
    <row r="66" spans="1:10" s="250" customFormat="1" ht="18" customHeight="1">
      <c r="A66" s="256" t="str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/>
      </c>
      <c r="B66" s="256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/>
      </c>
      <c r="C66" s="256" t="str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/>
      </c>
      <c r="D66" s="257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/>
      </c>
      <c r="E66" s="258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/>
      </c>
      <c r="F66" s="259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59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0</v>
      </c>
      <c r="H66" s="260" t="str">
        <f t="shared" ca="1" si="1"/>
        <v/>
      </c>
      <c r="I66" s="260"/>
      <c r="J66" s="279"/>
    </row>
    <row r="67" spans="1:10" s="250" customFormat="1" ht="18" customHeight="1">
      <c r="A67" s="256" t="str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/>
      </c>
      <c r="B67" s="256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/>
      </c>
      <c r="C67" s="256" t="str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/>
      </c>
      <c r="D67" s="257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/>
      </c>
      <c r="E67" s="258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/>
      </c>
      <c r="F67" s="259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59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0</v>
      </c>
      <c r="H67" s="260" t="str">
        <f t="shared" ca="1" si="1"/>
        <v/>
      </c>
      <c r="I67" s="260"/>
      <c r="J67" s="279"/>
    </row>
    <row r="68" spans="1:10" s="250" customFormat="1" ht="18" customHeight="1">
      <c r="A68" s="256" t="str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/>
      </c>
      <c r="B68" s="256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/>
      </c>
      <c r="C68" s="256" t="str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/>
      </c>
      <c r="D68" s="257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/>
      </c>
      <c r="E68" s="258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/>
      </c>
      <c r="F68" s="259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259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260" t="str">
        <f t="shared" ca="1" si="1"/>
        <v/>
      </c>
      <c r="I68" s="260"/>
      <c r="J68" s="279"/>
    </row>
    <row r="69" spans="1:10" s="250" customFormat="1" ht="18" customHeight="1">
      <c r="A69" s="256" t="str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/>
      </c>
      <c r="B69" s="256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/>
      </c>
      <c r="C69" s="256" t="str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/>
      </c>
      <c r="D69" s="257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/>
      </c>
      <c r="E69" s="258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/>
      </c>
      <c r="F69" s="259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59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0</v>
      </c>
      <c r="H69" s="260" t="str">
        <f t="shared" ca="1" si="1"/>
        <v/>
      </c>
      <c r="I69" s="260"/>
      <c r="J69" s="279"/>
    </row>
    <row r="70" spans="1:10" s="250" customFormat="1" ht="18" customHeight="1">
      <c r="A70" s="256" t="str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/>
      </c>
      <c r="B70" s="256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/>
      </c>
      <c r="C70" s="256" t="str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/>
      </c>
      <c r="D70" s="257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/>
      </c>
      <c r="E70" s="258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/>
      </c>
      <c r="F70" s="259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59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0</v>
      </c>
      <c r="H70" s="260" t="str">
        <f t="shared" ca="1" si="1"/>
        <v/>
      </c>
      <c r="I70" s="260"/>
      <c r="J70" s="279"/>
    </row>
    <row r="71" spans="1:10" s="250" customFormat="1" ht="18" customHeight="1">
      <c r="A71" s="256" t="str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/>
      </c>
      <c r="B71" s="256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/>
      </c>
      <c r="C71" s="256" t="str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/>
      </c>
      <c r="D71" s="257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/>
      </c>
      <c r="E71" s="258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/>
      </c>
      <c r="F71" s="259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59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0</v>
      </c>
      <c r="H71" s="260" t="str">
        <f t="shared" ca="1" si="1"/>
        <v/>
      </c>
      <c r="I71" s="260"/>
      <c r="J71" s="279"/>
    </row>
    <row r="72" spans="1:10" s="250" customFormat="1" ht="18" customHeight="1">
      <c r="A72" s="256" t="str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/>
      </c>
      <c r="B72" s="256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/>
      </c>
      <c r="C72" s="256" t="str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/>
      </c>
      <c r="D72" s="257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/>
      </c>
      <c r="E72" s="258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/>
      </c>
      <c r="F72" s="259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259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60" t="str">
        <f t="shared" ca="1" si="1"/>
        <v/>
      </c>
      <c r="I72" s="260"/>
      <c r="J72" s="279"/>
    </row>
    <row r="73" spans="1:10" s="250" customFormat="1" ht="18" customHeight="1">
      <c r="A73" s="256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256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256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257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258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259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59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60" t="str">
        <f t="shared" ca="1" si="1"/>
        <v/>
      </c>
      <c r="I73" s="260"/>
      <c r="J73" s="279"/>
    </row>
    <row r="74" spans="1:10" s="250" customFormat="1" ht="18" customHeight="1">
      <c r="A74" s="256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256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256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257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258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259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59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260" t="str">
        <f t="shared" ca="1" si="1"/>
        <v/>
      </c>
      <c r="I74" s="260"/>
      <c r="J74" s="279"/>
    </row>
    <row r="75" spans="1:10" s="250" customFormat="1" ht="18" customHeight="1">
      <c r="A75" s="256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256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256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257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258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259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59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260" t="str">
        <f t="shared" ca="1" si="1"/>
        <v/>
      </c>
      <c r="I75" s="260"/>
      <c r="J75" s="279"/>
    </row>
    <row r="76" spans="1:10" s="250" customFormat="1" ht="18" customHeight="1">
      <c r="A76" s="256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256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256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257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258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259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59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260" t="str">
        <f t="shared" ref="H76:H90" ca="1" si="2">IF(A76&lt;&gt;"",ROUND(H75+F76-G76,0),"")</f>
        <v/>
      </c>
      <c r="I76" s="260"/>
      <c r="J76" s="279"/>
    </row>
    <row r="77" spans="1:10" s="250" customFormat="1" ht="18" customHeight="1">
      <c r="A77" s="256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256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256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257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258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259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59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260" t="str">
        <f t="shared" ca="1" si="2"/>
        <v/>
      </c>
      <c r="I77" s="260"/>
      <c r="J77" s="279"/>
    </row>
    <row r="78" spans="1:10" s="250" customFormat="1" ht="18" customHeight="1">
      <c r="A78" s="256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256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256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257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258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259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59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260" t="str">
        <f t="shared" ca="1" si="2"/>
        <v/>
      </c>
      <c r="I78" s="260"/>
      <c r="J78" s="279"/>
    </row>
    <row r="79" spans="1:10" s="250" customFormat="1" ht="18" customHeight="1">
      <c r="A79" s="256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256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256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257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258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259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59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260" t="str">
        <f t="shared" ca="1" si="2"/>
        <v/>
      </c>
      <c r="I79" s="260"/>
      <c r="J79" s="279"/>
    </row>
    <row r="80" spans="1:10" s="250" customFormat="1" ht="18" customHeight="1">
      <c r="A80" s="256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256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256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257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258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259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59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260" t="str">
        <f t="shared" ca="1" si="2"/>
        <v/>
      </c>
      <c r="I80" s="260"/>
      <c r="J80" s="279"/>
    </row>
    <row r="81" spans="1:10" s="250" customFormat="1" ht="18" customHeight="1">
      <c r="A81" s="256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256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256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257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258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259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59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260" t="str">
        <f t="shared" ca="1" si="2"/>
        <v/>
      </c>
      <c r="I81" s="260"/>
      <c r="J81" s="279"/>
    </row>
    <row r="82" spans="1:10" s="250" customFormat="1" ht="18" customHeight="1">
      <c r="A82" s="256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256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256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257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258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259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59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260" t="str">
        <f t="shared" ca="1" si="2"/>
        <v/>
      </c>
      <c r="I82" s="260"/>
      <c r="J82" s="279"/>
    </row>
    <row r="83" spans="1:10" s="250" customFormat="1" ht="18" customHeight="1">
      <c r="A83" s="256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256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256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257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258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259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59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260" t="str">
        <f t="shared" ca="1" si="2"/>
        <v/>
      </c>
      <c r="I83" s="260"/>
      <c r="J83" s="279"/>
    </row>
    <row r="84" spans="1:10" s="250" customFormat="1" ht="18" customHeight="1">
      <c r="A84" s="256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256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256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257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258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259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59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260" t="str">
        <f t="shared" ca="1" si="2"/>
        <v/>
      </c>
      <c r="I84" s="260"/>
      <c r="J84" s="279"/>
    </row>
    <row r="85" spans="1:10" s="250" customFormat="1" ht="18" customHeight="1">
      <c r="A85" s="256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256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256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257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258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259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59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260" t="str">
        <f t="shared" ca="1" si="2"/>
        <v/>
      </c>
      <c r="I85" s="260"/>
      <c r="J85" s="279"/>
    </row>
    <row r="86" spans="1:10" s="250" customFormat="1" ht="18" customHeight="1">
      <c r="A86" s="256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256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256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257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258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259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59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260" t="str">
        <f t="shared" ca="1" si="2"/>
        <v/>
      </c>
      <c r="I86" s="260"/>
      <c r="J86" s="279"/>
    </row>
    <row r="87" spans="1:10" s="250" customFormat="1" ht="18" customHeight="1">
      <c r="A87" s="256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256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256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257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258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259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59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260" t="str">
        <f t="shared" ca="1" si="2"/>
        <v/>
      </c>
      <c r="I87" s="260"/>
      <c r="J87" s="279"/>
    </row>
    <row r="88" spans="1:10" s="250" customFormat="1" ht="18" customHeight="1">
      <c r="A88" s="256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256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256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257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258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259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59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260" t="str">
        <f t="shared" ca="1" si="2"/>
        <v/>
      </c>
      <c r="I88" s="260"/>
      <c r="J88" s="279"/>
    </row>
    <row r="89" spans="1:10" s="250" customFormat="1" ht="18" customHeight="1">
      <c r="A89" s="256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256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256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257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258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259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59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260" t="str">
        <f t="shared" ca="1" si="2"/>
        <v/>
      </c>
      <c r="I89" s="260"/>
      <c r="J89" s="279"/>
    </row>
    <row r="90" spans="1:10" s="250" customFormat="1" ht="18" customHeight="1">
      <c r="A90" s="256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256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256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257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258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259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259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60" t="str">
        <f t="shared" ca="1" si="2"/>
        <v/>
      </c>
      <c r="I90" s="260"/>
      <c r="J90" s="279"/>
    </row>
    <row r="91" spans="1:10" s="250" customFormat="1" ht="18" customHeight="1">
      <c r="A91" s="256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256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256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257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258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259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259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60" t="str">
        <f t="shared" ref="H91:H96" ca="1" si="3">IF(A91&lt;&gt;"",ROUND(H90+F91-G91,0),"")</f>
        <v/>
      </c>
      <c r="I91" s="260"/>
      <c r="J91" s="279"/>
    </row>
    <row r="92" spans="1:10" s="250" customFormat="1" ht="18" customHeight="1">
      <c r="A92" s="256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256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256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257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258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259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59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260" t="str">
        <f t="shared" ca="1" si="3"/>
        <v/>
      </c>
      <c r="I92" s="260"/>
      <c r="J92" s="279"/>
    </row>
    <row r="93" spans="1:10" s="250" customFormat="1" ht="18" customHeight="1">
      <c r="A93" s="256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256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256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257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258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259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59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260" t="str">
        <f t="shared" ca="1" si="3"/>
        <v/>
      </c>
      <c r="I93" s="260"/>
      <c r="J93" s="279"/>
    </row>
    <row r="94" spans="1:10" s="250" customFormat="1" ht="18" customHeight="1">
      <c r="A94" s="256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256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256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257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258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259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59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260" t="str">
        <f t="shared" ca="1" si="3"/>
        <v/>
      </c>
      <c r="I94" s="260"/>
      <c r="J94" s="279"/>
    </row>
    <row r="95" spans="1:10" s="250" customFormat="1" ht="18" customHeight="1">
      <c r="A95" s="256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256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256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257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258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259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259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60" t="str">
        <f t="shared" ca="1" si="3"/>
        <v/>
      </c>
      <c r="I95" s="260"/>
      <c r="J95" s="279"/>
    </row>
    <row r="96" spans="1:10" s="250" customFormat="1" ht="18" customHeight="1">
      <c r="A96" s="256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256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256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257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258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259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59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260" t="str">
        <f t="shared" ca="1" si="3"/>
        <v/>
      </c>
      <c r="I96" s="260"/>
      <c r="J96" s="279"/>
    </row>
    <row r="97" spans="1:10" s="238" customFormat="1" ht="18" customHeight="1">
      <c r="A97" s="256"/>
      <c r="B97" s="256"/>
      <c r="C97" s="256"/>
      <c r="D97" s="257"/>
      <c r="E97" s="258"/>
      <c r="F97" s="259"/>
      <c r="G97" s="259"/>
      <c r="H97" s="261"/>
      <c r="I97" s="260"/>
      <c r="J97" s="279"/>
    </row>
    <row r="98" spans="1:10" s="250" customFormat="1" ht="18" customHeight="1">
      <c r="A98" s="262"/>
      <c r="B98" s="263"/>
      <c r="C98" s="262"/>
      <c r="D98" s="255" t="s">
        <v>29</v>
      </c>
      <c r="E98" s="264"/>
      <c r="F98" s="265">
        <f ca="1">SUM(F12:F97)</f>
        <v>9348280278</v>
      </c>
      <c r="G98" s="265">
        <f ca="1">SUM(G12:G97)</f>
        <v>9355180707</v>
      </c>
      <c r="H98" s="265">
        <f ca="1">H11+F98-G98</f>
        <v>7626450</v>
      </c>
      <c r="I98" s="266"/>
      <c r="J98" s="280"/>
    </row>
    <row r="99" spans="1:10" s="250" customFormat="1" ht="18" customHeight="1">
      <c r="A99" s="262"/>
      <c r="B99" s="263"/>
      <c r="C99" s="262"/>
      <c r="D99" s="255" t="s">
        <v>431</v>
      </c>
      <c r="E99" s="264"/>
      <c r="F99" s="255"/>
      <c r="G99" s="255"/>
      <c r="H99" s="265">
        <f ca="1">H98</f>
        <v>7626450</v>
      </c>
      <c r="I99" s="266"/>
      <c r="J99" s="280"/>
    </row>
    <row r="100" spans="1:10" s="250" customFormat="1" ht="15" customHeight="1">
      <c r="A100" s="440"/>
      <c r="B100" s="276"/>
      <c r="C100" s="440"/>
      <c r="D100" s="278"/>
      <c r="E100" s="441"/>
      <c r="F100" s="278"/>
      <c r="G100" s="278"/>
      <c r="H100" s="442"/>
      <c r="I100" s="280"/>
      <c r="J100" s="280"/>
    </row>
    <row r="101" spans="1:10" s="250" customFormat="1" ht="15" customHeight="1">
      <c r="A101" s="423" t="s">
        <v>432</v>
      </c>
      <c r="B101" s="424"/>
      <c r="C101" s="425"/>
      <c r="D101" s="426"/>
      <c r="E101" s="427"/>
      <c r="F101" s="428"/>
      <c r="G101" s="428"/>
    </row>
    <row r="102" spans="1:10" s="250" customFormat="1" ht="15" customHeight="1">
      <c r="A102" s="429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12 năm 2015</v>
      </c>
      <c r="B102" s="430"/>
      <c r="C102" s="425"/>
      <c r="D102" s="426"/>
      <c r="E102" s="427"/>
    </row>
    <row r="103" spans="1:10" s="250" customFormat="1" ht="15" customHeight="1">
      <c r="A103" s="431"/>
      <c r="B103" s="432"/>
      <c r="C103" s="433"/>
      <c r="D103" s="426"/>
      <c r="E103" s="427"/>
      <c r="G103" s="517" t="str">
        <f>IF(OR($K$6=1,$K$6=4,$K$6=6,$K$6=9,$K$6=11),"Ngày  30  tháng  "&amp;$K$6&amp;"  năm 2015",IF(OR($K$6=3,$K$6=5,$K$6=7,$K$6=8,$K$6=10,$K$6=12),"Ngày  31  tháng  "&amp;$K$6&amp;"  năm 2015","Ngày  29  tháng  "&amp;$K$6&amp;"  năm 2015"))</f>
        <v>Ngày  31  tháng  12  năm 2015</v>
      </c>
      <c r="H103" s="517"/>
      <c r="I103" s="517"/>
      <c r="J103" s="434"/>
    </row>
    <row r="104" spans="1:10" s="250" customFormat="1" ht="15" customHeight="1">
      <c r="B104" s="535"/>
      <c r="C104" s="448" t="s">
        <v>33</v>
      </c>
      <c r="D104" s="426"/>
      <c r="E104" s="435" t="s">
        <v>13</v>
      </c>
      <c r="F104" s="436"/>
      <c r="G104" s="516" t="s">
        <v>14</v>
      </c>
      <c r="H104" s="516"/>
      <c r="I104" s="516"/>
      <c r="J104" s="437"/>
    </row>
    <row r="105" spans="1:10" s="250" customFormat="1" ht="15" customHeight="1">
      <c r="C105" s="438" t="s">
        <v>15</v>
      </c>
      <c r="D105" s="426"/>
      <c r="E105" s="439" t="s">
        <v>15</v>
      </c>
      <c r="F105" s="430"/>
      <c r="G105" s="520" t="s">
        <v>16</v>
      </c>
      <c r="H105" s="520"/>
      <c r="I105" s="520"/>
      <c r="J105" s="430"/>
    </row>
    <row r="106" spans="1:10" s="250" customFormat="1" ht="15" customHeight="1">
      <c r="A106" s="425"/>
      <c r="B106" s="438"/>
      <c r="C106" s="536"/>
      <c r="D106" s="426"/>
      <c r="E106" s="427"/>
    </row>
    <row r="107" spans="1:10" s="250" customFormat="1" ht="15" customHeight="1">
      <c r="A107" s="425"/>
      <c r="B107" s="438"/>
      <c r="C107" s="536"/>
      <c r="D107" s="426"/>
      <c r="E107" s="427"/>
    </row>
    <row r="108" spans="1:10" s="250" customFormat="1" ht="15" customHeight="1">
      <c r="A108" s="425"/>
      <c r="B108" s="438"/>
      <c r="C108" s="536"/>
      <c r="D108" s="426"/>
      <c r="E108" s="427"/>
    </row>
    <row r="109" spans="1:10" s="250" customFormat="1" ht="15" customHeight="1">
      <c r="A109" s="425"/>
      <c r="B109" s="438"/>
      <c r="C109" s="536"/>
      <c r="D109" s="426"/>
      <c r="E109" s="427"/>
    </row>
    <row r="110" spans="1:10" s="250" customFormat="1" ht="15" customHeight="1">
      <c r="A110" s="425"/>
      <c r="B110" s="438"/>
      <c r="C110" s="536"/>
      <c r="D110" s="426"/>
      <c r="E110" s="427"/>
    </row>
    <row r="111" spans="1:10" s="447" customFormat="1" ht="15" customHeight="1">
      <c r="B111" s="444"/>
      <c r="C111" s="443" t="s">
        <v>1388</v>
      </c>
      <c r="D111" s="445"/>
      <c r="E111" s="446"/>
      <c r="G111" s="517" t="s">
        <v>1389</v>
      </c>
      <c r="H111" s="517"/>
      <c r="I111" s="517"/>
    </row>
  </sheetData>
  <sheetProtection autoFilter="0"/>
  <autoFilter ref="A10:I96"/>
  <mergeCells count="17">
    <mergeCell ref="E8:E9"/>
    <mergeCell ref="A6:D6"/>
    <mergeCell ref="E6:F6"/>
    <mergeCell ref="D8:D9"/>
    <mergeCell ref="G104:I104"/>
    <mergeCell ref="G111:I111"/>
    <mergeCell ref="F1:I1"/>
    <mergeCell ref="F2:I2"/>
    <mergeCell ref="F3:I3"/>
    <mergeCell ref="G103:I103"/>
    <mergeCell ref="G105:I105"/>
    <mergeCell ref="A4:I4"/>
    <mergeCell ref="A5:I5"/>
    <mergeCell ref="A8:A9"/>
    <mergeCell ref="B8:C8"/>
    <mergeCell ref="F8:H8"/>
    <mergeCell ref="I8:I9"/>
  </mergeCells>
  <phoneticPr fontId="54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9" right="0.3" top="0.3" bottom="0.3" header="0.1" footer="0.1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indexed="47"/>
  </sheetPr>
  <dimension ref="A1:O59"/>
  <sheetViews>
    <sheetView topLeftCell="A5" zoomScaleNormal="100" workbookViewId="0">
      <pane ySplit="7" topLeftCell="A18" activePane="bottomLeft" state="frozen"/>
      <selection activeCell="A5" sqref="A5"/>
      <selection pane="bottomLeft" activeCell="S23" sqref="S23"/>
    </sheetView>
  </sheetViews>
  <sheetFormatPr defaultRowHeight="15.75"/>
  <cols>
    <col min="1" max="1" width="8.140625" style="268" customWidth="1"/>
    <col min="2" max="2" width="6" style="269" customWidth="1"/>
    <col min="3" max="3" width="8.5703125" style="268" customWidth="1"/>
    <col min="4" max="4" width="40" style="270" customWidth="1"/>
    <col min="5" max="5" width="6.42578125" style="271" customWidth="1"/>
    <col min="6" max="6" width="7.28515625" style="271" customWidth="1"/>
    <col min="7" max="7" width="14" style="271" hidden="1" customWidth="1"/>
    <col min="8" max="10" width="13.140625" style="272" customWidth="1"/>
    <col min="11" max="11" width="6.5703125" style="272" customWidth="1"/>
    <col min="12" max="12" width="2" style="272" customWidth="1"/>
    <col min="13" max="13" width="5.7109375" style="272" customWidth="1"/>
    <col min="14" max="14" width="1.7109375" style="272" customWidth="1"/>
    <col min="15" max="15" width="7.28515625" style="272" customWidth="1"/>
    <col min="16" max="16" width="3.140625" style="272" customWidth="1"/>
    <col min="17" max="16384" width="9.140625" style="272"/>
  </cols>
  <sheetData>
    <row r="1" spans="1:15" s="238" customFormat="1" ht="15" customHeight="1">
      <c r="A1" s="232" t="s">
        <v>350</v>
      </c>
      <c r="B1" s="233"/>
      <c r="C1" s="234"/>
      <c r="D1" s="235"/>
      <c r="E1" s="236"/>
      <c r="F1" s="236"/>
      <c r="G1" s="236"/>
      <c r="H1" s="518" t="s">
        <v>486</v>
      </c>
      <c r="I1" s="518"/>
      <c r="J1" s="518"/>
      <c r="K1" s="518"/>
      <c r="L1" s="237"/>
    </row>
    <row r="2" spans="1:15" s="238" customFormat="1" ht="15" customHeight="1">
      <c r="A2" s="267" t="s">
        <v>352</v>
      </c>
      <c r="B2" s="422"/>
      <c r="C2" s="422"/>
      <c r="D2" s="422"/>
      <c r="E2" s="236"/>
      <c r="F2" s="236"/>
      <c r="G2" s="236"/>
      <c r="H2" s="519" t="s">
        <v>487</v>
      </c>
      <c r="I2" s="519"/>
      <c r="J2" s="519"/>
      <c r="K2" s="519"/>
      <c r="L2" s="239"/>
    </row>
    <row r="3" spans="1:15" s="238" customFormat="1" ht="15" customHeight="1">
      <c r="A3" s="422"/>
      <c r="B3" s="422"/>
      <c r="C3" s="422"/>
      <c r="D3" s="422"/>
      <c r="E3" s="236"/>
      <c r="F3" s="236"/>
      <c r="G3" s="236"/>
      <c r="H3" s="519" t="s">
        <v>174</v>
      </c>
      <c r="I3" s="519"/>
      <c r="J3" s="519"/>
      <c r="K3" s="519"/>
      <c r="L3" s="239"/>
    </row>
    <row r="4" spans="1:15" s="238" customFormat="1" ht="22.5" customHeight="1">
      <c r="A4" s="521" t="s">
        <v>355</v>
      </c>
      <c r="B4" s="521"/>
      <c r="C4" s="521"/>
      <c r="D4" s="521"/>
      <c r="E4" s="521"/>
      <c r="F4" s="521"/>
      <c r="G4" s="521"/>
      <c r="H4" s="521"/>
      <c r="I4" s="521"/>
      <c r="J4" s="521"/>
      <c r="K4" s="521"/>
      <c r="L4" s="254"/>
    </row>
    <row r="5" spans="1:15" s="238" customFormat="1" ht="15" customHeight="1">
      <c r="A5" s="519" t="str">
        <f>"Nơi mở tài khoản giao dịch: Ngân Hàng Eximbank Quận "&amp;IF(O6="Q4",4,11)</f>
        <v>Nơi mở tài khoản giao dịch: Ngân Hàng Eximbank Quận 4</v>
      </c>
      <c r="B5" s="519"/>
      <c r="C5" s="519"/>
      <c r="D5" s="519"/>
      <c r="E5" s="519"/>
      <c r="F5" s="519"/>
      <c r="G5" s="519"/>
      <c r="H5" s="519"/>
      <c r="I5" s="519"/>
      <c r="J5" s="519"/>
      <c r="K5" s="519"/>
      <c r="L5" s="239"/>
      <c r="M5" s="237" t="s">
        <v>175</v>
      </c>
    </row>
    <row r="6" spans="1:15" s="238" customFormat="1" ht="15" customHeight="1">
      <c r="A6" s="531" t="s">
        <v>488</v>
      </c>
      <c r="B6" s="531"/>
      <c r="C6" s="531"/>
      <c r="D6" s="531"/>
      <c r="E6" s="519" t="str">
        <f>IF($O$6="Q11","1015 148 5100 9193",IF($O$6="Q4","1402 148 5100 9479",""))</f>
        <v>1402 148 5100 9479</v>
      </c>
      <c r="F6" s="519"/>
      <c r="G6" s="519"/>
      <c r="H6" s="519"/>
      <c r="I6" s="240" t="s">
        <v>489</v>
      </c>
      <c r="K6" s="281"/>
      <c r="L6" s="241"/>
      <c r="M6" s="242">
        <v>12</v>
      </c>
      <c r="N6" s="243"/>
      <c r="O6" s="244" t="s">
        <v>1422</v>
      </c>
    </row>
    <row r="7" spans="1:15" s="238" customFormat="1" ht="5.25" customHeight="1">
      <c r="A7" s="245"/>
      <c r="B7" s="239"/>
      <c r="C7" s="245"/>
      <c r="D7" s="246"/>
      <c r="E7" s="247"/>
      <c r="F7" s="247"/>
      <c r="G7" s="247"/>
      <c r="H7" s="239"/>
      <c r="I7" s="239"/>
      <c r="J7" s="239"/>
      <c r="K7" s="239"/>
      <c r="L7" s="239"/>
    </row>
    <row r="8" spans="1:15" s="250" customFormat="1" ht="16.5" customHeight="1">
      <c r="A8" s="522" t="s">
        <v>358</v>
      </c>
      <c r="B8" s="524" t="s">
        <v>359</v>
      </c>
      <c r="C8" s="525"/>
      <c r="D8" s="527" t="s">
        <v>3</v>
      </c>
      <c r="E8" s="529" t="s">
        <v>22</v>
      </c>
      <c r="F8" s="532" t="s">
        <v>435</v>
      </c>
      <c r="G8" s="533" t="s">
        <v>490</v>
      </c>
      <c r="H8" s="526" t="s">
        <v>125</v>
      </c>
      <c r="I8" s="524"/>
      <c r="J8" s="525"/>
      <c r="K8" s="527" t="s">
        <v>4</v>
      </c>
      <c r="L8" s="276"/>
    </row>
    <row r="9" spans="1:15" s="250" customFormat="1" ht="27" customHeight="1">
      <c r="A9" s="523"/>
      <c r="B9" s="412" t="s">
        <v>360</v>
      </c>
      <c r="C9" s="251" t="s">
        <v>361</v>
      </c>
      <c r="D9" s="528"/>
      <c r="E9" s="530"/>
      <c r="F9" s="532"/>
      <c r="G9" s="534"/>
      <c r="H9" s="413" t="s">
        <v>362</v>
      </c>
      <c r="I9" s="413" t="s">
        <v>363</v>
      </c>
      <c r="J9" s="413" t="s">
        <v>364</v>
      </c>
      <c r="K9" s="528"/>
      <c r="L9" s="276"/>
    </row>
    <row r="10" spans="1:15" s="250" customFormat="1" ht="12.75">
      <c r="A10" s="454" t="s">
        <v>7</v>
      </c>
      <c r="B10" s="253" t="s">
        <v>8</v>
      </c>
      <c r="C10" s="454" t="s">
        <v>9</v>
      </c>
      <c r="D10" s="253" t="s">
        <v>10</v>
      </c>
      <c r="E10" s="455" t="s">
        <v>11</v>
      </c>
      <c r="F10" s="455"/>
      <c r="G10" s="455"/>
      <c r="H10" s="253">
        <v>1</v>
      </c>
      <c r="I10" s="253">
        <v>2</v>
      </c>
      <c r="J10" s="253">
        <v>3</v>
      </c>
      <c r="K10" s="253" t="s">
        <v>27</v>
      </c>
      <c r="L10" s="456"/>
    </row>
    <row r="11" spans="1:15" s="250" customFormat="1" ht="21.75" customHeight="1">
      <c r="A11" s="449"/>
      <c r="B11" s="450"/>
      <c r="C11" s="449"/>
      <c r="D11" s="451" t="s">
        <v>365</v>
      </c>
      <c r="E11" s="452"/>
      <c r="F11" s="452"/>
      <c r="G11" s="452"/>
      <c r="H11" s="453"/>
      <c r="I11" s="451"/>
      <c r="J11" s="459">
        <f ca="1">IF($O$6="Q11",funtion1,IF($O$6="Q4",funtion2,funtion1+funtion2))</f>
        <v>94.590000000150212</v>
      </c>
      <c r="K11" s="451"/>
      <c r="L11" s="278"/>
    </row>
    <row r="12" spans="1:15" s="250" customFormat="1" ht="21.75" customHeight="1">
      <c r="A12" s="256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42339</v>
      </c>
      <c r="B12" s="256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GBC</v>
      </c>
      <c r="C12" s="256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42339</v>
      </c>
      <c r="D12" s="257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Mua ngoại tệ trả nợ vay</v>
      </c>
      <c r="E12" s="258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1121</v>
      </c>
      <c r="F12" s="259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22510</v>
      </c>
      <c r="G12" s="259">
        <f t="shared" ref="G12:G40" ca="1" si="0">IF(D12="","",ROUND(F12*(H12+I12),0))</f>
        <v>1717513000</v>
      </c>
      <c r="H12" s="274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76300</v>
      </c>
      <c r="I12" s="274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0</v>
      </c>
      <c r="J12" s="275">
        <f t="shared" ref="J12:J40" ca="1" si="1">IF(A12&lt;&gt;"",ROUND(J11+H12-I12,2),"")</f>
        <v>76394.59</v>
      </c>
      <c r="K12" s="260"/>
      <c r="L12" s="279"/>
    </row>
    <row r="13" spans="1:15" s="250" customFormat="1" ht="21.75" customHeight="1">
      <c r="A13" s="256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42339</v>
      </c>
      <c r="B13" s="256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256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42339</v>
      </c>
      <c r="D13" s="257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Trả gốc KU 1402LDS201501662</v>
      </c>
      <c r="E13" s="258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3411</v>
      </c>
      <c r="F13" s="259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22510</v>
      </c>
      <c r="G13" s="259">
        <f t="shared" ca="1" si="0"/>
        <v>1717513000</v>
      </c>
      <c r="H13" s="274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274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76300</v>
      </c>
      <c r="J13" s="275">
        <f t="shared" ca="1" si="1"/>
        <v>94.59</v>
      </c>
      <c r="K13" s="260"/>
      <c r="L13" s="279"/>
    </row>
    <row r="14" spans="1:15" s="250" customFormat="1" ht="21.75" customHeight="1">
      <c r="A14" s="256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42345</v>
      </c>
      <c r="B14" s="256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GBC</v>
      </c>
      <c r="C14" s="256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42345</v>
      </c>
      <c r="D14" s="257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Chuyển USD</v>
      </c>
      <c r="E14" s="258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1122</v>
      </c>
      <c r="F14" s="259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22500</v>
      </c>
      <c r="G14" s="259">
        <f t="shared" ca="1" si="0"/>
        <v>886500000</v>
      </c>
      <c r="H14" s="274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39400</v>
      </c>
      <c r="I14" s="274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0</v>
      </c>
      <c r="J14" s="275">
        <f t="shared" ca="1" si="1"/>
        <v>39494.589999999997</v>
      </c>
      <c r="K14" s="260"/>
      <c r="L14" s="279"/>
    </row>
    <row r="15" spans="1:15" s="250" customFormat="1" ht="21.75" customHeight="1">
      <c r="A15" s="256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42345</v>
      </c>
      <c r="B15" s="256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GBC</v>
      </c>
      <c r="C15" s="256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42345</v>
      </c>
      <c r="D15" s="257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Mua ngoại tệ trả nợ vay</v>
      </c>
      <c r="E15" s="258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1121</v>
      </c>
      <c r="F15" s="259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22490</v>
      </c>
      <c r="G15" s="259">
        <f t="shared" ca="1" si="0"/>
        <v>508274000</v>
      </c>
      <c r="H15" s="274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22600</v>
      </c>
      <c r="I15" s="274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0</v>
      </c>
      <c r="J15" s="275">
        <f t="shared" ca="1" si="1"/>
        <v>62094.59</v>
      </c>
      <c r="K15" s="260"/>
      <c r="L15" s="279"/>
    </row>
    <row r="16" spans="1:15" s="250" customFormat="1" ht="21.75" customHeight="1">
      <c r="A16" s="256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42345</v>
      </c>
      <c r="B16" s="256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GBN</v>
      </c>
      <c r="C16" s="256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42345</v>
      </c>
      <c r="D16" s="257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Trả 1 phần gốc KU 1402LDS201501662</v>
      </c>
      <c r="E16" s="258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3411</v>
      </c>
      <c r="F16" s="259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22510</v>
      </c>
      <c r="G16" s="259">
        <f t="shared" ca="1" si="0"/>
        <v>1395620000</v>
      </c>
      <c r="H16" s="274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0</v>
      </c>
      <c r="I16" s="274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62000</v>
      </c>
      <c r="J16" s="275">
        <f t="shared" ca="1" si="1"/>
        <v>94.59</v>
      </c>
      <c r="K16" s="260"/>
      <c r="L16" s="279"/>
    </row>
    <row r="17" spans="1:12" s="250" customFormat="1" ht="21.75" customHeight="1">
      <c r="A17" s="256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42346</v>
      </c>
      <c r="B17" s="256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GBC</v>
      </c>
      <c r="C17" s="256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42346</v>
      </c>
      <c r="D17" s="257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Thu tiền hàng - Cuu Long</v>
      </c>
      <c r="E17" s="258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131</v>
      </c>
      <c r="F17" s="259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22460</v>
      </c>
      <c r="G17" s="259">
        <f t="shared" ca="1" si="0"/>
        <v>261223276</v>
      </c>
      <c r="H17" s="274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11630.6</v>
      </c>
      <c r="I17" s="274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0</v>
      </c>
      <c r="J17" s="275">
        <f t="shared" ca="1" si="1"/>
        <v>11725.19</v>
      </c>
      <c r="K17" s="260"/>
      <c r="L17" s="279"/>
    </row>
    <row r="18" spans="1:12" s="250" customFormat="1" ht="21.75" customHeight="1">
      <c r="A18" s="256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42346</v>
      </c>
      <c r="B18" s="256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256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42346</v>
      </c>
      <c r="D18" s="257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Mua ngoại tệ trả nợ vay</v>
      </c>
      <c r="E18" s="258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1121</v>
      </c>
      <c r="F18" s="259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22460</v>
      </c>
      <c r="G18" s="259">
        <f t="shared" ca="1" si="0"/>
        <v>478398000</v>
      </c>
      <c r="H18" s="274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21300</v>
      </c>
      <c r="I18" s="274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275">
        <f t="shared" ca="1" si="1"/>
        <v>33025.19</v>
      </c>
      <c r="K18" s="260"/>
      <c r="L18" s="279"/>
    </row>
    <row r="19" spans="1:12" s="250" customFormat="1" ht="21.75" customHeight="1">
      <c r="A19" s="256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42346</v>
      </c>
      <c r="B19" s="256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256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42346</v>
      </c>
      <c r="D19" s="257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Hủy bút toán mua NT</v>
      </c>
      <c r="E19" s="258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259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22460</v>
      </c>
      <c r="G19" s="259">
        <f t="shared" ca="1" si="0"/>
        <v>478398000</v>
      </c>
      <c r="H19" s="274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274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21300</v>
      </c>
      <c r="J19" s="275">
        <f t="shared" ca="1" si="1"/>
        <v>11725.19</v>
      </c>
      <c r="K19" s="260"/>
      <c r="L19" s="279"/>
    </row>
    <row r="20" spans="1:12" s="250" customFormat="1" ht="21.75" customHeight="1">
      <c r="A20" s="256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42347</v>
      </c>
      <c r="B20" s="256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GBC</v>
      </c>
      <c r="C20" s="256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42347</v>
      </c>
      <c r="D20" s="257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Mua ngoại tệ trả nợ vay</v>
      </c>
      <c r="E20" s="258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1121</v>
      </c>
      <c r="F20" s="259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22470</v>
      </c>
      <c r="G20" s="259">
        <f t="shared" ca="1" si="0"/>
        <v>478611000</v>
      </c>
      <c r="H20" s="274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21300</v>
      </c>
      <c r="I20" s="274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0</v>
      </c>
      <c r="J20" s="275">
        <f t="shared" ca="1" si="1"/>
        <v>33025.19</v>
      </c>
      <c r="K20" s="260"/>
      <c r="L20" s="279"/>
    </row>
    <row r="21" spans="1:12" s="250" customFormat="1" ht="21.75" customHeight="1">
      <c r="A21" s="256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42347</v>
      </c>
      <c r="B21" s="256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256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42347</v>
      </c>
      <c r="D21" s="257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Trả gốc KU 1402LDS201501740</v>
      </c>
      <c r="E21" s="258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3411</v>
      </c>
      <c r="F21" s="259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22470</v>
      </c>
      <c r="G21" s="259">
        <f t="shared" ca="1" si="0"/>
        <v>741510000</v>
      </c>
      <c r="H21" s="274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274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33000</v>
      </c>
      <c r="J21" s="275">
        <f t="shared" ca="1" si="1"/>
        <v>25.19</v>
      </c>
      <c r="K21" s="260"/>
      <c r="L21" s="279"/>
    </row>
    <row r="22" spans="1:12" s="250" customFormat="1" ht="21.75" customHeight="1">
      <c r="A22" s="256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42362</v>
      </c>
      <c r="B22" s="256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GBC</v>
      </c>
      <c r="C22" s="256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42362</v>
      </c>
      <c r="D22" s="257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Chuyển USD</v>
      </c>
      <c r="E22" s="258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1122</v>
      </c>
      <c r="F22" s="259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22517</v>
      </c>
      <c r="G22" s="259">
        <f t="shared" ca="1" si="0"/>
        <v>981741200</v>
      </c>
      <c r="H22" s="274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43600</v>
      </c>
      <c r="I22" s="274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0</v>
      </c>
      <c r="J22" s="275">
        <f t="shared" ca="1" si="1"/>
        <v>43625.19</v>
      </c>
      <c r="K22" s="260"/>
      <c r="L22" s="279"/>
    </row>
    <row r="23" spans="1:12" s="250" customFormat="1" ht="21.75" customHeight="1">
      <c r="A23" s="256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42362</v>
      </c>
      <c r="B23" s="256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256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42362</v>
      </c>
      <c r="D23" s="257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Trả gốc KU 1402LDS201502032</v>
      </c>
      <c r="E23" s="258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3411</v>
      </c>
      <c r="F23" s="259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22470</v>
      </c>
      <c r="G23" s="259">
        <f t="shared" ca="1" si="0"/>
        <v>979692000</v>
      </c>
      <c r="H23" s="274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274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43600</v>
      </c>
      <c r="J23" s="275">
        <f t="shared" ca="1" si="1"/>
        <v>25.19</v>
      </c>
      <c r="K23" s="260"/>
      <c r="L23" s="279"/>
    </row>
    <row r="24" spans="1:12" s="250" customFormat="1" ht="21.75" customHeight="1">
      <c r="A24" s="256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42368</v>
      </c>
      <c r="B24" s="256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GBC</v>
      </c>
      <c r="C24" s="256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42368</v>
      </c>
      <c r="D24" s="257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Thu tiền hàng - Zhoushan</v>
      </c>
      <c r="E24" s="258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131</v>
      </c>
      <c r="F24" s="259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22460</v>
      </c>
      <c r="G24" s="259">
        <f t="shared" ca="1" si="0"/>
        <v>1358262211</v>
      </c>
      <c r="H24" s="274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60474.720000000001</v>
      </c>
      <c r="I24" s="274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0</v>
      </c>
      <c r="J24" s="275">
        <f t="shared" ca="1" si="1"/>
        <v>60499.91</v>
      </c>
      <c r="K24" s="260"/>
      <c r="L24" s="279"/>
    </row>
    <row r="25" spans="1:12" s="250" customFormat="1" ht="21.75" customHeight="1">
      <c r="A25" s="256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42368</v>
      </c>
      <c r="B25" s="256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GBN</v>
      </c>
      <c r="C25" s="256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42368</v>
      </c>
      <c r="D25" s="257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 xml:space="preserve">Bán NT chuyển TK VND </v>
      </c>
      <c r="E25" s="258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1121</v>
      </c>
      <c r="F25" s="259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22460</v>
      </c>
      <c r="G25" s="259">
        <f t="shared" ca="1" si="0"/>
        <v>1356584000</v>
      </c>
      <c r="H25" s="274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274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60400</v>
      </c>
      <c r="J25" s="275">
        <f t="shared" ca="1" si="1"/>
        <v>99.91</v>
      </c>
      <c r="K25" s="260"/>
      <c r="L25" s="279"/>
    </row>
    <row r="26" spans="1:12" s="250" customFormat="1" ht="21.75" customHeight="1">
      <c r="A26" s="256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42368</v>
      </c>
      <c r="B26" s="256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GBC</v>
      </c>
      <c r="C26" s="256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42368</v>
      </c>
      <c r="D26" s="257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Thu tiền hàng - O.Cheon</v>
      </c>
      <c r="E26" s="258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131</v>
      </c>
      <c r="F26" s="259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22460</v>
      </c>
      <c r="G26" s="259">
        <f t="shared" ca="1" si="0"/>
        <v>2195248486</v>
      </c>
      <c r="H26" s="274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97740.36</v>
      </c>
      <c r="I26" s="274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0</v>
      </c>
      <c r="J26" s="275">
        <f t="shared" ca="1" si="1"/>
        <v>97840.27</v>
      </c>
      <c r="K26" s="260"/>
      <c r="L26" s="279"/>
    </row>
    <row r="27" spans="1:12" s="250" customFormat="1" ht="21.75" hidden="1" customHeight="1">
      <c r="A27" s="256" t="str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/>
      </c>
      <c r="B27" s="256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/>
      </c>
      <c r="C27" s="256" t="str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/>
      </c>
      <c r="D27" s="257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/>
      </c>
      <c r="E27" s="258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/>
      </c>
      <c r="F27" s="259" t="str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/>
      </c>
      <c r="G27" s="259" t="str">
        <f t="shared" ca="1" si="0"/>
        <v/>
      </c>
      <c r="H27" s="274" t="str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/>
      </c>
      <c r="I27" s="274" t="str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/>
      </c>
      <c r="J27" s="275" t="str">
        <f t="shared" ca="1" si="1"/>
        <v/>
      </c>
      <c r="K27" s="260"/>
      <c r="L27" s="279"/>
    </row>
    <row r="28" spans="1:12" s="250" customFormat="1" ht="21.75" hidden="1" customHeight="1">
      <c r="A28" s="256" t="str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/>
      </c>
      <c r="B28" s="256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/>
      </c>
      <c r="C28" s="256" t="str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/>
      </c>
      <c r="D28" s="257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/>
      </c>
      <c r="E28" s="258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/>
      </c>
      <c r="F28" s="259" t="str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/>
      </c>
      <c r="G28" s="259" t="str">
        <f t="shared" ca="1" si="0"/>
        <v/>
      </c>
      <c r="H28" s="274" t="str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/>
      </c>
      <c r="I28" s="274" t="str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/>
      </c>
      <c r="J28" s="275" t="str">
        <f t="shared" ca="1" si="1"/>
        <v/>
      </c>
      <c r="K28" s="260"/>
      <c r="L28" s="279"/>
    </row>
    <row r="29" spans="1:12" s="250" customFormat="1" ht="21.75" hidden="1" customHeight="1">
      <c r="A29" s="256" t="str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/>
      </c>
      <c r="B29" s="256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/>
      </c>
      <c r="C29" s="256" t="str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/>
      </c>
      <c r="D29" s="257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/>
      </c>
      <c r="E29" s="258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/>
      </c>
      <c r="F29" s="259" t="str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/>
      </c>
      <c r="G29" s="259" t="str">
        <f t="shared" ca="1" si="0"/>
        <v/>
      </c>
      <c r="H29" s="274" t="str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/>
      </c>
      <c r="I29" s="274" t="str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/>
      </c>
      <c r="J29" s="275" t="str">
        <f t="shared" ca="1" si="1"/>
        <v/>
      </c>
      <c r="K29" s="260"/>
      <c r="L29" s="279"/>
    </row>
    <row r="30" spans="1:12" s="250" customFormat="1" ht="21.75" hidden="1" customHeight="1">
      <c r="A30" s="256" t="str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/>
      </c>
      <c r="B30" s="256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/>
      </c>
      <c r="C30" s="256" t="str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/>
      </c>
      <c r="D30" s="257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/>
      </c>
      <c r="E30" s="258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/>
      </c>
      <c r="F30" s="259" t="str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/>
      </c>
      <c r="G30" s="259" t="str">
        <f t="shared" ca="1" si="0"/>
        <v/>
      </c>
      <c r="H30" s="274" t="str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/>
      </c>
      <c r="I30" s="274" t="str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/>
      </c>
      <c r="J30" s="275" t="str">
        <f t="shared" ca="1" si="1"/>
        <v/>
      </c>
      <c r="K30" s="260"/>
      <c r="L30" s="279"/>
    </row>
    <row r="31" spans="1:12" s="250" customFormat="1" ht="21.75" hidden="1" customHeight="1">
      <c r="A31" s="256" t="str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/>
      </c>
      <c r="B31" s="256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/>
      </c>
      <c r="C31" s="256" t="str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/>
      </c>
      <c r="D31" s="257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/>
      </c>
      <c r="E31" s="258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/>
      </c>
      <c r="F31" s="259" t="str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/>
      </c>
      <c r="G31" s="259" t="str">
        <f t="shared" ca="1" si="0"/>
        <v/>
      </c>
      <c r="H31" s="274" t="str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/>
      </c>
      <c r="I31" s="274" t="str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/>
      </c>
      <c r="J31" s="275" t="str">
        <f t="shared" ca="1" si="1"/>
        <v/>
      </c>
      <c r="K31" s="260"/>
      <c r="L31" s="279"/>
    </row>
    <row r="32" spans="1:12" s="250" customFormat="1" ht="21.75" hidden="1" customHeight="1">
      <c r="A32" s="256" t="str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/>
      </c>
      <c r="B32" s="256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/>
      </c>
      <c r="C32" s="256" t="str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/>
      </c>
      <c r="D32" s="257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/>
      </c>
      <c r="E32" s="258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/>
      </c>
      <c r="F32" s="259" t="str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/>
      </c>
      <c r="G32" s="259" t="str">
        <f t="shared" ca="1" si="0"/>
        <v/>
      </c>
      <c r="H32" s="274" t="str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/>
      </c>
      <c r="I32" s="274" t="str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/>
      </c>
      <c r="J32" s="275" t="str">
        <f t="shared" ca="1" si="1"/>
        <v/>
      </c>
      <c r="K32" s="260"/>
      <c r="L32" s="279"/>
    </row>
    <row r="33" spans="1:12" s="250" customFormat="1" ht="21.75" hidden="1" customHeight="1">
      <c r="A33" s="256" t="str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/>
      </c>
      <c r="B33" s="256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/>
      </c>
      <c r="C33" s="256" t="str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/>
      </c>
      <c r="D33" s="257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/>
      </c>
      <c r="E33" s="258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/>
      </c>
      <c r="F33" s="259" t="str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/>
      </c>
      <c r="G33" s="259" t="str">
        <f t="shared" ca="1" si="0"/>
        <v/>
      </c>
      <c r="H33" s="274" t="str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/>
      </c>
      <c r="I33" s="274" t="str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/>
      </c>
      <c r="J33" s="275" t="str">
        <f t="shared" ca="1" si="1"/>
        <v/>
      </c>
      <c r="K33" s="260"/>
      <c r="L33" s="279"/>
    </row>
    <row r="34" spans="1:12" s="250" customFormat="1" ht="21.75" hidden="1" customHeight="1">
      <c r="A34" s="256" t="str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/>
      </c>
      <c r="B34" s="256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/>
      </c>
      <c r="C34" s="256" t="str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/>
      </c>
      <c r="D34" s="257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/>
      </c>
      <c r="E34" s="258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/>
      </c>
      <c r="F34" s="259" t="str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/>
      </c>
      <c r="G34" s="259" t="str">
        <f t="shared" ca="1" si="0"/>
        <v/>
      </c>
      <c r="H34" s="274" t="str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/>
      </c>
      <c r="I34" s="274" t="str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/>
      </c>
      <c r="J34" s="275" t="str">
        <f t="shared" ca="1" si="1"/>
        <v/>
      </c>
      <c r="K34" s="260"/>
      <c r="L34" s="279"/>
    </row>
    <row r="35" spans="1:12" s="250" customFormat="1" ht="21.75" hidden="1" customHeight="1">
      <c r="A35" s="256" t="str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/>
      </c>
      <c r="B35" s="256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/>
      </c>
      <c r="C35" s="256" t="str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/>
      </c>
      <c r="D35" s="257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/>
      </c>
      <c r="E35" s="258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/>
      </c>
      <c r="F35" s="259" t="str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/>
      </c>
      <c r="G35" s="259" t="str">
        <f t="shared" ca="1" si="0"/>
        <v/>
      </c>
      <c r="H35" s="274" t="str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/>
      </c>
      <c r="I35" s="274" t="str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/>
      </c>
      <c r="J35" s="275" t="str">
        <f t="shared" ca="1" si="1"/>
        <v/>
      </c>
      <c r="K35" s="260"/>
      <c r="L35" s="279"/>
    </row>
    <row r="36" spans="1:12" s="250" customFormat="1" ht="21.75" hidden="1" customHeight="1">
      <c r="A36" s="256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256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256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257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258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259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259" t="str">
        <f t="shared" ca="1" si="0"/>
        <v/>
      </c>
      <c r="H36" s="274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274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275" t="str">
        <f t="shared" ca="1" si="1"/>
        <v/>
      </c>
      <c r="K36" s="260"/>
      <c r="L36" s="279"/>
    </row>
    <row r="37" spans="1:12" s="250" customFormat="1" ht="21.75" hidden="1" customHeight="1">
      <c r="A37" s="256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256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256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257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258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259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259" t="str">
        <f t="shared" ca="1" si="0"/>
        <v/>
      </c>
      <c r="H37" s="274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274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275" t="str">
        <f t="shared" ca="1" si="1"/>
        <v/>
      </c>
      <c r="K37" s="260"/>
      <c r="L37" s="279"/>
    </row>
    <row r="38" spans="1:12" s="250" customFormat="1" ht="21.75" hidden="1" customHeight="1">
      <c r="A38" s="256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256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256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257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258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259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259" t="str">
        <f t="shared" ca="1" si="0"/>
        <v/>
      </c>
      <c r="H38" s="274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274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275" t="str">
        <f t="shared" ca="1" si="1"/>
        <v/>
      </c>
      <c r="K38" s="260"/>
      <c r="L38" s="279"/>
    </row>
    <row r="39" spans="1:12" s="250" customFormat="1" ht="21.75" hidden="1" customHeight="1">
      <c r="A39" s="256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256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256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257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258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259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259" t="str">
        <f t="shared" ca="1" si="0"/>
        <v/>
      </c>
      <c r="H39" s="274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274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275" t="str">
        <f t="shared" ca="1" si="1"/>
        <v/>
      </c>
      <c r="K39" s="260"/>
      <c r="L39" s="279"/>
    </row>
    <row r="40" spans="1:12" s="250" customFormat="1" ht="21.75" customHeight="1">
      <c r="A40" s="256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256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256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257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258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259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259" t="str">
        <f t="shared" ca="1" si="0"/>
        <v/>
      </c>
      <c r="H40" s="274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274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275" t="str">
        <f t="shared" ca="1" si="1"/>
        <v/>
      </c>
      <c r="K40" s="260"/>
      <c r="L40" s="279"/>
    </row>
    <row r="41" spans="1:12" s="250" customFormat="1" ht="21.75" customHeight="1">
      <c r="A41" s="262"/>
      <c r="B41" s="263"/>
      <c r="C41" s="262"/>
      <c r="D41" s="255" t="s">
        <v>29</v>
      </c>
      <c r="E41" s="264"/>
      <c r="F41" s="264"/>
      <c r="G41" s="264"/>
      <c r="H41" s="273">
        <f ca="1">SUM(H12:H40)</f>
        <v>394345.68</v>
      </c>
      <c r="I41" s="273">
        <f ca="1">SUM(I12:I40)</f>
        <v>296600</v>
      </c>
      <c r="J41" s="273">
        <f ca="1">J11+H41-I41</f>
        <v>97840.270000000135</v>
      </c>
      <c r="K41" s="266"/>
      <c r="L41" s="280"/>
    </row>
    <row r="42" spans="1:12" s="250" customFormat="1" ht="21.75" customHeight="1">
      <c r="A42" s="262"/>
      <c r="B42" s="263"/>
      <c r="C42" s="262"/>
      <c r="D42" s="255" t="s">
        <v>431</v>
      </c>
      <c r="E42" s="264"/>
      <c r="F42" s="264"/>
      <c r="G42" s="264"/>
      <c r="H42" s="255"/>
      <c r="I42" s="255"/>
      <c r="J42" s="273">
        <f ca="1">J41</f>
        <v>97840.270000000135</v>
      </c>
      <c r="K42" s="266"/>
      <c r="L42" s="280"/>
    </row>
    <row r="43" spans="1:12" s="250" customFormat="1" ht="15" customHeight="1">
      <c r="A43" s="440"/>
      <c r="B43" s="276"/>
      <c r="C43" s="440"/>
      <c r="D43" s="278"/>
      <c r="E43" s="441"/>
      <c r="F43" s="441"/>
      <c r="G43" s="441"/>
      <c r="H43" s="278"/>
      <c r="I43" s="278"/>
      <c r="J43" s="458"/>
      <c r="K43" s="280"/>
      <c r="L43" s="280"/>
    </row>
    <row r="44" spans="1:12" s="250" customFormat="1" ht="15" customHeight="1">
      <c r="A44" s="423" t="s">
        <v>432</v>
      </c>
      <c r="B44" s="424"/>
      <c r="C44" s="425"/>
      <c r="D44" s="426"/>
      <c r="E44" s="427"/>
      <c r="F44" s="427"/>
      <c r="G44" s="427"/>
      <c r="H44" s="428"/>
      <c r="I44" s="428"/>
      <c r="J44" s="457"/>
    </row>
    <row r="45" spans="1:12" s="250" customFormat="1" ht="15" customHeight="1">
      <c r="A45" s="429" t="str">
        <f ca="1">IF(ISERROR(" - Ngày mở sổ: ngày "&amp;DAY(A12)&amp;" tháng "&amp;MONTH(A12)&amp;" năm "&amp;YEAR(A12))," - Ngày mở sổ: ngày 01 tháng  01 năm 2015 "," - Ngày mở sổ: ngày "&amp;DAY(A12)&amp;" tháng "&amp;MONTH(A12)&amp;" năm "&amp;YEAR(A12))</f>
        <v xml:space="preserve"> - Ngày mở sổ: ngày 1 tháng 12 năm 2015</v>
      </c>
      <c r="B45" s="430"/>
      <c r="C45" s="425"/>
      <c r="D45" s="426"/>
      <c r="E45" s="427"/>
      <c r="F45" s="427"/>
      <c r="G45" s="427"/>
    </row>
    <row r="46" spans="1:12" s="250" customFormat="1" ht="15" customHeight="1">
      <c r="A46" s="431"/>
      <c r="B46" s="432"/>
      <c r="C46" s="433"/>
      <c r="D46" s="426"/>
      <c r="E46" s="427"/>
      <c r="F46" s="427"/>
      <c r="G46" s="427"/>
      <c r="I46" s="517" t="str">
        <f>IF(OR($M$6=1,$M$6=4,$M$6=6,$M$6=9,$M$6=11),"Ngày  30  tháng  "&amp;$M$6&amp;"  năm 2015",IF(OR($M$6=3,$M$6=5,$M$6=7,$M$6=8,$M$6=10,$M$6=12),"Ngày  31  tháng  "&amp;$M$6&amp;"  năm 2015","Ngày  29  tháng  "&amp;$M$6&amp;"  năm 2015"))</f>
        <v>Ngày  31  tháng  12  năm 2015</v>
      </c>
      <c r="J46" s="517"/>
      <c r="K46" s="517"/>
      <c r="L46" s="434"/>
    </row>
    <row r="47" spans="1:12" s="250" customFormat="1" ht="15" customHeight="1">
      <c r="B47" s="535"/>
      <c r="C47" s="448" t="s">
        <v>33</v>
      </c>
      <c r="D47" s="426"/>
      <c r="E47" s="435" t="s">
        <v>13</v>
      </c>
      <c r="F47" s="435"/>
      <c r="G47" s="435"/>
      <c r="H47" s="436"/>
      <c r="I47" s="432"/>
      <c r="J47" s="437" t="s">
        <v>14</v>
      </c>
      <c r="K47" s="437"/>
      <c r="L47" s="437"/>
    </row>
    <row r="48" spans="1:12" s="250" customFormat="1" ht="15" customHeight="1">
      <c r="C48" s="438" t="s">
        <v>15</v>
      </c>
      <c r="D48" s="426"/>
      <c r="E48" s="439" t="s">
        <v>15</v>
      </c>
      <c r="F48" s="439"/>
      <c r="G48" s="439"/>
      <c r="H48" s="430"/>
      <c r="I48" s="520" t="s">
        <v>16</v>
      </c>
      <c r="J48" s="520"/>
      <c r="K48" s="520"/>
      <c r="L48" s="430"/>
    </row>
    <row r="49" spans="2:11" s="250" customFormat="1" ht="15" customHeight="1">
      <c r="B49" s="438"/>
      <c r="C49" s="536"/>
      <c r="D49" s="426"/>
      <c r="E49" s="427"/>
      <c r="F49" s="427"/>
      <c r="G49" s="427"/>
    </row>
    <row r="50" spans="2:11" s="250" customFormat="1" ht="15" customHeight="1">
      <c r="B50" s="438"/>
      <c r="C50" s="536"/>
      <c r="D50" s="426"/>
      <c r="E50" s="427"/>
      <c r="F50" s="427"/>
      <c r="G50" s="427"/>
    </row>
    <row r="51" spans="2:11" s="250" customFormat="1" ht="15" customHeight="1">
      <c r="B51" s="438"/>
      <c r="C51" s="536"/>
      <c r="D51" s="426"/>
      <c r="E51" s="427"/>
      <c r="F51" s="427"/>
      <c r="G51" s="427"/>
    </row>
    <row r="52" spans="2:11" s="250" customFormat="1" ht="15" customHeight="1">
      <c r="B52" s="438"/>
      <c r="C52" s="536"/>
      <c r="D52" s="426"/>
      <c r="E52" s="427"/>
      <c r="F52" s="427"/>
      <c r="G52" s="427"/>
    </row>
    <row r="53" spans="2:11" s="250" customFormat="1" ht="15" customHeight="1">
      <c r="B53" s="438"/>
      <c r="C53" s="536"/>
      <c r="D53" s="426"/>
      <c r="E53" s="427"/>
      <c r="F53" s="427"/>
      <c r="G53" s="427"/>
    </row>
    <row r="54" spans="2:11" ht="15" customHeight="1">
      <c r="B54" s="444"/>
      <c r="C54" s="443" t="s">
        <v>1388</v>
      </c>
      <c r="I54" s="517" t="s">
        <v>1389</v>
      </c>
      <c r="J54" s="517"/>
      <c r="K54" s="517"/>
    </row>
    <row r="55" spans="2:11" ht="18.75" customHeight="1"/>
    <row r="56" spans="2:11" ht="18.75" customHeight="1"/>
    <row r="57" spans="2:11" ht="18.75" customHeight="1"/>
    <row r="58" spans="2:11" ht="18.75" customHeight="1"/>
    <row r="59" spans="2:11">
      <c r="H59" s="272">
        <f>ROWS($1:40)</f>
        <v>40</v>
      </c>
    </row>
  </sheetData>
  <sheetProtection insertRows="0" deleteRows="0" autoFilter="0"/>
  <autoFilter ref="A10:K40"/>
  <dataConsolidate/>
  <mergeCells count="18">
    <mergeCell ref="B8:C8"/>
    <mergeCell ref="D8:D9"/>
    <mergeCell ref="H8:J8"/>
    <mergeCell ref="K8:K9"/>
    <mergeCell ref="E8:E9"/>
    <mergeCell ref="I54:K54"/>
    <mergeCell ref="H1:K1"/>
    <mergeCell ref="H2:K2"/>
    <mergeCell ref="H3:K3"/>
    <mergeCell ref="A4:K4"/>
    <mergeCell ref="A5:K5"/>
    <mergeCell ref="I48:K48"/>
    <mergeCell ref="A6:D6"/>
    <mergeCell ref="E6:H6"/>
    <mergeCell ref="F8:F9"/>
    <mergeCell ref="G8:G9"/>
    <mergeCell ref="I46:K46"/>
    <mergeCell ref="A8:A9"/>
  </mergeCells>
  <phoneticPr fontId="54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9" right="0.3" top="0.3" bottom="0.3" header="0.1" footer="0.1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indexed="31"/>
  </sheetPr>
  <dimension ref="A1:M122"/>
  <sheetViews>
    <sheetView topLeftCell="B8" zoomScale="90" workbookViewId="0">
      <pane ySplit="5" topLeftCell="A103" activePane="bottomLeft" state="frozen"/>
      <selection activeCell="B8" sqref="B8"/>
      <selection pane="bottomLeft" activeCell="B122" sqref="A122:XFD122"/>
    </sheetView>
  </sheetViews>
  <sheetFormatPr defaultRowHeight="15"/>
  <cols>
    <col min="1" max="1" width="8" style="6" hidden="1" customWidth="1"/>
    <col min="2" max="3" width="9.42578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hidden="1" customWidth="1"/>
    <col min="8" max="8" width="34.85546875" style="6" hidden="1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60" t="s">
        <v>132</v>
      </c>
      <c r="K1" s="460"/>
      <c r="L1" s="460"/>
      <c r="M1" s="460"/>
    </row>
    <row r="2" spans="1:13" s="11" customFormat="1" ht="16.5" customHeight="1">
      <c r="B2" s="1" t="s">
        <v>49</v>
      </c>
      <c r="C2" s="317"/>
      <c r="D2" s="317"/>
      <c r="E2" s="317"/>
      <c r="F2" s="317"/>
      <c r="G2" s="317"/>
      <c r="H2" s="317"/>
      <c r="J2" s="461" t="s">
        <v>133</v>
      </c>
      <c r="K2" s="461"/>
      <c r="L2" s="461"/>
      <c r="M2" s="461"/>
    </row>
    <row r="3" spans="1:13" s="11" customFormat="1" ht="16.5" customHeight="1">
      <c r="B3" s="9"/>
      <c r="C3" s="317"/>
      <c r="D3" s="14"/>
      <c r="E3" s="14"/>
      <c r="F3" s="317"/>
      <c r="G3" s="317"/>
      <c r="H3" s="317"/>
      <c r="J3" s="461"/>
      <c r="K3" s="461"/>
      <c r="L3" s="461"/>
      <c r="M3" s="461"/>
    </row>
    <row r="4" spans="1:13" s="11" customFormat="1" ht="6.75" customHeight="1">
      <c r="B4" s="317"/>
      <c r="C4" s="317"/>
      <c r="D4" s="317"/>
      <c r="E4" s="317"/>
      <c r="F4" s="317"/>
      <c r="G4" s="317"/>
      <c r="H4" s="317"/>
      <c r="J4" s="318"/>
      <c r="K4" s="318"/>
      <c r="L4" s="318"/>
      <c r="M4" s="318"/>
    </row>
    <row r="5" spans="1:13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</row>
    <row r="6" spans="1:13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</row>
    <row r="7" spans="1:13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</row>
    <row r="8" spans="1:13">
      <c r="B8" s="15"/>
      <c r="L8" s="15" t="s">
        <v>19</v>
      </c>
    </row>
    <row r="9" spans="1:13" ht="27.75" customHeight="1">
      <c r="B9" s="464" t="s">
        <v>20</v>
      </c>
      <c r="C9" s="464" t="s">
        <v>21</v>
      </c>
      <c r="D9" s="463" t="s">
        <v>2</v>
      </c>
      <c r="E9" s="463"/>
      <c r="F9" s="463" t="s">
        <v>3</v>
      </c>
      <c r="G9" s="464" t="s">
        <v>134</v>
      </c>
      <c r="H9" s="464" t="s">
        <v>135</v>
      </c>
      <c r="I9" s="464" t="s">
        <v>22</v>
      </c>
      <c r="J9" s="463" t="s">
        <v>23</v>
      </c>
      <c r="K9" s="463"/>
      <c r="L9" s="463" t="s">
        <v>24</v>
      </c>
      <c r="M9" s="463" t="s">
        <v>4</v>
      </c>
    </row>
    <row r="10" spans="1:13" ht="24" customHeight="1">
      <c r="B10" s="465"/>
      <c r="C10" s="465"/>
      <c r="D10" s="320" t="s">
        <v>5</v>
      </c>
      <c r="E10" s="320" t="s">
        <v>6</v>
      </c>
      <c r="F10" s="463"/>
      <c r="G10" s="465"/>
      <c r="H10" s="465"/>
      <c r="I10" s="465"/>
      <c r="J10" s="320" t="s">
        <v>25</v>
      </c>
      <c r="K10" s="320" t="s">
        <v>26</v>
      </c>
      <c r="L10" s="463"/>
      <c r="M10" s="46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28">
        <f>[3]CDPS!$C$10</f>
        <v>990947112</v>
      </c>
      <c r="M12" s="29"/>
    </row>
    <row r="13" spans="1:13" ht="17.25" customHeight="1">
      <c r="A13" s="6" t="str">
        <f t="shared" ref="A13:A86" si="0">D13&amp;E13</f>
        <v>C01</v>
      </c>
      <c r="B13" s="3">
        <v>42006</v>
      </c>
      <c r="C13" s="3">
        <v>42005</v>
      </c>
      <c r="D13" s="4"/>
      <c r="E13" s="20" t="s">
        <v>136</v>
      </c>
      <c r="F13" s="5" t="s">
        <v>117</v>
      </c>
      <c r="G13" s="105" t="s">
        <v>220</v>
      </c>
      <c r="H13" s="5" t="s">
        <v>221</v>
      </c>
      <c r="I13" s="26" t="s">
        <v>34</v>
      </c>
      <c r="J13" s="19"/>
      <c r="K13" s="5">
        <v>12250000</v>
      </c>
      <c r="L13" s="4">
        <f t="shared" ref="L13:L45" si="1">IF(F13&lt;&gt;"",L12+J13-K13,0)</f>
        <v>978697112</v>
      </c>
      <c r="M13" s="18"/>
    </row>
    <row r="14" spans="1:13" ht="17.25" customHeight="1">
      <c r="A14" s="6" t="str">
        <f t="shared" si="0"/>
        <v>C02</v>
      </c>
      <c r="B14" s="3">
        <v>42006</v>
      </c>
      <c r="C14" s="3">
        <v>42003</v>
      </c>
      <c r="D14" s="4"/>
      <c r="E14" s="20" t="s">
        <v>137</v>
      </c>
      <c r="F14" s="5" t="s">
        <v>45</v>
      </c>
      <c r="G14" s="105" t="s">
        <v>179</v>
      </c>
      <c r="H14" s="5" t="s">
        <v>180</v>
      </c>
      <c r="I14" s="26" t="s">
        <v>93</v>
      </c>
      <c r="J14" s="19"/>
      <c r="K14" s="5">
        <v>10800000</v>
      </c>
      <c r="L14" s="4">
        <f t="shared" si="1"/>
        <v>967897112</v>
      </c>
      <c r="M14" s="18"/>
    </row>
    <row r="15" spans="1:13" ht="17.25" customHeight="1">
      <c r="A15" s="6" t="str">
        <f t="shared" si="0"/>
        <v>C02</v>
      </c>
      <c r="B15" s="3">
        <v>42006</v>
      </c>
      <c r="C15" s="3">
        <v>42003</v>
      </c>
      <c r="D15" s="4"/>
      <c r="E15" s="20" t="s">
        <v>137</v>
      </c>
      <c r="F15" s="5" t="s">
        <v>46</v>
      </c>
      <c r="G15" s="105" t="s">
        <v>179</v>
      </c>
      <c r="H15" s="5" t="s">
        <v>180</v>
      </c>
      <c r="I15" s="26" t="s">
        <v>35</v>
      </c>
      <c r="J15" s="19"/>
      <c r="K15" s="5">
        <v>1080000</v>
      </c>
      <c r="L15" s="4">
        <f t="shared" si="1"/>
        <v>966817112</v>
      </c>
      <c r="M15" s="18"/>
    </row>
    <row r="16" spans="1:13" ht="17.25" customHeight="1">
      <c r="A16" s="6" t="str">
        <f t="shared" si="0"/>
        <v>C03</v>
      </c>
      <c r="B16" s="3">
        <v>42006</v>
      </c>
      <c r="C16" s="3">
        <v>42004</v>
      </c>
      <c r="D16" s="4"/>
      <c r="E16" s="20" t="s">
        <v>138</v>
      </c>
      <c r="F16" s="5" t="s">
        <v>66</v>
      </c>
      <c r="G16" s="105" t="s">
        <v>181</v>
      </c>
      <c r="H16" s="5" t="s">
        <v>182</v>
      </c>
      <c r="I16" s="26" t="s">
        <v>94</v>
      </c>
      <c r="J16" s="19"/>
      <c r="K16" s="5">
        <v>2238391</v>
      </c>
      <c r="L16" s="4">
        <f t="shared" si="1"/>
        <v>964578721</v>
      </c>
      <c r="M16" s="18"/>
    </row>
    <row r="17" spans="1:13" ht="17.25" customHeight="1">
      <c r="A17" s="6" t="str">
        <f t="shared" si="0"/>
        <v>C03</v>
      </c>
      <c r="B17" s="3">
        <v>42006</v>
      </c>
      <c r="C17" s="3">
        <v>42004</v>
      </c>
      <c r="D17" s="4"/>
      <c r="E17" s="20" t="s">
        <v>138</v>
      </c>
      <c r="F17" s="5" t="s">
        <v>67</v>
      </c>
      <c r="G17" s="105" t="s">
        <v>181</v>
      </c>
      <c r="H17" s="5" t="s">
        <v>182</v>
      </c>
      <c r="I17" s="26" t="s">
        <v>35</v>
      </c>
      <c r="J17" s="19"/>
      <c r="K17" s="5">
        <v>223839</v>
      </c>
      <c r="L17" s="4">
        <f t="shared" si="1"/>
        <v>964354882</v>
      </c>
      <c r="M17" s="18"/>
    </row>
    <row r="18" spans="1:13" ht="17.25" customHeight="1">
      <c r="A18" s="6" t="str">
        <f t="shared" si="0"/>
        <v>C04</v>
      </c>
      <c r="B18" s="3">
        <v>42006</v>
      </c>
      <c r="C18" s="3">
        <v>42004</v>
      </c>
      <c r="D18" s="4"/>
      <c r="E18" s="20" t="s">
        <v>139</v>
      </c>
      <c r="F18" s="5" t="s">
        <v>68</v>
      </c>
      <c r="G18" s="105" t="s">
        <v>185</v>
      </c>
      <c r="H18" s="5" t="s">
        <v>263</v>
      </c>
      <c r="I18" s="26" t="s">
        <v>94</v>
      </c>
      <c r="J18" s="19"/>
      <c r="K18" s="5">
        <v>110000</v>
      </c>
      <c r="L18" s="4">
        <f t="shared" si="1"/>
        <v>964244882</v>
      </c>
      <c r="M18" s="18"/>
    </row>
    <row r="19" spans="1:13" ht="17.25" customHeight="1">
      <c r="A19" s="6" t="str">
        <f t="shared" si="0"/>
        <v>C05</v>
      </c>
      <c r="B19" s="3">
        <v>42006</v>
      </c>
      <c r="C19" s="3">
        <v>42006</v>
      </c>
      <c r="D19" s="4"/>
      <c r="E19" s="20" t="s">
        <v>140</v>
      </c>
      <c r="F19" s="5" t="s">
        <v>69</v>
      </c>
      <c r="G19" s="105" t="s">
        <v>183</v>
      </c>
      <c r="H19" s="5" t="s">
        <v>184</v>
      </c>
      <c r="I19" s="26" t="s">
        <v>94</v>
      </c>
      <c r="J19" s="19"/>
      <c r="K19" s="5">
        <v>3325000</v>
      </c>
      <c r="L19" s="4">
        <f t="shared" si="1"/>
        <v>960919882</v>
      </c>
      <c r="M19" s="18"/>
    </row>
    <row r="20" spans="1:13" ht="17.25" customHeight="1">
      <c r="A20" s="6" t="str">
        <f t="shared" si="0"/>
        <v>C05</v>
      </c>
      <c r="B20" s="3">
        <v>42006</v>
      </c>
      <c r="C20" s="3">
        <v>42006</v>
      </c>
      <c r="D20" s="4"/>
      <c r="E20" s="20" t="s">
        <v>140</v>
      </c>
      <c r="F20" s="5" t="s">
        <v>70</v>
      </c>
      <c r="G20" s="105" t="s">
        <v>183</v>
      </c>
      <c r="H20" s="5" t="s">
        <v>184</v>
      </c>
      <c r="I20" s="26" t="s">
        <v>35</v>
      </c>
      <c r="J20" s="19"/>
      <c r="K20" s="5">
        <v>332500</v>
      </c>
      <c r="L20" s="4">
        <f t="shared" si="1"/>
        <v>960587382</v>
      </c>
      <c r="M20" s="18"/>
    </row>
    <row r="21" spans="1:13" ht="17.25" customHeight="1">
      <c r="A21" s="6" t="str">
        <f t="shared" si="0"/>
        <v>C06</v>
      </c>
      <c r="B21" s="3">
        <v>42009</v>
      </c>
      <c r="C21" s="3">
        <v>42009</v>
      </c>
      <c r="D21" s="4"/>
      <c r="E21" s="20" t="s">
        <v>141</v>
      </c>
      <c r="F21" s="5" t="s">
        <v>71</v>
      </c>
      <c r="G21" s="5"/>
      <c r="H21" s="5" t="s">
        <v>186</v>
      </c>
      <c r="I21" s="26" t="s">
        <v>36</v>
      </c>
      <c r="J21" s="19"/>
      <c r="K21" s="5">
        <v>869000000</v>
      </c>
      <c r="L21" s="4">
        <f t="shared" si="1"/>
        <v>91587382</v>
      </c>
      <c r="M21" s="18"/>
    </row>
    <row r="22" spans="1:13" ht="17.25" customHeight="1">
      <c r="A22" s="6" t="str">
        <f t="shared" si="0"/>
        <v>T01</v>
      </c>
      <c r="B22" s="3">
        <v>42010</v>
      </c>
      <c r="C22" s="3">
        <v>42010</v>
      </c>
      <c r="D22" s="4" t="s">
        <v>39</v>
      </c>
      <c r="E22" s="20"/>
      <c r="F22" s="28" t="s">
        <v>120</v>
      </c>
      <c r="G22" s="28"/>
      <c r="H22" s="5" t="s">
        <v>187</v>
      </c>
      <c r="I22" s="26" t="s">
        <v>36</v>
      </c>
      <c r="J22" s="19">
        <v>1048000000</v>
      </c>
      <c r="K22" s="5"/>
      <c r="L22" s="4">
        <f t="shared" si="1"/>
        <v>1139587382</v>
      </c>
      <c r="M22" s="18"/>
    </row>
    <row r="23" spans="1:13" ht="17.25" customHeight="1">
      <c r="A23" s="6" t="str">
        <f t="shared" si="0"/>
        <v>C07</v>
      </c>
      <c r="B23" s="3">
        <v>42010</v>
      </c>
      <c r="C23" s="3">
        <v>42010</v>
      </c>
      <c r="D23" s="18"/>
      <c r="E23" s="20" t="s">
        <v>142</v>
      </c>
      <c r="F23" s="18" t="s">
        <v>332</v>
      </c>
      <c r="G23" s="18"/>
      <c r="H23" s="18" t="s">
        <v>333</v>
      </c>
      <c r="I23" s="26" t="s">
        <v>334</v>
      </c>
      <c r="J23" s="18"/>
      <c r="K23" s="18">
        <v>500000000</v>
      </c>
      <c r="L23" s="4">
        <f t="shared" si="1"/>
        <v>639587382</v>
      </c>
      <c r="M23" s="18"/>
    </row>
    <row r="24" spans="1:13" ht="17.25" customHeight="1">
      <c r="A24" s="6" t="str">
        <f t="shared" si="0"/>
        <v>C08</v>
      </c>
      <c r="B24" s="3">
        <v>42010</v>
      </c>
      <c r="C24" s="3">
        <v>42010</v>
      </c>
      <c r="D24" s="4"/>
      <c r="E24" s="20" t="s">
        <v>143</v>
      </c>
      <c r="F24" s="5" t="s">
        <v>71</v>
      </c>
      <c r="G24" s="5"/>
      <c r="H24" s="5" t="s">
        <v>187</v>
      </c>
      <c r="I24" s="26" t="s">
        <v>36</v>
      </c>
      <c r="J24" s="19"/>
      <c r="K24" s="5">
        <v>200000000</v>
      </c>
      <c r="L24" s="4">
        <f t="shared" si="1"/>
        <v>439587382</v>
      </c>
      <c r="M24" s="18"/>
    </row>
    <row r="25" spans="1:13" ht="17.25" customHeight="1">
      <c r="A25" s="6" t="str">
        <f t="shared" si="0"/>
        <v>C09</v>
      </c>
      <c r="B25" s="3">
        <v>42010</v>
      </c>
      <c r="C25" s="3">
        <v>42010</v>
      </c>
      <c r="D25" s="4"/>
      <c r="E25" s="20" t="s">
        <v>144</v>
      </c>
      <c r="F25" s="5" t="s">
        <v>72</v>
      </c>
      <c r="G25" s="105" t="s">
        <v>188</v>
      </c>
      <c r="H25" s="5" t="s">
        <v>264</v>
      </c>
      <c r="I25" s="26" t="s">
        <v>94</v>
      </c>
      <c r="J25" s="19"/>
      <c r="K25" s="5">
        <v>890400</v>
      </c>
      <c r="L25" s="4">
        <f t="shared" si="1"/>
        <v>438696982</v>
      </c>
      <c r="M25" s="18"/>
    </row>
    <row r="26" spans="1:13" ht="17.25" customHeight="1">
      <c r="A26" s="6" t="str">
        <f t="shared" si="0"/>
        <v>C09</v>
      </c>
      <c r="B26" s="3">
        <v>42010</v>
      </c>
      <c r="C26" s="3">
        <v>42010</v>
      </c>
      <c r="D26" s="4"/>
      <c r="E26" s="20" t="s">
        <v>144</v>
      </c>
      <c r="F26" s="5" t="s">
        <v>73</v>
      </c>
      <c r="G26" s="105" t="s">
        <v>188</v>
      </c>
      <c r="H26" s="5" t="s">
        <v>264</v>
      </c>
      <c r="I26" s="26" t="s">
        <v>35</v>
      </c>
      <c r="J26" s="19"/>
      <c r="K26" s="5">
        <v>89040</v>
      </c>
      <c r="L26" s="4">
        <f t="shared" si="1"/>
        <v>438607942</v>
      </c>
      <c r="M26" s="18"/>
    </row>
    <row r="27" spans="1:13" ht="17.25" customHeight="1">
      <c r="A27" s="6" t="str">
        <f t="shared" si="0"/>
        <v>C10</v>
      </c>
      <c r="B27" s="3">
        <v>42010</v>
      </c>
      <c r="C27" s="3">
        <v>42010</v>
      </c>
      <c r="D27" s="4"/>
      <c r="E27" s="20" t="s">
        <v>145</v>
      </c>
      <c r="F27" s="5" t="s">
        <v>74</v>
      </c>
      <c r="G27" s="105" t="s">
        <v>189</v>
      </c>
      <c r="H27" s="5" t="s">
        <v>265</v>
      </c>
      <c r="I27" s="26" t="s">
        <v>93</v>
      </c>
      <c r="J27" s="19"/>
      <c r="K27" s="5">
        <v>231818</v>
      </c>
      <c r="L27" s="4">
        <f t="shared" si="1"/>
        <v>438376124</v>
      </c>
      <c r="M27" s="18"/>
    </row>
    <row r="28" spans="1:13" ht="17.25" customHeight="1">
      <c r="A28" s="6" t="str">
        <f t="shared" si="0"/>
        <v>C10</v>
      </c>
      <c r="B28" s="3">
        <v>42010</v>
      </c>
      <c r="C28" s="3">
        <v>42010</v>
      </c>
      <c r="D28" s="4"/>
      <c r="E28" s="20" t="s">
        <v>145</v>
      </c>
      <c r="F28" s="28" t="s">
        <v>75</v>
      </c>
      <c r="G28" s="105" t="s">
        <v>189</v>
      </c>
      <c r="H28" s="5" t="s">
        <v>265</v>
      </c>
      <c r="I28" s="26" t="s">
        <v>35</v>
      </c>
      <c r="J28" s="19"/>
      <c r="K28" s="5">
        <v>23182</v>
      </c>
      <c r="L28" s="4">
        <f t="shared" si="1"/>
        <v>438352942</v>
      </c>
      <c r="M28" s="18"/>
    </row>
    <row r="29" spans="1:13" ht="17.25" customHeight="1">
      <c r="A29" s="6" t="str">
        <f t="shared" si="0"/>
        <v>C10</v>
      </c>
      <c r="B29" s="3">
        <v>42010</v>
      </c>
      <c r="C29" s="3">
        <v>42009</v>
      </c>
      <c r="D29" s="4"/>
      <c r="E29" s="20" t="s">
        <v>145</v>
      </c>
      <c r="F29" s="5" t="s">
        <v>76</v>
      </c>
      <c r="G29" s="105" t="s">
        <v>190</v>
      </c>
      <c r="H29" s="5" t="s">
        <v>265</v>
      </c>
      <c r="I29" s="26" t="s">
        <v>93</v>
      </c>
      <c r="J29" s="19"/>
      <c r="K29" s="5">
        <v>168182</v>
      </c>
      <c r="L29" s="4">
        <f t="shared" si="1"/>
        <v>438184760</v>
      </c>
      <c r="M29" s="18"/>
    </row>
    <row r="30" spans="1:13" ht="17.25" customHeight="1">
      <c r="A30" s="6" t="str">
        <f t="shared" si="0"/>
        <v>C10</v>
      </c>
      <c r="B30" s="3">
        <v>42010</v>
      </c>
      <c r="C30" s="3">
        <v>42009</v>
      </c>
      <c r="D30" s="4"/>
      <c r="E30" s="20" t="s">
        <v>145</v>
      </c>
      <c r="F30" s="28" t="s">
        <v>77</v>
      </c>
      <c r="G30" s="105" t="s">
        <v>190</v>
      </c>
      <c r="H30" s="5" t="s">
        <v>265</v>
      </c>
      <c r="I30" s="26" t="s">
        <v>35</v>
      </c>
      <c r="J30" s="19"/>
      <c r="K30" s="5">
        <v>16818</v>
      </c>
      <c r="L30" s="4">
        <f t="shared" si="1"/>
        <v>438167942</v>
      </c>
      <c r="M30" s="18"/>
    </row>
    <row r="31" spans="1:13" ht="17.25" customHeight="1">
      <c r="A31" s="6" t="str">
        <f t="shared" si="0"/>
        <v>C11</v>
      </c>
      <c r="B31" s="3">
        <v>42010</v>
      </c>
      <c r="C31" s="3">
        <v>42010</v>
      </c>
      <c r="D31" s="4"/>
      <c r="E31" s="20" t="s">
        <v>146</v>
      </c>
      <c r="F31" s="28" t="s">
        <v>50</v>
      </c>
      <c r="G31" s="106" t="s">
        <v>191</v>
      </c>
      <c r="H31" s="38" t="s">
        <v>192</v>
      </c>
      <c r="I31" s="26" t="s">
        <v>94</v>
      </c>
      <c r="J31" s="19"/>
      <c r="K31" s="5">
        <v>162545</v>
      </c>
      <c r="L31" s="4">
        <f t="shared" si="1"/>
        <v>438005397</v>
      </c>
      <c r="M31" s="18"/>
    </row>
    <row r="32" spans="1:13" ht="17.25" customHeight="1">
      <c r="A32" s="6" t="str">
        <f t="shared" si="0"/>
        <v>C11</v>
      </c>
      <c r="B32" s="3">
        <v>42010</v>
      </c>
      <c r="C32" s="3">
        <v>42010</v>
      </c>
      <c r="D32" s="4"/>
      <c r="E32" s="20" t="s">
        <v>146</v>
      </c>
      <c r="F32" s="5" t="s">
        <v>56</v>
      </c>
      <c r="G32" s="106" t="s">
        <v>191</v>
      </c>
      <c r="H32" s="38" t="s">
        <v>192</v>
      </c>
      <c r="I32" s="26" t="s">
        <v>35</v>
      </c>
      <c r="J32" s="19"/>
      <c r="K32" s="5">
        <v>16255</v>
      </c>
      <c r="L32" s="4">
        <f t="shared" si="1"/>
        <v>437989142</v>
      </c>
      <c r="M32" s="18"/>
    </row>
    <row r="33" spans="1:13" ht="17.25" customHeight="1">
      <c r="A33" s="6" t="str">
        <f t="shared" si="0"/>
        <v>C12</v>
      </c>
      <c r="B33" s="3">
        <v>42010</v>
      </c>
      <c r="C33" s="3">
        <v>42010</v>
      </c>
      <c r="D33" s="4"/>
      <c r="E33" s="20" t="s">
        <v>147</v>
      </c>
      <c r="F33" s="5" t="s">
        <v>116</v>
      </c>
      <c r="G33" s="105" t="s">
        <v>222</v>
      </c>
      <c r="H33" s="5" t="s">
        <v>223</v>
      </c>
      <c r="I33" s="26" t="s">
        <v>34</v>
      </c>
      <c r="J33" s="19"/>
      <c r="K33" s="5">
        <v>10459999</v>
      </c>
      <c r="L33" s="4">
        <f t="shared" si="1"/>
        <v>427529143</v>
      </c>
      <c r="M33" s="18"/>
    </row>
    <row r="34" spans="1:13" ht="17.25" customHeight="1">
      <c r="A34" s="6" t="str">
        <f t="shared" si="0"/>
        <v>C13</v>
      </c>
      <c r="B34" s="3">
        <v>42012</v>
      </c>
      <c r="C34" s="3">
        <v>42012</v>
      </c>
      <c r="D34" s="4"/>
      <c r="E34" s="20" t="s">
        <v>148</v>
      </c>
      <c r="F34" s="5" t="s">
        <v>71</v>
      </c>
      <c r="G34" s="5"/>
      <c r="H34" s="5" t="s">
        <v>186</v>
      </c>
      <c r="I34" s="26" t="s">
        <v>36</v>
      </c>
      <c r="J34" s="19"/>
      <c r="K34" s="5">
        <v>76600000</v>
      </c>
      <c r="L34" s="4">
        <f t="shared" si="1"/>
        <v>350929143</v>
      </c>
      <c r="M34" s="18"/>
    </row>
    <row r="35" spans="1:13" ht="17.25" customHeight="1">
      <c r="A35" s="6" t="str">
        <f t="shared" si="0"/>
        <v>C14</v>
      </c>
      <c r="B35" s="3">
        <v>42012</v>
      </c>
      <c r="C35" s="3">
        <v>42012</v>
      </c>
      <c r="D35" s="4"/>
      <c r="E35" s="20" t="s">
        <v>149</v>
      </c>
      <c r="F35" s="5" t="s">
        <v>78</v>
      </c>
      <c r="G35" s="105" t="s">
        <v>193</v>
      </c>
      <c r="H35" s="5" t="s">
        <v>194</v>
      </c>
      <c r="I35" s="26" t="s">
        <v>93</v>
      </c>
      <c r="J35" s="19"/>
      <c r="K35" s="5">
        <v>277273</v>
      </c>
      <c r="L35" s="4">
        <f t="shared" si="1"/>
        <v>350651870</v>
      </c>
      <c r="M35" s="18"/>
    </row>
    <row r="36" spans="1:13" ht="17.25" customHeight="1">
      <c r="A36" s="6" t="str">
        <f t="shared" si="0"/>
        <v>C14</v>
      </c>
      <c r="B36" s="3">
        <v>42012</v>
      </c>
      <c r="C36" s="3">
        <v>42012</v>
      </c>
      <c r="D36" s="4"/>
      <c r="E36" s="20" t="s">
        <v>149</v>
      </c>
      <c r="F36" s="5" t="s">
        <v>79</v>
      </c>
      <c r="G36" s="105" t="s">
        <v>193</v>
      </c>
      <c r="H36" s="5" t="s">
        <v>194</v>
      </c>
      <c r="I36" s="26" t="s">
        <v>35</v>
      </c>
      <c r="J36" s="19"/>
      <c r="K36" s="5">
        <v>27727</v>
      </c>
      <c r="L36" s="4">
        <f t="shared" si="1"/>
        <v>350624143</v>
      </c>
      <c r="M36" s="18"/>
    </row>
    <row r="37" spans="1:13" ht="17.25" customHeight="1">
      <c r="A37" s="6" t="str">
        <f t="shared" si="0"/>
        <v>C14</v>
      </c>
      <c r="B37" s="3">
        <v>42012</v>
      </c>
      <c r="C37" s="3">
        <v>42012</v>
      </c>
      <c r="D37" s="4"/>
      <c r="E37" s="20" t="s">
        <v>149</v>
      </c>
      <c r="F37" s="5" t="s">
        <v>74</v>
      </c>
      <c r="G37" s="105" t="s">
        <v>195</v>
      </c>
      <c r="H37" s="5" t="s">
        <v>265</v>
      </c>
      <c r="I37" s="26" t="s">
        <v>93</v>
      </c>
      <c r="J37" s="19"/>
      <c r="K37" s="5">
        <v>231818</v>
      </c>
      <c r="L37" s="4">
        <f t="shared" si="1"/>
        <v>350392325</v>
      </c>
      <c r="M37" s="18"/>
    </row>
    <row r="38" spans="1:13" ht="17.25" customHeight="1">
      <c r="A38" s="6" t="str">
        <f t="shared" si="0"/>
        <v>C14</v>
      </c>
      <c r="B38" s="3">
        <v>42012</v>
      </c>
      <c r="C38" s="3">
        <v>42012</v>
      </c>
      <c r="D38" s="4"/>
      <c r="E38" s="20" t="s">
        <v>149</v>
      </c>
      <c r="F38" s="5" t="s">
        <v>75</v>
      </c>
      <c r="G38" s="105" t="s">
        <v>195</v>
      </c>
      <c r="H38" s="5" t="s">
        <v>265</v>
      </c>
      <c r="I38" s="26" t="s">
        <v>35</v>
      </c>
      <c r="J38" s="19"/>
      <c r="K38" s="5">
        <v>23182</v>
      </c>
      <c r="L38" s="4">
        <f t="shared" si="1"/>
        <v>350369143</v>
      </c>
      <c r="M38" s="18"/>
    </row>
    <row r="39" spans="1:13" ht="17.25" customHeight="1">
      <c r="A39" s="6" t="str">
        <f t="shared" si="0"/>
        <v>C15</v>
      </c>
      <c r="B39" s="3">
        <v>42013</v>
      </c>
      <c r="C39" s="3">
        <v>42013</v>
      </c>
      <c r="D39" s="4"/>
      <c r="E39" s="20" t="s">
        <v>150</v>
      </c>
      <c r="F39" s="5" t="s">
        <v>80</v>
      </c>
      <c r="G39" s="105" t="s">
        <v>196</v>
      </c>
      <c r="H39" s="5" t="s">
        <v>197</v>
      </c>
      <c r="I39" s="26" t="s">
        <v>93</v>
      </c>
      <c r="J39" s="19"/>
      <c r="K39" s="5">
        <v>1545455</v>
      </c>
      <c r="L39" s="4">
        <f t="shared" si="1"/>
        <v>348823688</v>
      </c>
      <c r="M39" s="18"/>
    </row>
    <row r="40" spans="1:13" ht="17.25" customHeight="1">
      <c r="A40" s="6" t="str">
        <f t="shared" si="0"/>
        <v>C15</v>
      </c>
      <c r="B40" s="3">
        <v>42013</v>
      </c>
      <c r="C40" s="3">
        <v>42013</v>
      </c>
      <c r="D40" s="4"/>
      <c r="E40" s="20" t="s">
        <v>150</v>
      </c>
      <c r="F40" s="5" t="s">
        <v>81</v>
      </c>
      <c r="G40" s="105" t="s">
        <v>196</v>
      </c>
      <c r="H40" s="5" t="s">
        <v>197</v>
      </c>
      <c r="I40" s="26" t="s">
        <v>35</v>
      </c>
      <c r="J40" s="19"/>
      <c r="K40" s="5">
        <v>154545</v>
      </c>
      <c r="L40" s="4">
        <f t="shared" si="1"/>
        <v>348669143</v>
      </c>
      <c r="M40" s="18"/>
    </row>
    <row r="41" spans="1:13" ht="17.25" customHeight="1">
      <c r="A41" s="6" t="str">
        <f t="shared" si="0"/>
        <v>C16</v>
      </c>
      <c r="B41" s="3">
        <v>42014</v>
      </c>
      <c r="C41" s="3">
        <v>42014</v>
      </c>
      <c r="D41" s="4"/>
      <c r="E41" s="20" t="s">
        <v>151</v>
      </c>
      <c r="F41" s="5" t="s">
        <v>72</v>
      </c>
      <c r="G41" s="105" t="s">
        <v>198</v>
      </c>
      <c r="H41" s="5" t="s">
        <v>264</v>
      </c>
      <c r="I41" s="26" t="s">
        <v>94</v>
      </c>
      <c r="J41" s="19"/>
      <c r="K41" s="5">
        <v>594655</v>
      </c>
      <c r="L41" s="4">
        <f t="shared" si="1"/>
        <v>348074488</v>
      </c>
      <c r="M41" s="18"/>
    </row>
    <row r="42" spans="1:13" ht="17.25" customHeight="1">
      <c r="A42" s="6" t="str">
        <f t="shared" si="0"/>
        <v>C16</v>
      </c>
      <c r="B42" s="3">
        <v>42014</v>
      </c>
      <c r="C42" s="3">
        <v>42014</v>
      </c>
      <c r="D42" s="4"/>
      <c r="E42" s="20" t="s">
        <v>151</v>
      </c>
      <c r="F42" s="28" t="s">
        <v>73</v>
      </c>
      <c r="G42" s="105" t="s">
        <v>198</v>
      </c>
      <c r="H42" s="5" t="s">
        <v>264</v>
      </c>
      <c r="I42" s="26" t="s">
        <v>35</v>
      </c>
      <c r="J42" s="19"/>
      <c r="K42" s="5">
        <v>59465</v>
      </c>
      <c r="L42" s="4">
        <f t="shared" si="1"/>
        <v>348015023</v>
      </c>
      <c r="M42" s="18"/>
    </row>
    <row r="43" spans="1:13" ht="17.25" customHeight="1">
      <c r="A43" s="6" t="str">
        <f t="shared" si="0"/>
        <v>C17</v>
      </c>
      <c r="B43" s="3">
        <v>42016</v>
      </c>
      <c r="C43" s="3">
        <v>42016</v>
      </c>
      <c r="D43" s="4"/>
      <c r="E43" s="20" t="s">
        <v>152</v>
      </c>
      <c r="F43" s="5" t="s">
        <v>45</v>
      </c>
      <c r="G43" s="105" t="s">
        <v>199</v>
      </c>
      <c r="H43" s="5" t="s">
        <v>200</v>
      </c>
      <c r="I43" s="26" t="s">
        <v>93</v>
      </c>
      <c r="J43" s="19"/>
      <c r="K43" s="5">
        <v>5200000</v>
      </c>
      <c r="L43" s="4">
        <f t="shared" si="1"/>
        <v>342815023</v>
      </c>
      <c r="M43" s="18"/>
    </row>
    <row r="44" spans="1:13" ht="17.25" customHeight="1">
      <c r="A44" s="6" t="str">
        <f t="shared" si="0"/>
        <v>C17</v>
      </c>
      <c r="B44" s="3">
        <v>42016</v>
      </c>
      <c r="C44" s="3">
        <v>42016</v>
      </c>
      <c r="D44" s="4"/>
      <c r="E44" s="20" t="s">
        <v>152</v>
      </c>
      <c r="F44" s="5" t="s">
        <v>46</v>
      </c>
      <c r="G44" s="105" t="s">
        <v>199</v>
      </c>
      <c r="H44" s="5" t="s">
        <v>200</v>
      </c>
      <c r="I44" s="26" t="s">
        <v>35</v>
      </c>
      <c r="J44" s="19"/>
      <c r="K44" s="5">
        <v>520000</v>
      </c>
      <c r="L44" s="4">
        <f t="shared" si="1"/>
        <v>342295023</v>
      </c>
      <c r="M44" s="18"/>
    </row>
    <row r="45" spans="1:13" ht="17.25" customHeight="1">
      <c r="A45" s="6" t="str">
        <f t="shared" si="0"/>
        <v>T02</v>
      </c>
      <c r="B45" s="3">
        <v>42017</v>
      </c>
      <c r="C45" s="3">
        <v>42017</v>
      </c>
      <c r="D45" s="4" t="s">
        <v>40</v>
      </c>
      <c r="E45" s="20"/>
      <c r="F45" s="5" t="s">
        <v>111</v>
      </c>
      <c r="G45" s="105"/>
      <c r="H45" s="5" t="s">
        <v>260</v>
      </c>
      <c r="I45" s="26" t="s">
        <v>58</v>
      </c>
      <c r="J45" s="19">
        <v>1500000</v>
      </c>
      <c r="K45" s="5"/>
      <c r="L45" s="4">
        <f t="shared" si="1"/>
        <v>343795023</v>
      </c>
      <c r="M45" s="18"/>
    </row>
    <row r="46" spans="1:13" ht="17.25" customHeight="1">
      <c r="A46" s="6" t="str">
        <f t="shared" si="0"/>
        <v>C18</v>
      </c>
      <c r="B46" s="3">
        <v>42017</v>
      </c>
      <c r="C46" s="3">
        <v>42017</v>
      </c>
      <c r="D46" s="4"/>
      <c r="E46" s="20" t="s">
        <v>153</v>
      </c>
      <c r="F46" s="5" t="s">
        <v>72</v>
      </c>
      <c r="G46" s="105" t="s">
        <v>201</v>
      </c>
      <c r="H46" s="5" t="s">
        <v>264</v>
      </c>
      <c r="I46" s="26" t="s">
        <v>94</v>
      </c>
      <c r="J46" s="19"/>
      <c r="K46" s="5">
        <v>1321455</v>
      </c>
      <c r="L46" s="4">
        <f t="shared" ref="L46:L86" si="2">IF(F46&lt;&gt;"",L45+J46-K46,0)</f>
        <v>342473568</v>
      </c>
      <c r="M46" s="18"/>
    </row>
    <row r="47" spans="1:13" ht="17.25" customHeight="1">
      <c r="A47" s="6" t="str">
        <f t="shared" si="0"/>
        <v>C18</v>
      </c>
      <c r="B47" s="3">
        <v>42017</v>
      </c>
      <c r="C47" s="3">
        <v>42017</v>
      </c>
      <c r="D47" s="4"/>
      <c r="E47" s="20" t="s">
        <v>153</v>
      </c>
      <c r="F47" s="28" t="s">
        <v>73</v>
      </c>
      <c r="G47" s="105" t="s">
        <v>201</v>
      </c>
      <c r="H47" s="5" t="s">
        <v>264</v>
      </c>
      <c r="I47" s="26" t="s">
        <v>35</v>
      </c>
      <c r="J47" s="19"/>
      <c r="K47" s="5">
        <v>132145</v>
      </c>
      <c r="L47" s="4">
        <f t="shared" si="2"/>
        <v>342341423</v>
      </c>
      <c r="M47" s="18"/>
    </row>
    <row r="48" spans="1:13" ht="17.25" customHeight="1">
      <c r="A48" s="6" t="str">
        <f t="shared" si="0"/>
        <v>T03</v>
      </c>
      <c r="B48" s="3">
        <v>42018</v>
      </c>
      <c r="C48" s="3">
        <v>42018</v>
      </c>
      <c r="D48" s="4" t="s">
        <v>41</v>
      </c>
      <c r="E48" s="20"/>
      <c r="F48" s="28" t="s">
        <v>119</v>
      </c>
      <c r="G48" s="28"/>
      <c r="H48" s="28" t="s">
        <v>187</v>
      </c>
      <c r="I48" s="26" t="s">
        <v>36</v>
      </c>
      <c r="J48" s="19">
        <v>1190000000</v>
      </c>
      <c r="K48" s="5"/>
      <c r="L48" s="4">
        <f t="shared" si="2"/>
        <v>1532341423</v>
      </c>
      <c r="M48" s="18"/>
    </row>
    <row r="49" spans="1:13" ht="17.25" customHeight="1">
      <c r="A49" s="6" t="str">
        <f t="shared" si="0"/>
        <v>C19</v>
      </c>
      <c r="B49" s="3">
        <v>42018</v>
      </c>
      <c r="C49" s="3">
        <v>42018</v>
      </c>
      <c r="D49" s="18"/>
      <c r="E49" s="20" t="s">
        <v>154</v>
      </c>
      <c r="F49" s="18" t="s">
        <v>332</v>
      </c>
      <c r="G49" s="18"/>
      <c r="H49" s="18" t="s">
        <v>333</v>
      </c>
      <c r="I49" s="26" t="s">
        <v>334</v>
      </c>
      <c r="J49" s="18"/>
      <c r="K49" s="18">
        <v>550000000</v>
      </c>
      <c r="L49" s="4">
        <f t="shared" si="2"/>
        <v>982341423</v>
      </c>
      <c r="M49" s="18"/>
    </row>
    <row r="50" spans="1:13" ht="17.25" customHeight="1">
      <c r="A50" s="6" t="str">
        <f t="shared" si="0"/>
        <v>C20</v>
      </c>
      <c r="B50" s="3">
        <v>42018</v>
      </c>
      <c r="C50" s="3">
        <v>42018</v>
      </c>
      <c r="D50" s="18"/>
      <c r="E50" s="20" t="s">
        <v>155</v>
      </c>
      <c r="F50" s="18" t="s">
        <v>332</v>
      </c>
      <c r="G50" s="18"/>
      <c r="H50" s="18" t="s">
        <v>335</v>
      </c>
      <c r="I50" s="26" t="s">
        <v>334</v>
      </c>
      <c r="J50" s="18"/>
      <c r="K50" s="18">
        <v>550000000</v>
      </c>
      <c r="L50" s="4">
        <f t="shared" si="2"/>
        <v>432341423</v>
      </c>
      <c r="M50" s="18"/>
    </row>
    <row r="51" spans="1:13" ht="17.25" customHeight="1">
      <c r="A51" s="6" t="str">
        <f t="shared" si="0"/>
        <v>C21</v>
      </c>
      <c r="B51" s="3">
        <v>42018</v>
      </c>
      <c r="C51" s="3">
        <v>42018</v>
      </c>
      <c r="D51" s="4"/>
      <c r="E51" s="20" t="s">
        <v>156</v>
      </c>
      <c r="F51" s="28" t="s">
        <v>63</v>
      </c>
      <c r="G51" s="106" t="s">
        <v>202</v>
      </c>
      <c r="H51" s="5" t="s">
        <v>266</v>
      </c>
      <c r="I51" s="26" t="s">
        <v>94</v>
      </c>
      <c r="J51" s="19"/>
      <c r="K51" s="5">
        <v>339003</v>
      </c>
      <c r="L51" s="4">
        <f t="shared" si="2"/>
        <v>432002420</v>
      </c>
      <c r="M51" s="18"/>
    </row>
    <row r="52" spans="1:13" ht="17.25" customHeight="1">
      <c r="A52" s="6" t="str">
        <f t="shared" si="0"/>
        <v>C21</v>
      </c>
      <c r="B52" s="3">
        <v>42018</v>
      </c>
      <c r="C52" s="3">
        <v>42018</v>
      </c>
      <c r="D52" s="4"/>
      <c r="E52" s="20" t="s">
        <v>156</v>
      </c>
      <c r="F52" s="5" t="s">
        <v>64</v>
      </c>
      <c r="G52" s="106" t="s">
        <v>202</v>
      </c>
      <c r="H52" s="5" t="s">
        <v>266</v>
      </c>
      <c r="I52" s="26" t="s">
        <v>35</v>
      </c>
      <c r="J52" s="19"/>
      <c r="K52" s="5">
        <v>33900</v>
      </c>
      <c r="L52" s="4">
        <f t="shared" si="2"/>
        <v>431968520</v>
      </c>
      <c r="M52" s="18"/>
    </row>
    <row r="53" spans="1:13" ht="17.25" customHeight="1">
      <c r="A53" s="6" t="str">
        <f t="shared" si="0"/>
        <v>C22</v>
      </c>
      <c r="B53" s="3">
        <v>42019</v>
      </c>
      <c r="C53" s="3">
        <v>42019</v>
      </c>
      <c r="D53" s="4"/>
      <c r="E53" s="20" t="s">
        <v>157</v>
      </c>
      <c r="F53" s="5" t="s">
        <v>82</v>
      </c>
      <c r="G53" s="5" t="s">
        <v>204</v>
      </c>
      <c r="H53" s="5" t="s">
        <v>203</v>
      </c>
      <c r="I53" s="26" t="s">
        <v>93</v>
      </c>
      <c r="J53" s="19"/>
      <c r="K53" s="5">
        <v>800000</v>
      </c>
      <c r="L53" s="4">
        <f t="shared" si="2"/>
        <v>431168520</v>
      </c>
      <c r="M53" s="18"/>
    </row>
    <row r="54" spans="1:13" ht="17.25" customHeight="1">
      <c r="A54" s="6" t="str">
        <f t="shared" si="0"/>
        <v>C23</v>
      </c>
      <c r="B54" s="3">
        <v>42019</v>
      </c>
      <c r="C54" s="3">
        <v>42019</v>
      </c>
      <c r="D54" s="4"/>
      <c r="E54" s="20" t="s">
        <v>158</v>
      </c>
      <c r="F54" s="5" t="s">
        <v>50</v>
      </c>
      <c r="G54" s="105" t="s">
        <v>205</v>
      </c>
      <c r="H54" s="38" t="s">
        <v>192</v>
      </c>
      <c r="I54" s="26" t="s">
        <v>94</v>
      </c>
      <c r="J54" s="19"/>
      <c r="K54" s="5">
        <v>191673</v>
      </c>
      <c r="L54" s="4">
        <f t="shared" si="2"/>
        <v>430976847</v>
      </c>
      <c r="M54" s="18"/>
    </row>
    <row r="55" spans="1:13" ht="17.25" customHeight="1">
      <c r="A55" s="6" t="str">
        <f t="shared" si="0"/>
        <v>C23</v>
      </c>
      <c r="B55" s="3">
        <v>42019</v>
      </c>
      <c r="C55" s="3">
        <v>42019</v>
      </c>
      <c r="D55" s="4"/>
      <c r="E55" s="20" t="s">
        <v>158</v>
      </c>
      <c r="F55" s="5" t="s">
        <v>53</v>
      </c>
      <c r="G55" s="105" t="s">
        <v>205</v>
      </c>
      <c r="H55" s="38" t="s">
        <v>192</v>
      </c>
      <c r="I55" s="26" t="s">
        <v>54</v>
      </c>
      <c r="J55" s="19"/>
      <c r="K55" s="5">
        <v>1507273</v>
      </c>
      <c r="L55" s="4">
        <f t="shared" si="2"/>
        <v>429469574</v>
      </c>
      <c r="M55" s="18"/>
    </row>
    <row r="56" spans="1:13" ht="17.25" customHeight="1">
      <c r="A56" s="6" t="str">
        <f t="shared" si="0"/>
        <v>C23</v>
      </c>
      <c r="B56" s="3">
        <v>42019</v>
      </c>
      <c r="C56" s="3">
        <v>42019</v>
      </c>
      <c r="D56" s="4"/>
      <c r="E56" s="20" t="s">
        <v>158</v>
      </c>
      <c r="F56" s="5" t="s">
        <v>87</v>
      </c>
      <c r="G56" s="105" t="s">
        <v>205</v>
      </c>
      <c r="H56" s="38" t="s">
        <v>192</v>
      </c>
      <c r="I56" s="26" t="s">
        <v>35</v>
      </c>
      <c r="J56" s="19"/>
      <c r="K56" s="5">
        <v>169894</v>
      </c>
      <c r="L56" s="4">
        <f t="shared" si="2"/>
        <v>429299680</v>
      </c>
      <c r="M56" s="18"/>
    </row>
    <row r="57" spans="1:13" ht="17.25" customHeight="1">
      <c r="A57" s="6" t="str">
        <f t="shared" si="0"/>
        <v>T04</v>
      </c>
      <c r="B57" s="3">
        <v>42020</v>
      </c>
      <c r="C57" s="3">
        <v>42020</v>
      </c>
      <c r="D57" s="4" t="s">
        <v>42</v>
      </c>
      <c r="E57" s="20"/>
      <c r="F57" s="28" t="s">
        <v>120</v>
      </c>
      <c r="G57" s="28"/>
      <c r="H57" s="28" t="s">
        <v>187</v>
      </c>
      <c r="I57" s="26" t="s">
        <v>36</v>
      </c>
      <c r="J57" s="19">
        <v>200000000</v>
      </c>
      <c r="K57" s="5"/>
      <c r="L57" s="4">
        <f t="shared" si="2"/>
        <v>629299680</v>
      </c>
      <c r="M57" s="18"/>
    </row>
    <row r="58" spans="1:13" ht="17.25" customHeight="1">
      <c r="A58" s="6" t="str">
        <f t="shared" si="0"/>
        <v>T05</v>
      </c>
      <c r="B58" s="3">
        <v>42020</v>
      </c>
      <c r="C58" s="3">
        <v>42020</v>
      </c>
      <c r="D58" s="4" t="s">
        <v>43</v>
      </c>
      <c r="E58" s="20"/>
      <c r="F58" s="28" t="s">
        <v>120</v>
      </c>
      <c r="G58" s="28"/>
      <c r="H58" s="28" t="s">
        <v>187</v>
      </c>
      <c r="I58" s="26" t="s">
        <v>36</v>
      </c>
      <c r="J58" s="19">
        <v>1370000000</v>
      </c>
      <c r="K58" s="5"/>
      <c r="L58" s="4">
        <f t="shared" si="2"/>
        <v>1999299680</v>
      </c>
      <c r="M58" s="18"/>
    </row>
    <row r="59" spans="1:13" ht="17.25" customHeight="1">
      <c r="A59" s="6" t="str">
        <f t="shared" si="0"/>
        <v>C24</v>
      </c>
      <c r="B59" s="3">
        <v>42020</v>
      </c>
      <c r="C59" s="3">
        <v>42020</v>
      </c>
      <c r="D59" s="18"/>
      <c r="E59" s="20" t="s">
        <v>159</v>
      </c>
      <c r="F59" s="18" t="s">
        <v>332</v>
      </c>
      <c r="G59" s="18"/>
      <c r="H59" s="18" t="s">
        <v>333</v>
      </c>
      <c r="I59" s="26" t="s">
        <v>334</v>
      </c>
      <c r="J59" s="18"/>
      <c r="K59" s="18">
        <v>400000000</v>
      </c>
      <c r="L59" s="4">
        <f t="shared" si="2"/>
        <v>1599299680</v>
      </c>
      <c r="M59" s="18"/>
    </row>
    <row r="60" spans="1:13" ht="17.25" customHeight="1">
      <c r="A60" s="6" t="str">
        <f t="shared" si="0"/>
        <v>C25</v>
      </c>
      <c r="B60" s="3">
        <v>42020</v>
      </c>
      <c r="C60" s="3">
        <v>42020</v>
      </c>
      <c r="D60" s="18"/>
      <c r="E60" s="20" t="s">
        <v>160</v>
      </c>
      <c r="F60" s="18" t="s">
        <v>332</v>
      </c>
      <c r="G60" s="18"/>
      <c r="H60" s="18" t="s">
        <v>335</v>
      </c>
      <c r="I60" s="26" t="s">
        <v>334</v>
      </c>
      <c r="J60" s="18"/>
      <c r="K60" s="18">
        <v>500000000</v>
      </c>
      <c r="L60" s="4">
        <f t="shared" si="2"/>
        <v>1099299680</v>
      </c>
      <c r="M60" s="18"/>
    </row>
    <row r="61" spans="1:13" ht="17.25" customHeight="1">
      <c r="A61" s="6" t="str">
        <f t="shared" si="0"/>
        <v>C26</v>
      </c>
      <c r="B61" s="3">
        <v>42020</v>
      </c>
      <c r="C61" s="3">
        <v>42020</v>
      </c>
      <c r="D61" s="4"/>
      <c r="E61" s="20" t="s">
        <v>161</v>
      </c>
      <c r="F61" s="5" t="s">
        <v>63</v>
      </c>
      <c r="G61" s="105" t="s">
        <v>206</v>
      </c>
      <c r="H61" s="5" t="s">
        <v>266</v>
      </c>
      <c r="I61" s="26" t="s">
        <v>94</v>
      </c>
      <c r="J61" s="19"/>
      <c r="K61" s="5">
        <v>337208</v>
      </c>
      <c r="L61" s="4">
        <f t="shared" si="2"/>
        <v>1098962472</v>
      </c>
      <c r="M61" s="18"/>
    </row>
    <row r="62" spans="1:13" ht="17.25" customHeight="1">
      <c r="A62" s="6" t="str">
        <f t="shared" si="0"/>
        <v>C26</v>
      </c>
      <c r="B62" s="3">
        <v>42020</v>
      </c>
      <c r="C62" s="3">
        <v>42020</v>
      </c>
      <c r="D62" s="4"/>
      <c r="E62" s="20" t="s">
        <v>161</v>
      </c>
      <c r="F62" s="28" t="s">
        <v>64</v>
      </c>
      <c r="G62" s="105" t="s">
        <v>206</v>
      </c>
      <c r="H62" s="5" t="s">
        <v>266</v>
      </c>
      <c r="I62" s="26" t="s">
        <v>35</v>
      </c>
      <c r="J62" s="19"/>
      <c r="K62" s="5">
        <v>33721</v>
      </c>
      <c r="L62" s="4">
        <f t="shared" si="2"/>
        <v>1098928751</v>
      </c>
      <c r="M62" s="18"/>
    </row>
    <row r="63" spans="1:13" ht="17.25" customHeight="1">
      <c r="A63" s="6" t="str">
        <f t="shared" si="0"/>
        <v>C27</v>
      </c>
      <c r="B63" s="3">
        <v>42021</v>
      </c>
      <c r="C63" s="3">
        <v>42021</v>
      </c>
      <c r="D63" s="4"/>
      <c r="E63" s="20" t="s">
        <v>162</v>
      </c>
      <c r="F63" s="5" t="s">
        <v>83</v>
      </c>
      <c r="G63" s="105" t="s">
        <v>207</v>
      </c>
      <c r="H63" s="5" t="s">
        <v>208</v>
      </c>
      <c r="I63" s="26" t="s">
        <v>93</v>
      </c>
      <c r="J63" s="19"/>
      <c r="K63" s="5">
        <v>250000</v>
      </c>
      <c r="L63" s="4">
        <f t="shared" si="2"/>
        <v>1098678751</v>
      </c>
      <c r="M63" s="18"/>
    </row>
    <row r="64" spans="1:13" ht="17.25" customHeight="1">
      <c r="A64" s="6" t="str">
        <f t="shared" si="0"/>
        <v>C27</v>
      </c>
      <c r="B64" s="3">
        <v>42021</v>
      </c>
      <c r="C64" s="3">
        <v>42021</v>
      </c>
      <c r="D64" s="4"/>
      <c r="E64" s="20" t="s">
        <v>162</v>
      </c>
      <c r="F64" s="5" t="s">
        <v>84</v>
      </c>
      <c r="G64" s="105" t="s">
        <v>207</v>
      </c>
      <c r="H64" s="5" t="s">
        <v>208</v>
      </c>
      <c r="I64" s="26" t="s">
        <v>35</v>
      </c>
      <c r="J64" s="19"/>
      <c r="K64" s="5">
        <v>25000</v>
      </c>
      <c r="L64" s="4">
        <f t="shared" si="2"/>
        <v>1098653751</v>
      </c>
      <c r="M64" s="18"/>
    </row>
    <row r="65" spans="1:13" ht="17.25" customHeight="1">
      <c r="A65" s="6" t="str">
        <f t="shared" si="0"/>
        <v>C28</v>
      </c>
      <c r="B65" s="3">
        <v>42021</v>
      </c>
      <c r="C65" s="3">
        <v>42020</v>
      </c>
      <c r="D65" s="4"/>
      <c r="E65" s="20" t="s">
        <v>163</v>
      </c>
      <c r="F65" s="5" t="s">
        <v>85</v>
      </c>
      <c r="G65" s="105" t="s">
        <v>209</v>
      </c>
      <c r="H65" s="5" t="s">
        <v>208</v>
      </c>
      <c r="I65" s="26" t="s">
        <v>93</v>
      </c>
      <c r="J65" s="19"/>
      <c r="K65" s="5">
        <v>231818</v>
      </c>
      <c r="L65" s="4">
        <f t="shared" si="2"/>
        <v>1098421933</v>
      </c>
      <c r="M65" s="18"/>
    </row>
    <row r="66" spans="1:13" ht="17.25" customHeight="1">
      <c r="A66" s="6" t="str">
        <f t="shared" si="0"/>
        <v>C28</v>
      </c>
      <c r="B66" s="3">
        <v>42021</v>
      </c>
      <c r="C66" s="3">
        <v>42020</v>
      </c>
      <c r="D66" s="4"/>
      <c r="E66" s="20" t="s">
        <v>163</v>
      </c>
      <c r="F66" s="5" t="s">
        <v>86</v>
      </c>
      <c r="G66" s="105" t="s">
        <v>209</v>
      </c>
      <c r="H66" s="5" t="s">
        <v>208</v>
      </c>
      <c r="I66" s="26" t="s">
        <v>35</v>
      </c>
      <c r="J66" s="19"/>
      <c r="K66" s="5">
        <v>23182</v>
      </c>
      <c r="L66" s="4">
        <f t="shared" si="2"/>
        <v>1098398751</v>
      </c>
      <c r="M66" s="18"/>
    </row>
    <row r="67" spans="1:13" ht="17.25" customHeight="1">
      <c r="A67" s="6" t="str">
        <f t="shared" si="0"/>
        <v>C29</v>
      </c>
      <c r="B67" s="3">
        <v>42021</v>
      </c>
      <c r="C67" s="3">
        <v>42021</v>
      </c>
      <c r="D67" s="4"/>
      <c r="E67" s="20" t="s">
        <v>164</v>
      </c>
      <c r="F67" s="28" t="s">
        <v>45</v>
      </c>
      <c r="G67" s="106" t="s">
        <v>210</v>
      </c>
      <c r="H67" s="5" t="s">
        <v>180</v>
      </c>
      <c r="I67" s="26" t="s">
        <v>93</v>
      </c>
      <c r="J67" s="19"/>
      <c r="K67" s="5">
        <v>11200000</v>
      </c>
      <c r="L67" s="4">
        <f t="shared" si="2"/>
        <v>1087198751</v>
      </c>
      <c r="M67" s="18"/>
    </row>
    <row r="68" spans="1:13" ht="17.25" customHeight="1">
      <c r="A68" s="6" t="str">
        <f t="shared" si="0"/>
        <v>C29</v>
      </c>
      <c r="B68" s="3">
        <v>42021</v>
      </c>
      <c r="C68" s="3">
        <v>42021</v>
      </c>
      <c r="D68" s="4"/>
      <c r="E68" s="20" t="s">
        <v>164</v>
      </c>
      <c r="F68" s="28" t="s">
        <v>46</v>
      </c>
      <c r="G68" s="106" t="s">
        <v>210</v>
      </c>
      <c r="H68" s="5" t="s">
        <v>180</v>
      </c>
      <c r="I68" s="26" t="s">
        <v>35</v>
      </c>
      <c r="J68" s="19"/>
      <c r="K68" s="5">
        <v>1120000</v>
      </c>
      <c r="L68" s="4">
        <f t="shared" si="2"/>
        <v>1086078751</v>
      </c>
      <c r="M68" s="18"/>
    </row>
    <row r="69" spans="1:13" ht="17.25" customHeight="1">
      <c r="A69" s="6" t="str">
        <f t="shared" si="0"/>
        <v>C30</v>
      </c>
      <c r="B69" s="3">
        <v>42023</v>
      </c>
      <c r="C69" s="3">
        <v>42023</v>
      </c>
      <c r="D69" s="4"/>
      <c r="E69" s="20" t="s">
        <v>165</v>
      </c>
      <c r="F69" s="5" t="s">
        <v>53</v>
      </c>
      <c r="G69" s="105" t="s">
        <v>211</v>
      </c>
      <c r="H69" s="5" t="s">
        <v>264</v>
      </c>
      <c r="I69" s="26" t="s">
        <v>54</v>
      </c>
      <c r="J69" s="19"/>
      <c r="K69" s="5">
        <v>786145</v>
      </c>
      <c r="L69" s="4">
        <f t="shared" si="2"/>
        <v>1085292606</v>
      </c>
      <c r="M69" s="18"/>
    </row>
    <row r="70" spans="1:13" ht="17.25" customHeight="1">
      <c r="A70" s="6" t="str">
        <f t="shared" si="0"/>
        <v>C30</v>
      </c>
      <c r="B70" s="3">
        <v>42023</v>
      </c>
      <c r="C70" s="3">
        <v>42023</v>
      </c>
      <c r="D70" s="4"/>
      <c r="E70" s="20" t="s">
        <v>165</v>
      </c>
      <c r="F70" s="5" t="s">
        <v>72</v>
      </c>
      <c r="G70" s="105" t="s">
        <v>211</v>
      </c>
      <c r="H70" s="5" t="s">
        <v>264</v>
      </c>
      <c r="I70" s="26" t="s">
        <v>94</v>
      </c>
      <c r="J70" s="19"/>
      <c r="K70" s="5">
        <v>1668336</v>
      </c>
      <c r="L70" s="4">
        <f t="shared" si="2"/>
        <v>1083624270</v>
      </c>
      <c r="M70" s="18"/>
    </row>
    <row r="71" spans="1:13" ht="17.25" customHeight="1">
      <c r="A71" s="6" t="str">
        <f t="shared" si="0"/>
        <v>C30</v>
      </c>
      <c r="B71" s="3">
        <v>42023</v>
      </c>
      <c r="C71" s="3">
        <v>42023</v>
      </c>
      <c r="D71" s="4"/>
      <c r="E71" s="20" t="s">
        <v>165</v>
      </c>
      <c r="F71" s="5" t="s">
        <v>87</v>
      </c>
      <c r="G71" s="105" t="s">
        <v>211</v>
      </c>
      <c r="H71" s="5" t="s">
        <v>264</v>
      </c>
      <c r="I71" s="26" t="s">
        <v>35</v>
      </c>
      <c r="J71" s="19"/>
      <c r="K71" s="5">
        <v>245449</v>
      </c>
      <c r="L71" s="4">
        <f t="shared" si="2"/>
        <v>1083378821</v>
      </c>
      <c r="M71" s="18"/>
    </row>
    <row r="72" spans="1:13" ht="17.25" customHeight="1">
      <c r="A72" s="6" t="str">
        <f t="shared" si="0"/>
        <v>T06</v>
      </c>
      <c r="B72" s="3">
        <v>42024</v>
      </c>
      <c r="C72" s="3">
        <v>42024</v>
      </c>
      <c r="D72" s="4" t="s">
        <v>44</v>
      </c>
      <c r="E72" s="20"/>
      <c r="F72" s="28" t="s">
        <v>120</v>
      </c>
      <c r="G72" s="28"/>
      <c r="H72" s="28" t="s">
        <v>187</v>
      </c>
      <c r="I72" s="26" t="s">
        <v>36</v>
      </c>
      <c r="J72" s="19">
        <v>1080000000</v>
      </c>
      <c r="K72" s="5"/>
      <c r="L72" s="4">
        <f t="shared" si="2"/>
        <v>2163378821</v>
      </c>
      <c r="M72" s="18"/>
    </row>
    <row r="73" spans="1:13" ht="17.25" customHeight="1">
      <c r="A73" s="6" t="str">
        <f t="shared" si="0"/>
        <v>C31</v>
      </c>
      <c r="B73" s="3">
        <v>42024</v>
      </c>
      <c r="C73" s="3">
        <v>42024</v>
      </c>
      <c r="D73" s="18"/>
      <c r="E73" s="20" t="s">
        <v>166</v>
      </c>
      <c r="F73" s="18" t="s">
        <v>332</v>
      </c>
      <c r="G73" s="18"/>
      <c r="H73" s="18" t="s">
        <v>333</v>
      </c>
      <c r="I73" s="26" t="s">
        <v>334</v>
      </c>
      <c r="J73" s="18"/>
      <c r="K73" s="18">
        <v>550000000</v>
      </c>
      <c r="L73" s="4">
        <f t="shared" si="2"/>
        <v>1613378821</v>
      </c>
      <c r="M73" s="18"/>
    </row>
    <row r="74" spans="1:13" ht="17.25" customHeight="1">
      <c r="A74" s="6" t="str">
        <f t="shared" si="0"/>
        <v>C32</v>
      </c>
      <c r="B74" s="3">
        <v>42024</v>
      </c>
      <c r="C74" s="3">
        <v>42024</v>
      </c>
      <c r="D74" s="18"/>
      <c r="E74" s="20" t="s">
        <v>167</v>
      </c>
      <c r="F74" s="18" t="s">
        <v>332</v>
      </c>
      <c r="G74" s="18"/>
      <c r="H74" s="18" t="s">
        <v>335</v>
      </c>
      <c r="I74" s="26" t="s">
        <v>334</v>
      </c>
      <c r="J74" s="18"/>
      <c r="K74" s="18">
        <v>500000000</v>
      </c>
      <c r="L74" s="4">
        <f t="shared" si="2"/>
        <v>1113378821</v>
      </c>
      <c r="M74" s="18"/>
    </row>
    <row r="75" spans="1:13" ht="17.25" customHeight="1">
      <c r="A75" s="6" t="str">
        <f t="shared" si="0"/>
        <v>T07</v>
      </c>
      <c r="B75" s="3">
        <v>42025</v>
      </c>
      <c r="C75" s="3">
        <v>42025</v>
      </c>
      <c r="D75" s="4" t="s">
        <v>59</v>
      </c>
      <c r="E75" s="20"/>
      <c r="F75" s="28" t="s">
        <v>120</v>
      </c>
      <c r="G75" s="28"/>
      <c r="H75" s="28" t="s">
        <v>187</v>
      </c>
      <c r="I75" s="26" t="s">
        <v>36</v>
      </c>
      <c r="J75" s="19">
        <v>80000000</v>
      </c>
      <c r="K75" s="5"/>
      <c r="L75" s="4">
        <f t="shared" si="2"/>
        <v>1193378821</v>
      </c>
      <c r="M75" s="18"/>
    </row>
    <row r="76" spans="1:13" ht="17.25" customHeight="1">
      <c r="A76" s="6" t="str">
        <f t="shared" si="0"/>
        <v>C33</v>
      </c>
      <c r="B76" s="3">
        <v>42025</v>
      </c>
      <c r="C76" s="3">
        <v>42025</v>
      </c>
      <c r="D76" s="4"/>
      <c r="E76" s="20" t="s">
        <v>168</v>
      </c>
      <c r="F76" s="5" t="s">
        <v>53</v>
      </c>
      <c r="G76" s="105" t="s">
        <v>212</v>
      </c>
      <c r="H76" s="38" t="s">
        <v>192</v>
      </c>
      <c r="I76" s="26" t="s">
        <v>54</v>
      </c>
      <c r="J76" s="19"/>
      <c r="K76" s="5">
        <v>753636</v>
      </c>
      <c r="L76" s="4">
        <f t="shared" si="2"/>
        <v>1192625185</v>
      </c>
      <c r="M76" s="18"/>
    </row>
    <row r="77" spans="1:13" ht="17.25" customHeight="1">
      <c r="A77" s="6" t="str">
        <f t="shared" si="0"/>
        <v>C33</v>
      </c>
      <c r="B77" s="3">
        <v>42025</v>
      </c>
      <c r="C77" s="3">
        <v>42025</v>
      </c>
      <c r="D77" s="4"/>
      <c r="E77" s="20" t="s">
        <v>168</v>
      </c>
      <c r="F77" s="5" t="s">
        <v>72</v>
      </c>
      <c r="G77" s="105" t="s">
        <v>212</v>
      </c>
      <c r="H77" s="38" t="s">
        <v>192</v>
      </c>
      <c r="I77" s="26" t="s">
        <v>94</v>
      </c>
      <c r="J77" s="19"/>
      <c r="K77" s="5">
        <v>79864</v>
      </c>
      <c r="L77" s="4">
        <f t="shared" si="2"/>
        <v>1192545321</v>
      </c>
      <c r="M77" s="18"/>
    </row>
    <row r="78" spans="1:13" ht="17.25" customHeight="1">
      <c r="A78" s="6" t="str">
        <f t="shared" si="0"/>
        <v>C33</v>
      </c>
      <c r="B78" s="3">
        <v>42025</v>
      </c>
      <c r="C78" s="3">
        <v>42025</v>
      </c>
      <c r="D78" s="4"/>
      <c r="E78" s="20" t="s">
        <v>168</v>
      </c>
      <c r="F78" s="5" t="s">
        <v>87</v>
      </c>
      <c r="G78" s="105" t="s">
        <v>212</v>
      </c>
      <c r="H78" s="38" t="s">
        <v>192</v>
      </c>
      <c r="I78" s="26" t="s">
        <v>35</v>
      </c>
      <c r="J78" s="19"/>
      <c r="K78" s="5">
        <v>83350</v>
      </c>
      <c r="L78" s="4">
        <f t="shared" si="2"/>
        <v>1192461971</v>
      </c>
      <c r="M78" s="18"/>
    </row>
    <row r="79" spans="1:13" ht="17.25" customHeight="1">
      <c r="A79" s="6" t="str">
        <f t="shared" si="0"/>
        <v>T08</v>
      </c>
      <c r="B79" s="3">
        <v>42027</v>
      </c>
      <c r="C79" s="3">
        <v>42027</v>
      </c>
      <c r="D79" s="4" t="s">
        <v>61</v>
      </c>
      <c r="E79" s="20"/>
      <c r="F79" s="5" t="s">
        <v>119</v>
      </c>
      <c r="G79" s="5"/>
      <c r="H79" s="28" t="s">
        <v>187</v>
      </c>
      <c r="I79" s="26" t="s">
        <v>36</v>
      </c>
      <c r="J79" s="19">
        <v>645000000</v>
      </c>
      <c r="K79" s="5"/>
      <c r="L79" s="4">
        <f t="shared" si="2"/>
        <v>1837461971</v>
      </c>
      <c r="M79" s="18"/>
    </row>
    <row r="80" spans="1:13" ht="17.25" customHeight="1">
      <c r="A80" s="6" t="str">
        <f t="shared" si="0"/>
        <v>C34</v>
      </c>
      <c r="B80" s="3">
        <v>42027</v>
      </c>
      <c r="C80" s="3">
        <v>42027</v>
      </c>
      <c r="D80" s="18"/>
      <c r="E80" s="20" t="s">
        <v>169</v>
      </c>
      <c r="F80" s="18" t="s">
        <v>332</v>
      </c>
      <c r="G80" s="18"/>
      <c r="H80" s="18" t="s">
        <v>333</v>
      </c>
      <c r="I80" s="26" t="s">
        <v>334</v>
      </c>
      <c r="J80" s="18"/>
      <c r="K80" s="18">
        <v>400000000</v>
      </c>
      <c r="L80" s="4">
        <f t="shared" si="2"/>
        <v>1437461971</v>
      </c>
      <c r="M80" s="18"/>
    </row>
    <row r="81" spans="1:13" ht="17.25" customHeight="1">
      <c r="A81" s="6" t="str">
        <f t="shared" si="0"/>
        <v>C35</v>
      </c>
      <c r="B81" s="3">
        <v>42027</v>
      </c>
      <c r="C81" s="3">
        <v>42027</v>
      </c>
      <c r="D81" s="18"/>
      <c r="E81" s="20" t="s">
        <v>170</v>
      </c>
      <c r="F81" s="18" t="s">
        <v>332</v>
      </c>
      <c r="G81" s="18"/>
      <c r="H81" s="18" t="s">
        <v>335</v>
      </c>
      <c r="I81" s="26" t="s">
        <v>334</v>
      </c>
      <c r="J81" s="18"/>
      <c r="K81" s="18">
        <v>550000000</v>
      </c>
      <c r="L81" s="4">
        <f t="shared" si="2"/>
        <v>887461971</v>
      </c>
      <c r="M81" s="18"/>
    </row>
    <row r="82" spans="1:13" ht="17.25" customHeight="1">
      <c r="A82" s="6" t="str">
        <f t="shared" si="0"/>
        <v>C36</v>
      </c>
      <c r="B82" s="3">
        <v>42027</v>
      </c>
      <c r="C82" s="3">
        <v>42027</v>
      </c>
      <c r="D82" s="4"/>
      <c r="E82" s="20" t="s">
        <v>171</v>
      </c>
      <c r="F82" s="5" t="s">
        <v>63</v>
      </c>
      <c r="G82" s="105" t="s">
        <v>213</v>
      </c>
      <c r="H82" s="5" t="s">
        <v>266</v>
      </c>
      <c r="I82" s="26" t="s">
        <v>94</v>
      </c>
      <c r="J82" s="19"/>
      <c r="K82" s="5">
        <v>337208</v>
      </c>
      <c r="L82" s="4">
        <f t="shared" si="2"/>
        <v>887124763</v>
      </c>
      <c r="M82" s="18"/>
    </row>
    <row r="83" spans="1:13" ht="17.25" customHeight="1">
      <c r="A83" s="6" t="str">
        <f t="shared" si="0"/>
        <v>C36</v>
      </c>
      <c r="B83" s="3">
        <v>42027</v>
      </c>
      <c r="C83" s="3">
        <v>42027</v>
      </c>
      <c r="D83" s="4"/>
      <c r="E83" s="20" t="s">
        <v>171</v>
      </c>
      <c r="F83" s="5" t="s">
        <v>64</v>
      </c>
      <c r="G83" s="105" t="s">
        <v>213</v>
      </c>
      <c r="H83" s="5" t="s">
        <v>266</v>
      </c>
      <c r="I83" s="26" t="s">
        <v>35</v>
      </c>
      <c r="J83" s="19"/>
      <c r="K83" s="5">
        <v>33721</v>
      </c>
      <c r="L83" s="4">
        <f t="shared" si="2"/>
        <v>887091042</v>
      </c>
      <c r="M83" s="18"/>
    </row>
    <row r="84" spans="1:13" ht="17.25" customHeight="1">
      <c r="A84" s="6" t="str">
        <f t="shared" si="0"/>
        <v>C37</v>
      </c>
      <c r="B84" s="3">
        <v>42029</v>
      </c>
      <c r="C84" s="3">
        <v>42029</v>
      </c>
      <c r="D84" s="4"/>
      <c r="E84" s="20" t="s">
        <v>172</v>
      </c>
      <c r="F84" s="5" t="s">
        <v>118</v>
      </c>
      <c r="G84" s="105" t="s">
        <v>224</v>
      </c>
      <c r="H84" s="5" t="s">
        <v>225</v>
      </c>
      <c r="I84" s="26" t="s">
        <v>34</v>
      </c>
      <c r="J84" s="19"/>
      <c r="K84" s="5">
        <v>1964270</v>
      </c>
      <c r="L84" s="4">
        <f t="shared" si="2"/>
        <v>885126772</v>
      </c>
      <c r="M84" s="18"/>
    </row>
    <row r="85" spans="1:13" ht="17.25" customHeight="1">
      <c r="A85" s="6" t="str">
        <f t="shared" si="0"/>
        <v>C38</v>
      </c>
      <c r="B85" s="3">
        <v>42030</v>
      </c>
      <c r="C85" s="3">
        <v>42030</v>
      </c>
      <c r="D85" s="4"/>
      <c r="E85" s="20" t="s">
        <v>336</v>
      </c>
      <c r="F85" s="5" t="s">
        <v>53</v>
      </c>
      <c r="G85" s="105" t="s">
        <v>214</v>
      </c>
      <c r="H85" s="5" t="s">
        <v>264</v>
      </c>
      <c r="I85" s="26" t="s">
        <v>54</v>
      </c>
      <c r="J85" s="19"/>
      <c r="K85" s="5">
        <v>855036</v>
      </c>
      <c r="L85" s="4">
        <f t="shared" si="2"/>
        <v>884271736</v>
      </c>
      <c r="M85" s="18"/>
    </row>
    <row r="86" spans="1:13" ht="17.25" customHeight="1">
      <c r="A86" s="6" t="str">
        <f t="shared" si="0"/>
        <v>C38</v>
      </c>
      <c r="B86" s="3">
        <v>42030</v>
      </c>
      <c r="C86" s="3">
        <v>42030</v>
      </c>
      <c r="D86" s="4"/>
      <c r="E86" s="20" t="s">
        <v>336</v>
      </c>
      <c r="F86" s="5" t="s">
        <v>72</v>
      </c>
      <c r="G86" s="105" t="s">
        <v>214</v>
      </c>
      <c r="H86" s="5" t="s">
        <v>264</v>
      </c>
      <c r="I86" s="26" t="s">
        <v>94</v>
      </c>
      <c r="J86" s="19"/>
      <c r="K86" s="5">
        <v>621218</v>
      </c>
      <c r="L86" s="4">
        <f t="shared" si="2"/>
        <v>883650518</v>
      </c>
      <c r="M86" s="18"/>
    </row>
    <row r="87" spans="1:13" ht="17.25" customHeight="1">
      <c r="A87" s="6" t="str">
        <f t="shared" ref="A87:A107" si="3">D87&amp;E87</f>
        <v>C38</v>
      </c>
      <c r="B87" s="3">
        <v>42030</v>
      </c>
      <c r="C87" s="3">
        <v>42030</v>
      </c>
      <c r="D87" s="4"/>
      <c r="E87" s="20" t="s">
        <v>336</v>
      </c>
      <c r="F87" s="5" t="s">
        <v>87</v>
      </c>
      <c r="G87" s="105" t="s">
        <v>214</v>
      </c>
      <c r="H87" s="5" t="s">
        <v>264</v>
      </c>
      <c r="I87" s="26" t="s">
        <v>35</v>
      </c>
      <c r="J87" s="19"/>
      <c r="K87" s="5">
        <v>147626</v>
      </c>
      <c r="L87" s="4">
        <f t="shared" ref="L87:L105" si="4">IF(F87&lt;&gt;"",L86+J87-K87,0)</f>
        <v>883502892</v>
      </c>
      <c r="M87" s="18"/>
    </row>
    <row r="88" spans="1:13" ht="17.25" customHeight="1">
      <c r="A88" s="6" t="str">
        <f t="shared" si="3"/>
        <v>C39</v>
      </c>
      <c r="B88" s="3">
        <v>42031</v>
      </c>
      <c r="C88" s="3">
        <v>42031</v>
      </c>
      <c r="D88" s="4"/>
      <c r="E88" s="20" t="s">
        <v>337</v>
      </c>
      <c r="F88" s="5" t="s">
        <v>88</v>
      </c>
      <c r="G88" s="105" t="s">
        <v>259</v>
      </c>
      <c r="H88" s="5" t="s">
        <v>215</v>
      </c>
      <c r="I88" s="26" t="s">
        <v>94</v>
      </c>
      <c r="J88" s="19"/>
      <c r="K88" s="5">
        <v>14400000</v>
      </c>
      <c r="L88" s="4">
        <f t="shared" si="4"/>
        <v>869102892</v>
      </c>
      <c r="M88" s="18"/>
    </row>
    <row r="89" spans="1:13" ht="17.25" customHeight="1">
      <c r="A89" s="6" t="str">
        <f t="shared" si="3"/>
        <v>C39</v>
      </c>
      <c r="B89" s="3">
        <v>42031</v>
      </c>
      <c r="C89" s="3">
        <v>42031</v>
      </c>
      <c r="D89" s="4"/>
      <c r="E89" s="20" t="s">
        <v>337</v>
      </c>
      <c r="F89" s="5" t="s">
        <v>89</v>
      </c>
      <c r="G89" s="105" t="s">
        <v>259</v>
      </c>
      <c r="H89" s="5" t="s">
        <v>215</v>
      </c>
      <c r="I89" s="26" t="s">
        <v>35</v>
      </c>
      <c r="J89" s="19"/>
      <c r="K89" s="5">
        <v>1440000</v>
      </c>
      <c r="L89" s="4">
        <f t="shared" si="4"/>
        <v>867662892</v>
      </c>
      <c r="M89" s="18"/>
    </row>
    <row r="90" spans="1:13" ht="17.25" customHeight="1">
      <c r="A90" s="6" t="str">
        <f t="shared" si="3"/>
        <v>T09</v>
      </c>
      <c r="B90" s="3">
        <v>42032</v>
      </c>
      <c r="C90" s="3">
        <v>42032</v>
      </c>
      <c r="D90" s="4" t="s">
        <v>65</v>
      </c>
      <c r="E90" s="20"/>
      <c r="F90" s="28" t="s">
        <v>120</v>
      </c>
      <c r="G90" s="28"/>
      <c r="H90" s="28" t="s">
        <v>187</v>
      </c>
      <c r="I90" s="26" t="s">
        <v>36</v>
      </c>
      <c r="J90" s="19">
        <v>1200000000</v>
      </c>
      <c r="K90" s="5"/>
      <c r="L90" s="4">
        <f t="shared" si="4"/>
        <v>2067662892</v>
      </c>
      <c r="M90" s="18"/>
    </row>
    <row r="91" spans="1:13" ht="17.25" customHeight="1">
      <c r="A91" s="6" t="str">
        <f t="shared" si="3"/>
        <v>C40</v>
      </c>
      <c r="B91" s="3">
        <v>42032</v>
      </c>
      <c r="C91" s="3">
        <v>42032</v>
      </c>
      <c r="D91" s="18"/>
      <c r="E91" s="20" t="s">
        <v>338</v>
      </c>
      <c r="F91" s="18" t="s">
        <v>332</v>
      </c>
      <c r="G91" s="18"/>
      <c r="H91" s="18" t="s">
        <v>333</v>
      </c>
      <c r="I91" s="26" t="s">
        <v>334</v>
      </c>
      <c r="J91" s="18"/>
      <c r="K91" s="18">
        <v>320000000</v>
      </c>
      <c r="L91" s="4">
        <f t="shared" si="4"/>
        <v>1747662892</v>
      </c>
      <c r="M91" s="18"/>
    </row>
    <row r="92" spans="1:13" ht="17.25" customHeight="1">
      <c r="A92" s="6" t="str">
        <f t="shared" si="3"/>
        <v>C41</v>
      </c>
      <c r="B92" s="3">
        <v>42032</v>
      </c>
      <c r="C92" s="3">
        <v>42032</v>
      </c>
      <c r="D92" s="18"/>
      <c r="E92" s="20" t="s">
        <v>339</v>
      </c>
      <c r="F92" s="18" t="s">
        <v>332</v>
      </c>
      <c r="G92" s="18"/>
      <c r="H92" s="18" t="s">
        <v>335</v>
      </c>
      <c r="I92" s="26" t="s">
        <v>334</v>
      </c>
      <c r="J92" s="18"/>
      <c r="K92" s="18">
        <v>400000000</v>
      </c>
      <c r="L92" s="4">
        <f t="shared" si="4"/>
        <v>1347662892</v>
      </c>
      <c r="M92" s="18"/>
    </row>
    <row r="93" spans="1:13" ht="17.25" customHeight="1">
      <c r="A93" s="6" t="str">
        <f t="shared" si="3"/>
        <v>C42</v>
      </c>
      <c r="B93" s="3">
        <v>42032</v>
      </c>
      <c r="C93" s="3">
        <v>42032</v>
      </c>
      <c r="D93" s="4"/>
      <c r="E93" s="20" t="s">
        <v>340</v>
      </c>
      <c r="F93" s="5" t="s">
        <v>72</v>
      </c>
      <c r="G93" s="105" t="s">
        <v>216</v>
      </c>
      <c r="H93" s="5" t="s">
        <v>264</v>
      </c>
      <c r="I93" s="26" t="s">
        <v>94</v>
      </c>
      <c r="J93" s="19"/>
      <c r="K93" s="5">
        <v>754336</v>
      </c>
      <c r="L93" s="4">
        <f t="shared" si="4"/>
        <v>1346908556</v>
      </c>
      <c r="M93" s="18"/>
    </row>
    <row r="94" spans="1:13" ht="17.25" customHeight="1">
      <c r="A94" s="6" t="str">
        <f t="shared" si="3"/>
        <v>C42</v>
      </c>
      <c r="B94" s="3">
        <v>42032</v>
      </c>
      <c r="C94" s="3">
        <v>42032</v>
      </c>
      <c r="D94" s="4"/>
      <c r="E94" s="20" t="s">
        <v>340</v>
      </c>
      <c r="F94" s="5" t="s">
        <v>92</v>
      </c>
      <c r="G94" s="105" t="s">
        <v>216</v>
      </c>
      <c r="H94" s="5" t="s">
        <v>264</v>
      </c>
      <c r="I94" s="26" t="s">
        <v>35</v>
      </c>
      <c r="J94" s="19"/>
      <c r="K94" s="5">
        <v>75434</v>
      </c>
      <c r="L94" s="4">
        <f t="shared" si="4"/>
        <v>1346833122</v>
      </c>
      <c r="M94" s="18"/>
    </row>
    <row r="95" spans="1:13" ht="17.25" customHeight="1">
      <c r="A95" s="6" t="str">
        <f t="shared" si="3"/>
        <v>C43</v>
      </c>
      <c r="B95" s="3">
        <v>42032</v>
      </c>
      <c r="C95" s="3">
        <v>42032</v>
      </c>
      <c r="D95" s="4"/>
      <c r="E95" s="20" t="s">
        <v>341</v>
      </c>
      <c r="F95" s="5" t="s">
        <v>118</v>
      </c>
      <c r="G95" s="105" t="s">
        <v>226</v>
      </c>
      <c r="H95" s="5" t="s">
        <v>225</v>
      </c>
      <c r="I95" s="26" t="s">
        <v>34</v>
      </c>
      <c r="J95" s="19"/>
      <c r="K95" s="5">
        <v>5499956</v>
      </c>
      <c r="L95" s="4">
        <f t="shared" si="4"/>
        <v>1341333166</v>
      </c>
      <c r="M95" s="18"/>
    </row>
    <row r="96" spans="1:13" ht="17.25" customHeight="1">
      <c r="A96" s="6" t="str">
        <f t="shared" si="3"/>
        <v>C44</v>
      </c>
      <c r="B96" s="3">
        <v>42034</v>
      </c>
      <c r="C96" s="3">
        <v>42034</v>
      </c>
      <c r="D96" s="4"/>
      <c r="E96" s="20" t="s">
        <v>342</v>
      </c>
      <c r="F96" s="28" t="s">
        <v>90</v>
      </c>
      <c r="G96" s="106" t="s">
        <v>217</v>
      </c>
      <c r="H96" s="5" t="s">
        <v>218</v>
      </c>
      <c r="I96" s="26" t="s">
        <v>93</v>
      </c>
      <c r="J96" s="19"/>
      <c r="K96" s="5">
        <v>672727</v>
      </c>
      <c r="L96" s="4">
        <f t="shared" si="4"/>
        <v>1340660439</v>
      </c>
      <c r="M96" s="18"/>
    </row>
    <row r="97" spans="1:13" ht="17.25" customHeight="1">
      <c r="A97" s="6" t="str">
        <f t="shared" si="3"/>
        <v>C44</v>
      </c>
      <c r="B97" s="3">
        <v>42034</v>
      </c>
      <c r="C97" s="3">
        <v>42034</v>
      </c>
      <c r="D97" s="4"/>
      <c r="E97" s="20" t="s">
        <v>342</v>
      </c>
      <c r="F97" s="5" t="s">
        <v>91</v>
      </c>
      <c r="G97" s="106" t="s">
        <v>217</v>
      </c>
      <c r="H97" s="5" t="s">
        <v>218</v>
      </c>
      <c r="I97" s="26" t="s">
        <v>35</v>
      </c>
      <c r="J97" s="19"/>
      <c r="K97" s="5">
        <v>67273</v>
      </c>
      <c r="L97" s="4">
        <f t="shared" si="4"/>
        <v>1340593166</v>
      </c>
      <c r="M97" s="18"/>
    </row>
    <row r="98" spans="1:13" ht="17.25" customHeight="1">
      <c r="A98" s="6" t="str">
        <f t="shared" si="3"/>
        <v>C45</v>
      </c>
      <c r="B98" s="3">
        <v>42034</v>
      </c>
      <c r="C98" s="3">
        <v>42034</v>
      </c>
      <c r="D98" s="4"/>
      <c r="E98" s="20" t="s">
        <v>343</v>
      </c>
      <c r="F98" s="5" t="s">
        <v>72</v>
      </c>
      <c r="G98" s="105" t="s">
        <v>219</v>
      </c>
      <c r="H98" s="5" t="s">
        <v>264</v>
      </c>
      <c r="I98" s="26" t="s">
        <v>94</v>
      </c>
      <c r="J98" s="19"/>
      <c r="K98" s="5">
        <v>828291</v>
      </c>
      <c r="L98" s="4">
        <f t="shared" si="4"/>
        <v>1339764875</v>
      </c>
      <c r="M98" s="18"/>
    </row>
    <row r="99" spans="1:13" ht="17.25" customHeight="1">
      <c r="A99" s="6" t="str">
        <f t="shared" si="3"/>
        <v>C45</v>
      </c>
      <c r="B99" s="3">
        <v>42034</v>
      </c>
      <c r="C99" s="3">
        <v>42034</v>
      </c>
      <c r="D99" s="4"/>
      <c r="E99" s="20" t="s">
        <v>343</v>
      </c>
      <c r="F99" s="5" t="s">
        <v>92</v>
      </c>
      <c r="G99" s="105" t="s">
        <v>219</v>
      </c>
      <c r="H99" s="5" t="s">
        <v>264</v>
      </c>
      <c r="I99" s="26" t="s">
        <v>35</v>
      </c>
      <c r="J99" s="19"/>
      <c r="K99" s="5">
        <v>82829</v>
      </c>
      <c r="L99" s="4">
        <f t="shared" si="4"/>
        <v>1339682046</v>
      </c>
      <c r="M99" s="18"/>
    </row>
    <row r="100" spans="1:13" ht="17.25" customHeight="1">
      <c r="A100" s="6" t="str">
        <f t="shared" si="3"/>
        <v>C46</v>
      </c>
      <c r="B100" s="3">
        <v>42035</v>
      </c>
      <c r="C100" s="3">
        <v>42035</v>
      </c>
      <c r="D100" s="4"/>
      <c r="E100" s="20" t="s">
        <v>344</v>
      </c>
      <c r="F100" s="5" t="s">
        <v>53</v>
      </c>
      <c r="G100" s="105" t="s">
        <v>227</v>
      </c>
      <c r="H100" s="38" t="s">
        <v>192</v>
      </c>
      <c r="I100" s="26" t="s">
        <v>54</v>
      </c>
      <c r="J100" s="19"/>
      <c r="K100" s="5">
        <v>1209600</v>
      </c>
      <c r="L100" s="4">
        <f t="shared" si="4"/>
        <v>1338472446</v>
      </c>
      <c r="M100" s="18"/>
    </row>
    <row r="101" spans="1:13" ht="17.25" customHeight="1">
      <c r="A101" s="6" t="str">
        <f t="shared" si="3"/>
        <v>C46</v>
      </c>
      <c r="B101" s="3">
        <v>42035</v>
      </c>
      <c r="C101" s="3">
        <v>42035</v>
      </c>
      <c r="D101" s="4"/>
      <c r="E101" s="20" t="s">
        <v>344</v>
      </c>
      <c r="F101" s="5" t="s">
        <v>72</v>
      </c>
      <c r="G101" s="105" t="s">
        <v>227</v>
      </c>
      <c r="H101" s="38" t="s">
        <v>192</v>
      </c>
      <c r="I101" s="26" t="s">
        <v>94</v>
      </c>
      <c r="J101" s="19"/>
      <c r="K101" s="5">
        <v>242173</v>
      </c>
      <c r="L101" s="4">
        <f t="shared" si="4"/>
        <v>1338230273</v>
      </c>
      <c r="M101" s="18"/>
    </row>
    <row r="102" spans="1:13" ht="17.25" customHeight="1">
      <c r="A102" s="6" t="str">
        <f t="shared" si="3"/>
        <v>C46</v>
      </c>
      <c r="B102" s="3">
        <v>42035</v>
      </c>
      <c r="C102" s="3">
        <v>42035</v>
      </c>
      <c r="D102" s="4"/>
      <c r="E102" s="20" t="s">
        <v>344</v>
      </c>
      <c r="F102" s="5" t="s">
        <v>87</v>
      </c>
      <c r="G102" s="105" t="s">
        <v>227</v>
      </c>
      <c r="H102" s="38" t="s">
        <v>192</v>
      </c>
      <c r="I102" s="26" t="s">
        <v>35</v>
      </c>
      <c r="J102" s="19"/>
      <c r="K102" s="5">
        <v>145177</v>
      </c>
      <c r="L102" s="4">
        <f t="shared" si="4"/>
        <v>1338085096</v>
      </c>
      <c r="M102" s="18"/>
    </row>
    <row r="103" spans="1:13" ht="17.25" customHeight="1">
      <c r="A103" s="6" t="str">
        <f t="shared" si="3"/>
        <v>C47</v>
      </c>
      <c r="B103" s="3">
        <v>42035</v>
      </c>
      <c r="C103" s="3">
        <v>42035</v>
      </c>
      <c r="D103" s="4"/>
      <c r="E103" s="20" t="s">
        <v>345</v>
      </c>
      <c r="F103" s="5" t="s">
        <v>109</v>
      </c>
      <c r="G103" s="5"/>
      <c r="H103" s="18" t="s">
        <v>261</v>
      </c>
      <c r="I103" s="26" t="s">
        <v>38</v>
      </c>
      <c r="J103" s="19"/>
      <c r="K103" s="5">
        <v>17708000</v>
      </c>
      <c r="L103" s="4">
        <f t="shared" si="4"/>
        <v>1320377096</v>
      </c>
      <c r="M103" s="18"/>
    </row>
    <row r="104" spans="1:13" ht="17.25" customHeight="1">
      <c r="A104" s="6" t="str">
        <f t="shared" si="3"/>
        <v>C48</v>
      </c>
      <c r="B104" s="3">
        <v>42035</v>
      </c>
      <c r="C104" s="3">
        <v>42035</v>
      </c>
      <c r="D104" s="18"/>
      <c r="E104" s="20" t="s">
        <v>346</v>
      </c>
      <c r="F104" s="18" t="s">
        <v>1396</v>
      </c>
      <c r="G104" s="18"/>
      <c r="H104" s="18" t="s">
        <v>261</v>
      </c>
      <c r="I104" s="26" t="s">
        <v>37</v>
      </c>
      <c r="J104" s="18"/>
      <c r="K104" s="18">
        <v>152676459</v>
      </c>
      <c r="L104" s="4">
        <f t="shared" si="4"/>
        <v>1167700637</v>
      </c>
      <c r="M104" s="18"/>
    </row>
    <row r="105" spans="1:13" ht="17.25" customHeight="1">
      <c r="A105" s="6" t="str">
        <f t="shared" si="3"/>
        <v>T10</v>
      </c>
      <c r="B105" s="3">
        <v>42035</v>
      </c>
      <c r="C105" s="3">
        <v>42035</v>
      </c>
      <c r="D105" s="4" t="s">
        <v>838</v>
      </c>
      <c r="E105" s="20"/>
      <c r="F105" s="28" t="s">
        <v>839</v>
      </c>
      <c r="G105" s="28"/>
      <c r="H105" s="28" t="s">
        <v>187</v>
      </c>
      <c r="I105" s="26" t="s">
        <v>442</v>
      </c>
      <c r="J105" s="19">
        <v>47321900</v>
      </c>
      <c r="K105" s="5"/>
      <c r="L105" s="4">
        <f t="shared" si="4"/>
        <v>1215022537</v>
      </c>
      <c r="M105" s="18"/>
    </row>
    <row r="106" spans="1:13" ht="17.25" customHeight="1">
      <c r="A106" s="6" t="str">
        <f t="shared" si="3"/>
        <v>C49</v>
      </c>
      <c r="B106" s="3">
        <v>42035</v>
      </c>
      <c r="C106" s="3">
        <v>42035</v>
      </c>
      <c r="D106" s="18"/>
      <c r="E106" s="20" t="s">
        <v>840</v>
      </c>
      <c r="F106" s="18" t="s">
        <v>841</v>
      </c>
      <c r="G106" s="18"/>
      <c r="H106" s="18" t="s">
        <v>261</v>
      </c>
      <c r="I106" s="26" t="s">
        <v>34</v>
      </c>
      <c r="J106" s="18"/>
      <c r="K106" s="18">
        <v>13867000</v>
      </c>
      <c r="L106" s="4">
        <f t="shared" ref="L106" si="5">IF(F106&lt;&gt;"",L105+J106-K106,0)</f>
        <v>1201155537</v>
      </c>
      <c r="M106" s="18"/>
    </row>
    <row r="107" spans="1:13" ht="17.25" customHeight="1">
      <c r="A107" s="6" t="str">
        <f t="shared" si="3"/>
        <v>T11</v>
      </c>
      <c r="B107" s="3">
        <v>42035</v>
      </c>
      <c r="C107" s="3">
        <v>42035</v>
      </c>
      <c r="D107" s="18" t="s">
        <v>1391</v>
      </c>
      <c r="E107" s="20"/>
      <c r="F107" s="18" t="s">
        <v>1399</v>
      </c>
      <c r="G107" s="18"/>
      <c r="H107" s="18" t="s">
        <v>1400</v>
      </c>
      <c r="I107" s="26" t="s">
        <v>34</v>
      </c>
      <c r="J107" s="18">
        <v>56155000</v>
      </c>
      <c r="K107" s="18"/>
      <c r="L107" s="4">
        <f t="shared" ref="L107" si="6">IF(F107&lt;&gt;"",L106+J107-K107,0)</f>
        <v>1257310537</v>
      </c>
      <c r="M107" s="18"/>
    </row>
    <row r="108" spans="1:13" ht="17.25" customHeight="1">
      <c r="A108" s="6" t="str">
        <f t="shared" ref="A108" si="7">D108&amp;E108</f>
        <v/>
      </c>
      <c r="B108" s="21"/>
      <c r="C108" s="18"/>
      <c r="D108" s="18"/>
      <c r="E108" s="18"/>
      <c r="F108" s="18"/>
      <c r="G108" s="18"/>
      <c r="H108" s="18"/>
      <c r="I108" s="22"/>
      <c r="J108" s="18"/>
      <c r="K108" s="18"/>
      <c r="L108" s="4"/>
      <c r="M108" s="18"/>
    </row>
    <row r="109" spans="1:13" s="34" customFormat="1" ht="17.25" customHeight="1">
      <c r="B109" s="32"/>
      <c r="C109" s="32"/>
      <c r="D109" s="32"/>
      <c r="E109" s="32"/>
      <c r="F109" s="32" t="s">
        <v>29</v>
      </c>
      <c r="G109" s="32"/>
      <c r="H109" s="32"/>
      <c r="I109" s="33" t="s">
        <v>30</v>
      </c>
      <c r="J109" s="32">
        <f>SUM(J13:J108)</f>
        <v>6917976900</v>
      </c>
      <c r="K109" s="32">
        <f>SUM(K13:K108)</f>
        <v>6651613475</v>
      </c>
      <c r="L109" s="33" t="s">
        <v>30</v>
      </c>
      <c r="M109" s="33" t="s">
        <v>30</v>
      </c>
    </row>
    <row r="110" spans="1:13" s="34" customFormat="1" ht="17.25" customHeight="1">
      <c r="B110" s="35"/>
      <c r="C110" s="35"/>
      <c r="D110" s="35"/>
      <c r="E110" s="35"/>
      <c r="F110" s="35" t="s">
        <v>31</v>
      </c>
      <c r="G110" s="35"/>
      <c r="H110" s="35"/>
      <c r="I110" s="36" t="s">
        <v>30</v>
      </c>
      <c r="J110" s="36" t="s">
        <v>30</v>
      </c>
      <c r="K110" s="36" t="s">
        <v>30</v>
      </c>
      <c r="L110" s="35">
        <f>L12+J109-K109</f>
        <v>1257310537</v>
      </c>
      <c r="M110" s="36" t="s">
        <v>30</v>
      </c>
    </row>
    <row r="112" spans="1:13">
      <c r="B112" s="25" t="s">
        <v>32</v>
      </c>
    </row>
    <row r="113" spans="2:12">
      <c r="B113" s="25" t="s">
        <v>112</v>
      </c>
    </row>
    <row r="114" spans="2:12">
      <c r="L114" s="8" t="s">
        <v>113</v>
      </c>
    </row>
    <row r="115" spans="2:12" s="7" customFormat="1" ht="14.25">
      <c r="C115" s="7" t="s">
        <v>33</v>
      </c>
      <c r="F115" s="7" t="s">
        <v>13</v>
      </c>
      <c r="L115" s="7" t="s">
        <v>14</v>
      </c>
    </row>
    <row r="116" spans="2:12" s="2" customFormat="1">
      <c r="C116" s="2" t="s">
        <v>15</v>
      </c>
      <c r="F116" s="2" t="s">
        <v>15</v>
      </c>
      <c r="L116" s="2" t="s">
        <v>16</v>
      </c>
    </row>
    <row r="117" spans="2:12" s="2" customFormat="1"/>
    <row r="118" spans="2:12" s="2" customFormat="1"/>
    <row r="119" spans="2:12" s="2" customFormat="1"/>
    <row r="122" spans="2:12" s="414" customFormat="1">
      <c r="C122" s="415" t="s">
        <v>1388</v>
      </c>
      <c r="L122" s="415" t="s">
        <v>1389</v>
      </c>
    </row>
  </sheetData>
  <autoFilter ref="B11:M110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7">
    <cfRule type="expression" dxfId="27" priority="1" stopIfTrue="1">
      <formula>$C13&lt;&gt;""</formula>
    </cfRule>
  </conditionalFormatting>
  <printOptions horizontalCentered="1"/>
  <pageMargins left="0.9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indexed="31"/>
  </sheetPr>
  <dimension ref="A1:M95"/>
  <sheetViews>
    <sheetView topLeftCell="B8" zoomScale="90" workbookViewId="0">
      <pane ySplit="5" topLeftCell="A28" activePane="bottomLeft" state="frozen"/>
      <selection activeCell="B8" sqref="B8"/>
      <selection pane="bottomLeft" activeCell="B94" sqref="A94:XFD94"/>
    </sheetView>
  </sheetViews>
  <sheetFormatPr defaultRowHeight="15"/>
  <cols>
    <col min="1" max="1" width="5.28515625" style="6" hidden="1" customWidth="1"/>
    <col min="2" max="3" width="8.85546875" style="6" customWidth="1"/>
    <col min="4" max="5" width="6.85546875" style="6" customWidth="1"/>
    <col min="6" max="6" width="35.85546875" style="6" customWidth="1"/>
    <col min="7" max="7" width="10.28515625" style="6" hidden="1" customWidth="1"/>
    <col min="8" max="8" width="35.85546875" style="6" hidden="1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60" t="s">
        <v>132</v>
      </c>
      <c r="K1" s="460"/>
      <c r="L1" s="460"/>
      <c r="M1" s="460"/>
    </row>
    <row r="2" spans="1:13" s="11" customFormat="1" ht="16.5" customHeight="1">
      <c r="B2" s="1" t="str">
        <f>'01'!B2</f>
        <v>Địa chỉ: Lô A14, Đường 4A - KCN Hải Sơn, Đức Hòa, Long An</v>
      </c>
      <c r="C2" s="317"/>
      <c r="D2" s="317"/>
      <c r="E2" s="317"/>
      <c r="F2" s="317"/>
      <c r="G2" s="317"/>
      <c r="H2" s="317"/>
      <c r="J2" s="461" t="s">
        <v>133</v>
      </c>
      <c r="K2" s="461"/>
      <c r="L2" s="461"/>
      <c r="M2" s="461"/>
    </row>
    <row r="3" spans="1:13" s="11" customFormat="1" ht="16.5" customHeight="1">
      <c r="B3" s="9"/>
      <c r="C3" s="317"/>
      <c r="D3" s="14"/>
      <c r="E3" s="14"/>
      <c r="F3" s="317"/>
      <c r="G3" s="317"/>
      <c r="H3" s="317"/>
      <c r="J3" s="461"/>
      <c r="K3" s="461"/>
      <c r="L3" s="461"/>
      <c r="M3" s="461"/>
    </row>
    <row r="4" spans="1:13" s="11" customFormat="1" ht="6.75" customHeight="1">
      <c r="B4" s="317"/>
      <c r="C4" s="317"/>
      <c r="D4" s="317"/>
      <c r="E4" s="317"/>
      <c r="F4" s="317"/>
      <c r="G4" s="317"/>
      <c r="H4" s="317"/>
      <c r="J4" s="318"/>
      <c r="K4" s="318"/>
      <c r="L4" s="318"/>
      <c r="M4" s="318"/>
    </row>
    <row r="5" spans="1:13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</row>
    <row r="6" spans="1:13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</row>
    <row r="7" spans="1:13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</row>
    <row r="8" spans="1:13">
      <c r="B8" s="15"/>
      <c r="L8" s="15" t="s">
        <v>19</v>
      </c>
    </row>
    <row r="9" spans="1:13" ht="30" customHeight="1">
      <c r="B9" s="463" t="s">
        <v>20</v>
      </c>
      <c r="C9" s="463" t="s">
        <v>21</v>
      </c>
      <c r="D9" s="463" t="s">
        <v>2</v>
      </c>
      <c r="E9" s="463"/>
      <c r="F9" s="463" t="s">
        <v>3</v>
      </c>
      <c r="G9" s="464" t="s">
        <v>134</v>
      </c>
      <c r="H9" s="464" t="s">
        <v>135</v>
      </c>
      <c r="I9" s="463" t="s">
        <v>22</v>
      </c>
      <c r="J9" s="463" t="s">
        <v>23</v>
      </c>
      <c r="K9" s="463"/>
      <c r="L9" s="463" t="s">
        <v>24</v>
      </c>
      <c r="M9" s="463" t="s">
        <v>4</v>
      </c>
    </row>
    <row r="10" spans="1:13" ht="20.25" customHeight="1">
      <c r="B10" s="463"/>
      <c r="C10" s="463"/>
      <c r="D10" s="320" t="s">
        <v>5</v>
      </c>
      <c r="E10" s="320" t="s">
        <v>6</v>
      </c>
      <c r="F10" s="463"/>
      <c r="G10" s="465"/>
      <c r="H10" s="465"/>
      <c r="I10" s="463"/>
      <c r="J10" s="320" t="s">
        <v>25</v>
      </c>
      <c r="K10" s="320" t="s">
        <v>26</v>
      </c>
      <c r="L10" s="463"/>
      <c r="M10" s="46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'01'!L110</f>
        <v>1257310537</v>
      </c>
      <c r="M12" s="29"/>
    </row>
    <row r="13" spans="1:13" ht="18" customHeight="1">
      <c r="A13" s="6" t="str">
        <f t="shared" ref="A13:A76" si="0">D13&amp;E13</f>
        <v>C01</v>
      </c>
      <c r="B13" s="3">
        <v>42037</v>
      </c>
      <c r="C13" s="3">
        <v>42009</v>
      </c>
      <c r="D13" s="4"/>
      <c r="E13" s="20" t="s">
        <v>136</v>
      </c>
      <c r="F13" s="5" t="s">
        <v>627</v>
      </c>
      <c r="G13" s="105" t="s">
        <v>229</v>
      </c>
      <c r="H13" s="5" t="s">
        <v>230</v>
      </c>
      <c r="I13" s="26" t="s">
        <v>94</v>
      </c>
      <c r="J13" s="19"/>
      <c r="K13" s="5">
        <v>15376000</v>
      </c>
      <c r="L13" s="4">
        <f t="shared" ref="L13:L44" si="1">IF(F13&lt;&gt;"",L12+J13-K13,0)</f>
        <v>1241934537</v>
      </c>
      <c r="M13" s="18"/>
    </row>
    <row r="14" spans="1:13" ht="18" customHeight="1">
      <c r="A14" s="6" t="str">
        <f t="shared" si="0"/>
        <v>C01</v>
      </c>
      <c r="B14" s="3">
        <v>42037</v>
      </c>
      <c r="C14" s="3">
        <v>42009</v>
      </c>
      <c r="D14" s="4"/>
      <c r="E14" s="20" t="s">
        <v>136</v>
      </c>
      <c r="F14" s="5" t="s">
        <v>628</v>
      </c>
      <c r="G14" s="105" t="s">
        <v>229</v>
      </c>
      <c r="H14" s="5" t="s">
        <v>230</v>
      </c>
      <c r="I14" s="26" t="s">
        <v>35</v>
      </c>
      <c r="J14" s="19"/>
      <c r="K14" s="5">
        <v>768800</v>
      </c>
      <c r="L14" s="4">
        <f t="shared" si="1"/>
        <v>1241165737</v>
      </c>
      <c r="M14" s="18"/>
    </row>
    <row r="15" spans="1:13" ht="17.25" customHeight="1">
      <c r="A15" s="6" t="str">
        <f t="shared" si="0"/>
        <v>C02</v>
      </c>
      <c r="B15" s="3">
        <v>42037</v>
      </c>
      <c r="C15" s="3">
        <v>42024</v>
      </c>
      <c r="D15" s="4"/>
      <c r="E15" s="20" t="s">
        <v>137</v>
      </c>
      <c r="F15" s="5" t="s">
        <v>95</v>
      </c>
      <c r="G15" s="105" t="s">
        <v>231</v>
      </c>
      <c r="H15" s="5" t="s">
        <v>491</v>
      </c>
      <c r="I15" s="26" t="s">
        <v>93</v>
      </c>
      <c r="J15" s="19"/>
      <c r="K15" s="5">
        <v>4516366</v>
      </c>
      <c r="L15" s="4">
        <f t="shared" si="1"/>
        <v>1236649371</v>
      </c>
      <c r="M15" s="18"/>
    </row>
    <row r="16" spans="1:13" ht="17.25" customHeight="1">
      <c r="A16" s="6" t="str">
        <f t="shared" si="0"/>
        <v>C02</v>
      </c>
      <c r="B16" s="3">
        <v>42037</v>
      </c>
      <c r="C16" s="3">
        <v>42024</v>
      </c>
      <c r="D16" s="4"/>
      <c r="E16" s="20" t="s">
        <v>137</v>
      </c>
      <c r="F16" s="5" t="s">
        <v>96</v>
      </c>
      <c r="G16" s="105" t="s">
        <v>231</v>
      </c>
      <c r="H16" s="5" t="s">
        <v>491</v>
      </c>
      <c r="I16" s="26" t="s">
        <v>35</v>
      </c>
      <c r="J16" s="19"/>
      <c r="K16" s="5">
        <v>451637</v>
      </c>
      <c r="L16" s="4">
        <f t="shared" si="1"/>
        <v>1236197734</v>
      </c>
      <c r="M16" s="18"/>
    </row>
    <row r="17" spans="1:13" ht="16.5" customHeight="1">
      <c r="A17" s="6" t="str">
        <f t="shared" si="0"/>
        <v>C03</v>
      </c>
      <c r="B17" s="3">
        <v>42037</v>
      </c>
      <c r="C17" s="3">
        <v>42029</v>
      </c>
      <c r="D17" s="4"/>
      <c r="E17" s="20" t="s">
        <v>138</v>
      </c>
      <c r="F17" s="5" t="s">
        <v>57</v>
      </c>
      <c r="G17" s="105" t="s">
        <v>232</v>
      </c>
      <c r="H17" s="5" t="s">
        <v>262</v>
      </c>
      <c r="I17" s="26" t="s">
        <v>94</v>
      </c>
      <c r="J17" s="19"/>
      <c r="K17" s="5">
        <v>4595500</v>
      </c>
      <c r="L17" s="4">
        <f t="shared" si="1"/>
        <v>1231602234</v>
      </c>
      <c r="M17" s="18"/>
    </row>
    <row r="18" spans="1:13" ht="16.5" customHeight="1">
      <c r="A18" s="6" t="str">
        <f t="shared" si="0"/>
        <v>C03</v>
      </c>
      <c r="B18" s="3">
        <v>42037</v>
      </c>
      <c r="C18" s="3">
        <v>42029</v>
      </c>
      <c r="D18" s="4"/>
      <c r="E18" s="20" t="s">
        <v>138</v>
      </c>
      <c r="F18" s="5" t="s">
        <v>97</v>
      </c>
      <c r="G18" s="105" t="s">
        <v>232</v>
      </c>
      <c r="H18" s="5" t="s">
        <v>262</v>
      </c>
      <c r="I18" s="26" t="s">
        <v>35</v>
      </c>
      <c r="J18" s="19"/>
      <c r="K18" s="5">
        <v>459550</v>
      </c>
      <c r="L18" s="4">
        <f t="shared" si="1"/>
        <v>1231142684</v>
      </c>
      <c r="M18" s="18"/>
    </row>
    <row r="19" spans="1:13" ht="16.5" customHeight="1">
      <c r="A19" s="6" t="str">
        <f t="shared" si="0"/>
        <v>C04</v>
      </c>
      <c r="B19" s="3">
        <v>42037</v>
      </c>
      <c r="C19" s="3">
        <v>42035</v>
      </c>
      <c r="D19" s="4"/>
      <c r="E19" s="20" t="s">
        <v>139</v>
      </c>
      <c r="F19" s="5" t="s">
        <v>110</v>
      </c>
      <c r="G19" s="105" t="s">
        <v>233</v>
      </c>
      <c r="H19" s="5" t="s">
        <v>666</v>
      </c>
      <c r="I19" s="26" t="s">
        <v>94</v>
      </c>
      <c r="J19" s="19"/>
      <c r="K19" s="5">
        <v>1000000</v>
      </c>
      <c r="L19" s="4">
        <f t="shared" si="1"/>
        <v>1230142684</v>
      </c>
      <c r="M19" s="18"/>
    </row>
    <row r="20" spans="1:13" ht="16.5" customHeight="1">
      <c r="A20" s="6" t="str">
        <f t="shared" si="0"/>
        <v>C05</v>
      </c>
      <c r="B20" s="3">
        <v>42037</v>
      </c>
      <c r="C20" s="3">
        <v>42035</v>
      </c>
      <c r="D20" s="4"/>
      <c r="E20" s="20" t="s">
        <v>140</v>
      </c>
      <c r="F20" s="5" t="s">
        <v>98</v>
      </c>
      <c r="G20" s="105" t="s">
        <v>234</v>
      </c>
      <c r="H20" s="5" t="s">
        <v>182</v>
      </c>
      <c r="I20" s="26" t="s">
        <v>94</v>
      </c>
      <c r="J20" s="19"/>
      <c r="K20" s="5">
        <v>150000</v>
      </c>
      <c r="L20" s="4">
        <f t="shared" si="1"/>
        <v>1229992684</v>
      </c>
      <c r="M20" s="18"/>
    </row>
    <row r="21" spans="1:13" ht="16.5" customHeight="1">
      <c r="A21" s="6" t="str">
        <f t="shared" si="0"/>
        <v>C05</v>
      </c>
      <c r="B21" s="3">
        <v>42037</v>
      </c>
      <c r="C21" s="3">
        <v>42035</v>
      </c>
      <c r="D21" s="4"/>
      <c r="E21" s="20" t="s">
        <v>140</v>
      </c>
      <c r="F21" s="5" t="s">
        <v>99</v>
      </c>
      <c r="G21" s="105" t="s">
        <v>234</v>
      </c>
      <c r="H21" s="5" t="s">
        <v>182</v>
      </c>
      <c r="I21" s="26" t="s">
        <v>35</v>
      </c>
      <c r="J21" s="19"/>
      <c r="K21" s="5">
        <v>15000</v>
      </c>
      <c r="L21" s="4">
        <f t="shared" si="1"/>
        <v>1229977684</v>
      </c>
      <c r="M21" s="18"/>
    </row>
    <row r="22" spans="1:13" ht="16.5" customHeight="1">
      <c r="A22" s="6" t="str">
        <f t="shared" si="0"/>
        <v>C05</v>
      </c>
      <c r="B22" s="3">
        <v>42037</v>
      </c>
      <c r="C22" s="3">
        <v>42035</v>
      </c>
      <c r="D22" s="4"/>
      <c r="E22" s="20" t="s">
        <v>140</v>
      </c>
      <c r="F22" s="5" t="s">
        <v>98</v>
      </c>
      <c r="G22" s="105" t="s">
        <v>235</v>
      </c>
      <c r="H22" s="5" t="s">
        <v>182</v>
      </c>
      <c r="I22" s="26" t="s">
        <v>94</v>
      </c>
      <c r="J22" s="19"/>
      <c r="K22" s="5">
        <v>2084112</v>
      </c>
      <c r="L22" s="4">
        <f t="shared" si="1"/>
        <v>1227893572</v>
      </c>
      <c r="M22" s="18"/>
    </row>
    <row r="23" spans="1:13" ht="18" customHeight="1">
      <c r="A23" s="6" t="str">
        <f t="shared" si="0"/>
        <v>C05</v>
      </c>
      <c r="B23" s="3">
        <v>42037</v>
      </c>
      <c r="C23" s="3">
        <v>42035</v>
      </c>
      <c r="D23" s="4"/>
      <c r="E23" s="20" t="s">
        <v>140</v>
      </c>
      <c r="F23" s="5" t="s">
        <v>99</v>
      </c>
      <c r="G23" s="105" t="s">
        <v>235</v>
      </c>
      <c r="H23" s="5" t="s">
        <v>182</v>
      </c>
      <c r="I23" s="26" t="s">
        <v>35</v>
      </c>
      <c r="J23" s="19"/>
      <c r="K23" s="5">
        <v>208411</v>
      </c>
      <c r="L23" s="4">
        <f t="shared" si="1"/>
        <v>1227685161</v>
      </c>
      <c r="M23" s="18"/>
    </row>
    <row r="24" spans="1:13" ht="17.25" customHeight="1">
      <c r="A24" s="6" t="str">
        <f t="shared" si="0"/>
        <v>C06</v>
      </c>
      <c r="B24" s="3">
        <f>C24</f>
        <v>42037</v>
      </c>
      <c r="C24" s="3">
        <v>42037</v>
      </c>
      <c r="D24" s="4"/>
      <c r="E24" s="20" t="s">
        <v>141</v>
      </c>
      <c r="F24" s="44" t="s">
        <v>115</v>
      </c>
      <c r="G24" s="107" t="s">
        <v>257</v>
      </c>
      <c r="H24" s="5" t="s">
        <v>258</v>
      </c>
      <c r="I24" s="26" t="s">
        <v>34</v>
      </c>
      <c r="J24" s="19"/>
      <c r="K24" s="5">
        <v>8569000</v>
      </c>
      <c r="L24" s="4">
        <f t="shared" si="1"/>
        <v>1219116161</v>
      </c>
      <c r="M24" s="18"/>
    </row>
    <row r="25" spans="1:13" ht="18" customHeight="1">
      <c r="A25" s="6" t="str">
        <f t="shared" si="0"/>
        <v>C07</v>
      </c>
      <c r="B25" s="3">
        <v>42038</v>
      </c>
      <c r="C25" s="3">
        <v>42027</v>
      </c>
      <c r="D25" s="4"/>
      <c r="E25" s="20" t="s">
        <v>142</v>
      </c>
      <c r="F25" s="5" t="s">
        <v>629</v>
      </c>
      <c r="G25" s="105" t="s">
        <v>236</v>
      </c>
      <c r="H25" s="5" t="s">
        <v>492</v>
      </c>
      <c r="I25" s="26" t="s">
        <v>94</v>
      </c>
      <c r="J25" s="19"/>
      <c r="K25" s="5">
        <v>6449800</v>
      </c>
      <c r="L25" s="4">
        <f t="shared" si="1"/>
        <v>1212666361</v>
      </c>
      <c r="M25" s="18"/>
    </row>
    <row r="26" spans="1:13" ht="18" customHeight="1">
      <c r="A26" s="6" t="str">
        <f t="shared" si="0"/>
        <v>C07</v>
      </c>
      <c r="B26" s="3">
        <v>42038</v>
      </c>
      <c r="C26" s="3">
        <v>42027</v>
      </c>
      <c r="D26" s="4"/>
      <c r="E26" s="20" t="s">
        <v>142</v>
      </c>
      <c r="F26" s="5" t="s">
        <v>630</v>
      </c>
      <c r="G26" s="105" t="s">
        <v>236</v>
      </c>
      <c r="H26" s="5" t="s">
        <v>492</v>
      </c>
      <c r="I26" s="26" t="s">
        <v>35</v>
      </c>
      <c r="J26" s="19"/>
      <c r="K26" s="5">
        <v>644980</v>
      </c>
      <c r="L26" s="4">
        <f t="shared" si="1"/>
        <v>1212021381</v>
      </c>
      <c r="M26" s="18"/>
    </row>
    <row r="27" spans="1:13" ht="18" customHeight="1">
      <c r="A27" s="6" t="str">
        <f t="shared" si="0"/>
        <v>C08</v>
      </c>
      <c r="B27" s="3">
        <v>42038</v>
      </c>
      <c r="C27" s="3">
        <v>42036</v>
      </c>
      <c r="D27" s="4"/>
      <c r="E27" s="20" t="s">
        <v>143</v>
      </c>
      <c r="F27" s="5" t="s">
        <v>101</v>
      </c>
      <c r="G27" s="105" t="s">
        <v>237</v>
      </c>
      <c r="H27" s="5" t="s">
        <v>493</v>
      </c>
      <c r="I27" s="26" t="s">
        <v>94</v>
      </c>
      <c r="J27" s="19"/>
      <c r="K27" s="5">
        <v>68425</v>
      </c>
      <c r="L27" s="4">
        <f t="shared" si="1"/>
        <v>1211952956</v>
      </c>
      <c r="M27" s="18"/>
    </row>
    <row r="28" spans="1:13" ht="17.25" customHeight="1">
      <c r="A28" s="6" t="str">
        <f t="shared" si="0"/>
        <v>C08</v>
      </c>
      <c r="B28" s="3">
        <v>42038</v>
      </c>
      <c r="C28" s="3">
        <v>42036</v>
      </c>
      <c r="D28" s="4"/>
      <c r="E28" s="20" t="s">
        <v>143</v>
      </c>
      <c r="F28" s="5" t="s">
        <v>102</v>
      </c>
      <c r="G28" s="105" t="s">
        <v>237</v>
      </c>
      <c r="H28" s="5" t="s">
        <v>493</v>
      </c>
      <c r="I28" s="26" t="s">
        <v>35</v>
      </c>
      <c r="J28" s="19"/>
      <c r="K28" s="5">
        <v>6842</v>
      </c>
      <c r="L28" s="4">
        <f t="shared" si="1"/>
        <v>1211946114</v>
      </c>
      <c r="M28" s="18"/>
    </row>
    <row r="29" spans="1:13" ht="17.25" customHeight="1">
      <c r="A29" s="6" t="str">
        <f t="shared" si="0"/>
        <v>T01</v>
      </c>
      <c r="B29" s="3">
        <v>42039</v>
      </c>
      <c r="C29" s="3">
        <v>42039</v>
      </c>
      <c r="D29" s="4" t="s">
        <v>39</v>
      </c>
      <c r="E29" s="20"/>
      <c r="F29" s="5" t="s">
        <v>62</v>
      </c>
      <c r="G29" s="5"/>
      <c r="H29" s="5" t="s">
        <v>228</v>
      </c>
      <c r="I29" s="26" t="s">
        <v>36</v>
      </c>
      <c r="J29" s="19">
        <v>500000000</v>
      </c>
      <c r="K29" s="5"/>
      <c r="L29" s="4">
        <f t="shared" si="1"/>
        <v>1711946114</v>
      </c>
      <c r="M29" s="18"/>
    </row>
    <row r="30" spans="1:13" ht="17.25" customHeight="1">
      <c r="A30" s="6" t="str">
        <f t="shared" si="0"/>
        <v>C09</v>
      </c>
      <c r="B30" s="3">
        <v>42039</v>
      </c>
      <c r="C30" s="3">
        <v>42039</v>
      </c>
      <c r="D30" s="4"/>
      <c r="E30" s="20" t="s">
        <v>144</v>
      </c>
      <c r="F30" s="5" t="s">
        <v>332</v>
      </c>
      <c r="G30" s="5"/>
      <c r="H30" s="5" t="s">
        <v>333</v>
      </c>
      <c r="I30" s="26" t="s">
        <v>334</v>
      </c>
      <c r="J30" s="19"/>
      <c r="K30" s="5">
        <v>600000000</v>
      </c>
      <c r="L30" s="4">
        <f t="shared" si="1"/>
        <v>1111946114</v>
      </c>
      <c r="M30" s="18"/>
    </row>
    <row r="31" spans="1:13" ht="17.25" customHeight="1">
      <c r="A31" s="6" t="str">
        <f t="shared" si="0"/>
        <v>C10</v>
      </c>
      <c r="B31" s="3">
        <v>42039</v>
      </c>
      <c r="C31" s="3">
        <v>42033</v>
      </c>
      <c r="D31" s="4"/>
      <c r="E31" s="20" t="s">
        <v>145</v>
      </c>
      <c r="F31" s="5" t="s">
        <v>627</v>
      </c>
      <c r="G31" s="105" t="s">
        <v>238</v>
      </c>
      <c r="H31" s="5" t="s">
        <v>230</v>
      </c>
      <c r="I31" s="26" t="s">
        <v>94</v>
      </c>
      <c r="J31" s="19"/>
      <c r="K31" s="5">
        <v>14352000</v>
      </c>
      <c r="L31" s="4">
        <f t="shared" si="1"/>
        <v>1097594114</v>
      </c>
      <c r="M31" s="18"/>
    </row>
    <row r="32" spans="1:13" ht="17.25" customHeight="1">
      <c r="A32" s="6" t="str">
        <f t="shared" si="0"/>
        <v>C10</v>
      </c>
      <c r="B32" s="3">
        <v>42039</v>
      </c>
      <c r="C32" s="3">
        <v>42033</v>
      </c>
      <c r="D32" s="4"/>
      <c r="E32" s="20" t="s">
        <v>145</v>
      </c>
      <c r="F32" s="5" t="s">
        <v>55</v>
      </c>
      <c r="G32" s="105" t="s">
        <v>238</v>
      </c>
      <c r="H32" s="5" t="s">
        <v>230</v>
      </c>
      <c r="I32" s="26" t="s">
        <v>35</v>
      </c>
      <c r="J32" s="19"/>
      <c r="K32" s="5">
        <v>717600</v>
      </c>
      <c r="L32" s="4">
        <f t="shared" si="1"/>
        <v>1096876514</v>
      </c>
      <c r="M32" s="18"/>
    </row>
    <row r="33" spans="1:13" ht="17.25" customHeight="1">
      <c r="A33" s="6" t="str">
        <f t="shared" si="0"/>
        <v>C11</v>
      </c>
      <c r="B33" s="3">
        <v>42039</v>
      </c>
      <c r="C33" s="3">
        <v>42034</v>
      </c>
      <c r="D33" s="4"/>
      <c r="E33" s="20" t="s">
        <v>146</v>
      </c>
      <c r="F33" s="5" t="s">
        <v>45</v>
      </c>
      <c r="G33" s="105" t="s">
        <v>239</v>
      </c>
      <c r="H33" s="5" t="s">
        <v>494</v>
      </c>
      <c r="I33" s="26" t="s">
        <v>93</v>
      </c>
      <c r="J33" s="19"/>
      <c r="K33" s="5">
        <v>9700000</v>
      </c>
      <c r="L33" s="4">
        <f t="shared" si="1"/>
        <v>1087176514</v>
      </c>
      <c r="M33" s="18"/>
    </row>
    <row r="34" spans="1:13" ht="17.25" customHeight="1">
      <c r="A34" s="6" t="str">
        <f t="shared" si="0"/>
        <v>C11</v>
      </c>
      <c r="B34" s="3">
        <v>42039</v>
      </c>
      <c r="C34" s="3">
        <v>42034</v>
      </c>
      <c r="D34" s="4"/>
      <c r="E34" s="20" t="s">
        <v>146</v>
      </c>
      <c r="F34" s="5" t="s">
        <v>46</v>
      </c>
      <c r="G34" s="105" t="s">
        <v>239</v>
      </c>
      <c r="H34" s="5" t="s">
        <v>494</v>
      </c>
      <c r="I34" s="26" t="s">
        <v>35</v>
      </c>
      <c r="J34" s="19"/>
      <c r="K34" s="5">
        <v>970000</v>
      </c>
      <c r="L34" s="4">
        <f t="shared" si="1"/>
        <v>1086206514</v>
      </c>
      <c r="M34" s="18"/>
    </row>
    <row r="35" spans="1:13" ht="17.25" customHeight="1">
      <c r="A35" s="6" t="str">
        <f t="shared" si="0"/>
        <v>C12</v>
      </c>
      <c r="B35" s="3">
        <v>42039</v>
      </c>
      <c r="C35" s="3">
        <v>42039</v>
      </c>
      <c r="D35" s="4"/>
      <c r="E35" s="20" t="s">
        <v>147</v>
      </c>
      <c r="F35" s="5" t="s">
        <v>103</v>
      </c>
      <c r="G35" s="105" t="s">
        <v>240</v>
      </c>
      <c r="H35" s="5" t="s">
        <v>241</v>
      </c>
      <c r="I35" s="26" t="s">
        <v>94</v>
      </c>
      <c r="J35" s="19"/>
      <c r="K35" s="5">
        <v>1020000</v>
      </c>
      <c r="L35" s="4">
        <f t="shared" si="1"/>
        <v>1085186514</v>
      </c>
      <c r="M35" s="18"/>
    </row>
    <row r="36" spans="1:13" ht="17.25" customHeight="1">
      <c r="A36" s="6" t="str">
        <f t="shared" si="0"/>
        <v>T02</v>
      </c>
      <c r="B36" s="3">
        <v>42040</v>
      </c>
      <c r="C36" s="3">
        <v>42040</v>
      </c>
      <c r="D36" s="4" t="s">
        <v>40</v>
      </c>
      <c r="E36" s="20"/>
      <c r="F36" s="5" t="s">
        <v>62</v>
      </c>
      <c r="G36" s="5"/>
      <c r="H36" s="28" t="s">
        <v>187</v>
      </c>
      <c r="I36" s="26" t="s">
        <v>36</v>
      </c>
      <c r="J36" s="19">
        <v>1000000000</v>
      </c>
      <c r="K36" s="5"/>
      <c r="L36" s="4">
        <f t="shared" si="1"/>
        <v>2085186514</v>
      </c>
      <c r="M36" s="18"/>
    </row>
    <row r="37" spans="1:13" ht="17.25" customHeight="1">
      <c r="A37" s="6" t="str">
        <f t="shared" si="0"/>
        <v>C13</v>
      </c>
      <c r="B37" s="3">
        <v>42040</v>
      </c>
      <c r="C37" s="3">
        <v>42040</v>
      </c>
      <c r="D37" s="4"/>
      <c r="E37" s="20" t="s">
        <v>148</v>
      </c>
      <c r="F37" s="5" t="s">
        <v>332</v>
      </c>
      <c r="G37" s="5"/>
      <c r="H37" s="5" t="s">
        <v>333</v>
      </c>
      <c r="I37" s="26" t="s">
        <v>334</v>
      </c>
      <c r="J37" s="19"/>
      <c r="K37" s="5">
        <v>650000000</v>
      </c>
      <c r="L37" s="4">
        <f t="shared" si="1"/>
        <v>1435186514</v>
      </c>
      <c r="M37" s="18"/>
    </row>
    <row r="38" spans="1:13" ht="17.25" customHeight="1">
      <c r="A38" s="6" t="str">
        <f t="shared" si="0"/>
        <v>C14</v>
      </c>
      <c r="B38" s="3">
        <v>42040</v>
      </c>
      <c r="C38" s="3">
        <v>42040</v>
      </c>
      <c r="D38" s="4"/>
      <c r="E38" s="20" t="s">
        <v>149</v>
      </c>
      <c r="F38" s="5" t="s">
        <v>332</v>
      </c>
      <c r="G38" s="5"/>
      <c r="H38" s="5" t="s">
        <v>335</v>
      </c>
      <c r="I38" s="26" t="s">
        <v>334</v>
      </c>
      <c r="J38" s="19"/>
      <c r="K38" s="5">
        <v>450000000</v>
      </c>
      <c r="L38" s="4">
        <f t="shared" si="1"/>
        <v>985186514</v>
      </c>
      <c r="M38" s="18"/>
    </row>
    <row r="39" spans="1:13" ht="17.25" customHeight="1">
      <c r="A39" s="6" t="str">
        <f t="shared" si="0"/>
        <v>C15</v>
      </c>
      <c r="B39" s="3">
        <v>42040</v>
      </c>
      <c r="C39" s="3">
        <v>42034</v>
      </c>
      <c r="D39" s="4"/>
      <c r="E39" s="20" t="s">
        <v>150</v>
      </c>
      <c r="F39" s="5" t="s">
        <v>629</v>
      </c>
      <c r="G39" s="105" t="s">
        <v>242</v>
      </c>
      <c r="H39" s="5" t="s">
        <v>230</v>
      </c>
      <c r="I39" s="26" t="s">
        <v>94</v>
      </c>
      <c r="J39" s="19"/>
      <c r="K39" s="5">
        <v>6823250</v>
      </c>
      <c r="L39" s="4">
        <f t="shared" si="1"/>
        <v>978363264</v>
      </c>
      <c r="M39" s="18"/>
    </row>
    <row r="40" spans="1:13" ht="17.25" customHeight="1">
      <c r="A40" s="6" t="str">
        <f t="shared" si="0"/>
        <v>C15</v>
      </c>
      <c r="B40" s="3">
        <v>42040</v>
      </c>
      <c r="C40" s="3">
        <v>42034</v>
      </c>
      <c r="D40" s="4"/>
      <c r="E40" s="20" t="s">
        <v>150</v>
      </c>
      <c r="F40" s="5" t="s">
        <v>100</v>
      </c>
      <c r="G40" s="105" t="s">
        <v>242</v>
      </c>
      <c r="H40" s="5" t="s">
        <v>230</v>
      </c>
      <c r="I40" s="26" t="s">
        <v>35</v>
      </c>
      <c r="J40" s="19"/>
      <c r="K40" s="5">
        <v>682325</v>
      </c>
      <c r="L40" s="4">
        <f t="shared" si="1"/>
        <v>977680939</v>
      </c>
      <c r="M40" s="18"/>
    </row>
    <row r="41" spans="1:13" ht="16.5" customHeight="1">
      <c r="A41" s="6" t="str">
        <f t="shared" si="0"/>
        <v>T03</v>
      </c>
      <c r="B41" s="3">
        <v>42041</v>
      </c>
      <c r="C41" s="3">
        <v>42041</v>
      </c>
      <c r="D41" s="4" t="s">
        <v>41</v>
      </c>
      <c r="E41" s="20"/>
      <c r="F41" s="5" t="s">
        <v>62</v>
      </c>
      <c r="G41" s="5"/>
      <c r="H41" s="28" t="s">
        <v>187</v>
      </c>
      <c r="I41" s="26" t="s">
        <v>36</v>
      </c>
      <c r="J41" s="19">
        <v>800000000</v>
      </c>
      <c r="K41" s="5"/>
      <c r="L41" s="4">
        <f t="shared" si="1"/>
        <v>1777680939</v>
      </c>
      <c r="M41" s="18"/>
    </row>
    <row r="42" spans="1:13" ht="17.25" customHeight="1">
      <c r="A42" s="6" t="str">
        <f t="shared" si="0"/>
        <v>C16</v>
      </c>
      <c r="B42" s="3">
        <v>42041</v>
      </c>
      <c r="C42" s="3">
        <v>42041</v>
      </c>
      <c r="D42" s="4"/>
      <c r="E42" s="20" t="s">
        <v>151</v>
      </c>
      <c r="F42" s="5" t="s">
        <v>332</v>
      </c>
      <c r="G42" s="5"/>
      <c r="H42" s="5" t="s">
        <v>335</v>
      </c>
      <c r="I42" s="26" t="s">
        <v>334</v>
      </c>
      <c r="J42" s="19"/>
      <c r="K42" s="5">
        <v>500000000</v>
      </c>
      <c r="L42" s="4">
        <f t="shared" si="1"/>
        <v>1277680939</v>
      </c>
      <c r="M42" s="18"/>
    </row>
    <row r="43" spans="1:13" ht="17.25" customHeight="1">
      <c r="A43" s="6" t="str">
        <f t="shared" si="0"/>
        <v>C17</v>
      </c>
      <c r="B43" s="3">
        <v>42041</v>
      </c>
      <c r="C43" s="3">
        <v>42041</v>
      </c>
      <c r="D43" s="4"/>
      <c r="E43" s="20" t="s">
        <v>152</v>
      </c>
      <c r="F43" s="5" t="s">
        <v>51</v>
      </c>
      <c r="G43" s="5"/>
      <c r="H43" s="28" t="s">
        <v>187</v>
      </c>
      <c r="I43" s="26" t="s">
        <v>36</v>
      </c>
      <c r="J43" s="19"/>
      <c r="K43" s="5">
        <v>60000000</v>
      </c>
      <c r="L43" s="4">
        <f t="shared" si="1"/>
        <v>1217680939</v>
      </c>
      <c r="M43" s="18"/>
    </row>
    <row r="44" spans="1:13" ht="18.75" customHeight="1">
      <c r="A44" s="6" t="str">
        <f t="shared" si="0"/>
        <v>C18</v>
      </c>
      <c r="B44" s="3">
        <v>42041</v>
      </c>
      <c r="C44" s="3">
        <v>42041</v>
      </c>
      <c r="D44" s="4"/>
      <c r="E44" s="20" t="s">
        <v>153</v>
      </c>
      <c r="F44" s="28" t="s">
        <v>104</v>
      </c>
      <c r="G44" s="106" t="s">
        <v>243</v>
      </c>
      <c r="H44" s="38" t="s">
        <v>247</v>
      </c>
      <c r="I44" s="26" t="s">
        <v>94</v>
      </c>
      <c r="J44" s="19"/>
      <c r="K44" s="5">
        <v>12600000</v>
      </c>
      <c r="L44" s="4">
        <f t="shared" si="1"/>
        <v>1205080939</v>
      </c>
      <c r="M44" s="18"/>
    </row>
    <row r="45" spans="1:13" ht="17.25" customHeight="1">
      <c r="A45" s="6" t="str">
        <f t="shared" si="0"/>
        <v>C19</v>
      </c>
      <c r="B45" s="3">
        <v>42042</v>
      </c>
      <c r="C45" s="3">
        <v>42042</v>
      </c>
      <c r="D45" s="4"/>
      <c r="E45" s="20" t="s">
        <v>154</v>
      </c>
      <c r="F45" s="5" t="s">
        <v>72</v>
      </c>
      <c r="G45" s="105" t="s">
        <v>244</v>
      </c>
      <c r="H45" s="5" t="s">
        <v>495</v>
      </c>
      <c r="I45" s="26" t="s">
        <v>94</v>
      </c>
      <c r="J45" s="19"/>
      <c r="K45" s="5">
        <v>783918</v>
      </c>
      <c r="L45" s="4">
        <f t="shared" ref="L45:L76" si="2">IF(F45&lt;&gt;"",L44+J45-K45,0)</f>
        <v>1204297021</v>
      </c>
      <c r="M45" s="18"/>
    </row>
    <row r="46" spans="1:13" ht="17.25" customHeight="1">
      <c r="A46" s="6" t="str">
        <f t="shared" si="0"/>
        <v>C19</v>
      </c>
      <c r="B46" s="3">
        <v>42042</v>
      </c>
      <c r="C46" s="3">
        <v>42042</v>
      </c>
      <c r="D46" s="4"/>
      <c r="E46" s="20" t="s">
        <v>154</v>
      </c>
      <c r="F46" s="5" t="s">
        <v>73</v>
      </c>
      <c r="G46" s="105" t="s">
        <v>244</v>
      </c>
      <c r="H46" s="5" t="s">
        <v>495</v>
      </c>
      <c r="I46" s="26" t="s">
        <v>35</v>
      </c>
      <c r="J46" s="19"/>
      <c r="K46" s="5">
        <v>78392</v>
      </c>
      <c r="L46" s="4">
        <f t="shared" si="2"/>
        <v>1204218629</v>
      </c>
      <c r="M46" s="18"/>
    </row>
    <row r="47" spans="1:13" ht="17.25" customHeight="1">
      <c r="A47" s="6" t="str">
        <f t="shared" si="0"/>
        <v>C20</v>
      </c>
      <c r="B47" s="3">
        <v>42044</v>
      </c>
      <c r="C47" s="3">
        <v>42044</v>
      </c>
      <c r="D47" s="4"/>
      <c r="E47" s="20" t="s">
        <v>155</v>
      </c>
      <c r="F47" s="5" t="s">
        <v>51</v>
      </c>
      <c r="G47" s="5"/>
      <c r="H47" s="28" t="s">
        <v>187</v>
      </c>
      <c r="I47" s="26" t="s">
        <v>36</v>
      </c>
      <c r="J47" s="19"/>
      <c r="K47" s="5">
        <v>25000000</v>
      </c>
      <c r="L47" s="4">
        <f t="shared" si="2"/>
        <v>1179218629</v>
      </c>
      <c r="M47" s="18"/>
    </row>
    <row r="48" spans="1:13" ht="17.25" customHeight="1">
      <c r="A48" s="6" t="str">
        <f t="shared" si="0"/>
        <v>C21</v>
      </c>
      <c r="B48" s="3">
        <v>42044</v>
      </c>
      <c r="C48" s="3">
        <v>42044</v>
      </c>
      <c r="D48" s="4"/>
      <c r="E48" s="20" t="s">
        <v>156</v>
      </c>
      <c r="F48" s="5" t="s">
        <v>72</v>
      </c>
      <c r="G48" s="105" t="s">
        <v>245</v>
      </c>
      <c r="H48" s="5" t="s">
        <v>495</v>
      </c>
      <c r="I48" s="26" t="s">
        <v>94</v>
      </c>
      <c r="J48" s="19"/>
      <c r="K48" s="5">
        <v>1449509</v>
      </c>
      <c r="L48" s="4">
        <f t="shared" si="2"/>
        <v>1177769120</v>
      </c>
      <c r="M48" s="18"/>
    </row>
    <row r="49" spans="1:13" ht="17.25" customHeight="1">
      <c r="A49" s="6" t="str">
        <f t="shared" si="0"/>
        <v>C21</v>
      </c>
      <c r="B49" s="3">
        <v>42044</v>
      </c>
      <c r="C49" s="3">
        <v>42044</v>
      </c>
      <c r="D49" s="4"/>
      <c r="E49" s="20" t="s">
        <v>156</v>
      </c>
      <c r="F49" s="5" t="s">
        <v>73</v>
      </c>
      <c r="G49" s="105" t="s">
        <v>245</v>
      </c>
      <c r="H49" s="5" t="s">
        <v>495</v>
      </c>
      <c r="I49" s="26" t="s">
        <v>35</v>
      </c>
      <c r="J49" s="19"/>
      <c r="K49" s="5">
        <v>144951</v>
      </c>
      <c r="L49" s="4">
        <f t="shared" si="2"/>
        <v>1177624169</v>
      </c>
      <c r="M49" s="18"/>
    </row>
    <row r="50" spans="1:13" ht="18" customHeight="1">
      <c r="A50" s="6" t="str">
        <f t="shared" si="0"/>
        <v>C22</v>
      </c>
      <c r="B50" s="3">
        <v>42044</v>
      </c>
      <c r="C50" s="3">
        <v>42044</v>
      </c>
      <c r="D50" s="4"/>
      <c r="E50" s="20" t="s">
        <v>157</v>
      </c>
      <c r="F50" s="28" t="s">
        <v>105</v>
      </c>
      <c r="G50" s="106" t="s">
        <v>246</v>
      </c>
      <c r="H50" s="38" t="s">
        <v>247</v>
      </c>
      <c r="I50" s="26" t="s">
        <v>94</v>
      </c>
      <c r="J50" s="19"/>
      <c r="K50" s="5">
        <v>15850000</v>
      </c>
      <c r="L50" s="4">
        <f t="shared" si="2"/>
        <v>1161774169</v>
      </c>
      <c r="M50" s="18"/>
    </row>
    <row r="51" spans="1:13" ht="18" customHeight="1">
      <c r="A51" s="6" t="str">
        <f t="shared" si="0"/>
        <v>C23</v>
      </c>
      <c r="B51" s="3">
        <v>42046</v>
      </c>
      <c r="C51" s="3">
        <v>42046</v>
      </c>
      <c r="D51" s="4"/>
      <c r="E51" s="20" t="s">
        <v>158</v>
      </c>
      <c r="F51" s="28" t="s">
        <v>106</v>
      </c>
      <c r="G51" s="106" t="s">
        <v>248</v>
      </c>
      <c r="H51" s="38" t="s">
        <v>667</v>
      </c>
      <c r="I51" s="26" t="s">
        <v>94</v>
      </c>
      <c r="J51" s="19"/>
      <c r="K51" s="5">
        <v>3856000</v>
      </c>
      <c r="L51" s="4">
        <f t="shared" si="2"/>
        <v>1157918169</v>
      </c>
      <c r="M51" s="18"/>
    </row>
    <row r="52" spans="1:13" ht="17.25" customHeight="1">
      <c r="A52" s="6" t="str">
        <f t="shared" si="0"/>
        <v>C24</v>
      </c>
      <c r="B52" s="3">
        <v>42046</v>
      </c>
      <c r="C52" s="3">
        <v>42046</v>
      </c>
      <c r="D52" s="4"/>
      <c r="E52" s="20" t="s">
        <v>159</v>
      </c>
      <c r="F52" s="5" t="s">
        <v>72</v>
      </c>
      <c r="G52" s="105" t="s">
        <v>249</v>
      </c>
      <c r="H52" s="5" t="s">
        <v>495</v>
      </c>
      <c r="I52" s="26" t="s">
        <v>94</v>
      </c>
      <c r="J52" s="19"/>
      <c r="K52" s="5">
        <v>621218</v>
      </c>
      <c r="L52" s="4">
        <f t="shared" si="2"/>
        <v>1157296951</v>
      </c>
      <c r="M52" s="18"/>
    </row>
    <row r="53" spans="1:13" ht="17.25" customHeight="1">
      <c r="A53" s="6" t="str">
        <f t="shared" si="0"/>
        <v>C24</v>
      </c>
      <c r="B53" s="3">
        <v>42046</v>
      </c>
      <c r="C53" s="3">
        <v>42046</v>
      </c>
      <c r="D53" s="4"/>
      <c r="E53" s="20" t="s">
        <v>159</v>
      </c>
      <c r="F53" s="5" t="s">
        <v>73</v>
      </c>
      <c r="G53" s="105" t="s">
        <v>249</v>
      </c>
      <c r="H53" s="5" t="s">
        <v>495</v>
      </c>
      <c r="I53" s="26" t="s">
        <v>35</v>
      </c>
      <c r="J53" s="19"/>
      <c r="K53" s="5">
        <v>62122</v>
      </c>
      <c r="L53" s="4">
        <f t="shared" si="2"/>
        <v>1157234829</v>
      </c>
      <c r="M53" s="18"/>
    </row>
    <row r="54" spans="1:13" ht="16.5" customHeight="1">
      <c r="A54" s="6" t="str">
        <f t="shared" si="0"/>
        <v>T04</v>
      </c>
      <c r="B54" s="3">
        <v>42049</v>
      </c>
      <c r="C54" s="3">
        <v>42049</v>
      </c>
      <c r="D54" s="4" t="s">
        <v>42</v>
      </c>
      <c r="E54" s="20"/>
      <c r="F54" s="5" t="s">
        <v>62</v>
      </c>
      <c r="G54" s="5"/>
      <c r="H54" s="28" t="s">
        <v>187</v>
      </c>
      <c r="I54" s="26" t="s">
        <v>36</v>
      </c>
      <c r="J54" s="19">
        <v>1820000000</v>
      </c>
      <c r="K54" s="5"/>
      <c r="L54" s="4">
        <f t="shared" si="2"/>
        <v>2977234829</v>
      </c>
      <c r="M54" s="18"/>
    </row>
    <row r="55" spans="1:13" ht="17.25" customHeight="1">
      <c r="A55" s="6" t="str">
        <f t="shared" si="0"/>
        <v>C25</v>
      </c>
      <c r="B55" s="3">
        <v>42049</v>
      </c>
      <c r="C55" s="3">
        <v>42049</v>
      </c>
      <c r="D55" s="4"/>
      <c r="E55" s="20" t="s">
        <v>160</v>
      </c>
      <c r="F55" s="5" t="s">
        <v>332</v>
      </c>
      <c r="G55" s="5"/>
      <c r="H55" s="5" t="s">
        <v>333</v>
      </c>
      <c r="I55" s="26" t="s">
        <v>334</v>
      </c>
      <c r="J55" s="19"/>
      <c r="K55" s="5">
        <v>650000000</v>
      </c>
      <c r="L55" s="4">
        <f t="shared" si="2"/>
        <v>2327234829</v>
      </c>
      <c r="M55" s="18"/>
    </row>
    <row r="56" spans="1:13" ht="17.25" customHeight="1">
      <c r="A56" s="6" t="str">
        <f t="shared" si="0"/>
        <v>C26</v>
      </c>
      <c r="B56" s="3">
        <v>42049</v>
      </c>
      <c r="C56" s="3">
        <v>42049</v>
      </c>
      <c r="D56" s="4"/>
      <c r="E56" s="20" t="s">
        <v>161</v>
      </c>
      <c r="F56" s="5" t="s">
        <v>332</v>
      </c>
      <c r="G56" s="5"/>
      <c r="H56" s="5" t="s">
        <v>335</v>
      </c>
      <c r="I56" s="26" t="s">
        <v>334</v>
      </c>
      <c r="J56" s="19"/>
      <c r="K56" s="5">
        <v>550000000</v>
      </c>
      <c r="L56" s="4">
        <f t="shared" si="2"/>
        <v>1777234829</v>
      </c>
      <c r="M56" s="18"/>
    </row>
    <row r="57" spans="1:13" ht="17.25" customHeight="1">
      <c r="A57" s="6" t="str">
        <f t="shared" si="0"/>
        <v>C27</v>
      </c>
      <c r="B57" s="3">
        <v>42059</v>
      </c>
      <c r="C57" s="3">
        <v>42059</v>
      </c>
      <c r="D57" s="4"/>
      <c r="E57" s="20" t="s">
        <v>162</v>
      </c>
      <c r="F57" s="5" t="s">
        <v>53</v>
      </c>
      <c r="G57" s="105" t="s">
        <v>250</v>
      </c>
      <c r="H57" s="5" t="s">
        <v>495</v>
      </c>
      <c r="I57" s="26" t="s">
        <v>54</v>
      </c>
      <c r="J57" s="19"/>
      <c r="K57" s="5">
        <v>1434255</v>
      </c>
      <c r="L57" s="4">
        <f t="shared" si="2"/>
        <v>1775800574</v>
      </c>
      <c r="M57" s="18"/>
    </row>
    <row r="58" spans="1:13" ht="17.25" customHeight="1">
      <c r="A58" s="6" t="str">
        <f t="shared" si="0"/>
        <v>C27</v>
      </c>
      <c r="B58" s="3">
        <v>42059</v>
      </c>
      <c r="C58" s="3">
        <v>42059</v>
      </c>
      <c r="D58" s="4"/>
      <c r="E58" s="20" t="s">
        <v>162</v>
      </c>
      <c r="F58" s="5" t="s">
        <v>72</v>
      </c>
      <c r="G58" s="105" t="s">
        <v>250</v>
      </c>
      <c r="H58" s="5" t="s">
        <v>495</v>
      </c>
      <c r="I58" s="26" t="s">
        <v>94</v>
      </c>
      <c r="J58" s="19"/>
      <c r="K58" s="5">
        <v>2514455</v>
      </c>
      <c r="L58" s="4">
        <f t="shared" si="2"/>
        <v>1773286119</v>
      </c>
      <c r="M58" s="18"/>
    </row>
    <row r="59" spans="1:13" ht="17.25" customHeight="1">
      <c r="A59" s="6" t="str">
        <f t="shared" si="0"/>
        <v>C27</v>
      </c>
      <c r="B59" s="3">
        <v>42059</v>
      </c>
      <c r="C59" s="3">
        <v>42059</v>
      </c>
      <c r="D59" s="4"/>
      <c r="E59" s="20" t="s">
        <v>162</v>
      </c>
      <c r="F59" s="5" t="s">
        <v>73</v>
      </c>
      <c r="G59" s="105" t="s">
        <v>250</v>
      </c>
      <c r="H59" s="5" t="s">
        <v>495</v>
      </c>
      <c r="I59" s="26" t="s">
        <v>35</v>
      </c>
      <c r="J59" s="19"/>
      <c r="K59" s="5">
        <v>394870</v>
      </c>
      <c r="L59" s="4">
        <f t="shared" si="2"/>
        <v>1772891249</v>
      </c>
      <c r="M59" s="18"/>
    </row>
    <row r="60" spans="1:13" ht="18" customHeight="1">
      <c r="A60" s="6" t="str">
        <f t="shared" si="0"/>
        <v>T05</v>
      </c>
      <c r="B60" s="3">
        <v>42060</v>
      </c>
      <c r="C60" s="3">
        <v>42060</v>
      </c>
      <c r="D60" s="4" t="s">
        <v>43</v>
      </c>
      <c r="E60" s="20"/>
      <c r="F60" s="5" t="s">
        <v>267</v>
      </c>
      <c r="G60" s="5"/>
      <c r="H60" s="28" t="s">
        <v>187</v>
      </c>
      <c r="I60" s="26" t="s">
        <v>36</v>
      </c>
      <c r="J60" s="19">
        <v>1170000000</v>
      </c>
      <c r="K60" s="5"/>
      <c r="L60" s="4">
        <f t="shared" si="2"/>
        <v>2942891249</v>
      </c>
      <c r="M60" s="18"/>
    </row>
    <row r="61" spans="1:13" ht="17.25" customHeight="1">
      <c r="A61" s="6" t="str">
        <f t="shared" si="0"/>
        <v>C28</v>
      </c>
      <c r="B61" s="3">
        <v>42060</v>
      </c>
      <c r="C61" s="3">
        <v>42060</v>
      </c>
      <c r="D61" s="4"/>
      <c r="E61" s="20" t="s">
        <v>163</v>
      </c>
      <c r="F61" s="5" t="s">
        <v>332</v>
      </c>
      <c r="G61" s="5"/>
      <c r="H61" s="5" t="s">
        <v>333</v>
      </c>
      <c r="I61" s="26" t="s">
        <v>334</v>
      </c>
      <c r="J61" s="19"/>
      <c r="K61" s="5">
        <v>620000000</v>
      </c>
      <c r="L61" s="4">
        <f t="shared" si="2"/>
        <v>2322891249</v>
      </c>
      <c r="M61" s="18"/>
    </row>
    <row r="62" spans="1:13" ht="17.25" customHeight="1">
      <c r="A62" s="6" t="str">
        <f t="shared" si="0"/>
        <v>C29</v>
      </c>
      <c r="B62" s="3">
        <v>42060</v>
      </c>
      <c r="C62" s="3">
        <v>42060</v>
      </c>
      <c r="D62" s="4"/>
      <c r="E62" s="20" t="s">
        <v>164</v>
      </c>
      <c r="F62" s="5" t="s">
        <v>332</v>
      </c>
      <c r="G62" s="5"/>
      <c r="H62" s="5" t="s">
        <v>335</v>
      </c>
      <c r="I62" s="26" t="s">
        <v>334</v>
      </c>
      <c r="J62" s="19"/>
      <c r="K62" s="5">
        <v>520000000</v>
      </c>
      <c r="L62" s="4">
        <f t="shared" si="2"/>
        <v>1802891249</v>
      </c>
      <c r="M62" s="18"/>
    </row>
    <row r="63" spans="1:13" ht="17.25" customHeight="1">
      <c r="A63" s="6" t="str">
        <f t="shared" si="0"/>
        <v>T06</v>
      </c>
      <c r="B63" s="3">
        <v>42061</v>
      </c>
      <c r="C63" s="3">
        <v>42061</v>
      </c>
      <c r="D63" s="4" t="s">
        <v>44</v>
      </c>
      <c r="E63" s="20"/>
      <c r="F63" s="5" t="s">
        <v>111</v>
      </c>
      <c r="G63" s="5"/>
      <c r="H63" s="5" t="s">
        <v>260</v>
      </c>
      <c r="I63" s="26" t="s">
        <v>58</v>
      </c>
      <c r="J63" s="19">
        <v>60000000</v>
      </c>
      <c r="K63" s="5"/>
      <c r="L63" s="4">
        <f t="shared" si="2"/>
        <v>1862891249</v>
      </c>
      <c r="M63" s="18"/>
    </row>
    <row r="64" spans="1:13" ht="17.25" customHeight="1">
      <c r="A64" s="6" t="str">
        <f t="shared" si="0"/>
        <v>C30</v>
      </c>
      <c r="B64" s="3">
        <v>42061</v>
      </c>
      <c r="C64" s="3">
        <v>42061</v>
      </c>
      <c r="D64" s="4"/>
      <c r="E64" s="20" t="s">
        <v>165</v>
      </c>
      <c r="F64" s="5" t="s">
        <v>107</v>
      </c>
      <c r="G64" s="105" t="s">
        <v>251</v>
      </c>
      <c r="H64" s="5" t="s">
        <v>215</v>
      </c>
      <c r="I64" s="26" t="s">
        <v>94</v>
      </c>
      <c r="J64" s="19"/>
      <c r="K64" s="5">
        <v>14400000</v>
      </c>
      <c r="L64" s="4">
        <f t="shared" si="2"/>
        <v>1848491249</v>
      </c>
      <c r="M64" s="18"/>
    </row>
    <row r="65" spans="1:13" ht="17.25" customHeight="1">
      <c r="A65" s="6" t="str">
        <f t="shared" si="0"/>
        <v>C30</v>
      </c>
      <c r="B65" s="3">
        <v>42061</v>
      </c>
      <c r="C65" s="3">
        <v>42061</v>
      </c>
      <c r="D65" s="4"/>
      <c r="E65" s="20" t="s">
        <v>165</v>
      </c>
      <c r="F65" s="5" t="s">
        <v>108</v>
      </c>
      <c r="G65" s="105" t="s">
        <v>251</v>
      </c>
      <c r="H65" s="5" t="s">
        <v>215</v>
      </c>
      <c r="I65" s="26" t="s">
        <v>35</v>
      </c>
      <c r="J65" s="19"/>
      <c r="K65" s="5">
        <v>1440000</v>
      </c>
      <c r="L65" s="4">
        <f t="shared" si="2"/>
        <v>1847051249</v>
      </c>
      <c r="M65" s="18"/>
    </row>
    <row r="66" spans="1:13" ht="17.25" customHeight="1">
      <c r="A66" s="6" t="str">
        <f t="shared" si="0"/>
        <v>C31</v>
      </c>
      <c r="B66" s="3">
        <v>42061</v>
      </c>
      <c r="C66" s="3">
        <v>42061</v>
      </c>
      <c r="D66" s="4"/>
      <c r="E66" s="20" t="s">
        <v>166</v>
      </c>
      <c r="F66" s="5" t="s">
        <v>45</v>
      </c>
      <c r="G66" s="105" t="s">
        <v>252</v>
      </c>
      <c r="H66" s="38" t="s">
        <v>200</v>
      </c>
      <c r="I66" s="26" t="s">
        <v>94</v>
      </c>
      <c r="J66" s="19"/>
      <c r="K66" s="5">
        <v>5500000</v>
      </c>
      <c r="L66" s="4">
        <f t="shared" si="2"/>
        <v>1841551249</v>
      </c>
      <c r="M66" s="18"/>
    </row>
    <row r="67" spans="1:13" ht="17.25" customHeight="1">
      <c r="A67" s="6" t="str">
        <f t="shared" si="0"/>
        <v>C31</v>
      </c>
      <c r="B67" s="3">
        <v>42061</v>
      </c>
      <c r="C67" s="3">
        <v>42061</v>
      </c>
      <c r="D67" s="4"/>
      <c r="E67" s="20" t="s">
        <v>166</v>
      </c>
      <c r="F67" s="5" t="s">
        <v>46</v>
      </c>
      <c r="G67" s="105" t="s">
        <v>252</v>
      </c>
      <c r="H67" s="38" t="s">
        <v>200</v>
      </c>
      <c r="I67" s="26" t="s">
        <v>35</v>
      </c>
      <c r="J67" s="19"/>
      <c r="K67" s="5">
        <v>550000</v>
      </c>
      <c r="L67" s="4">
        <f t="shared" si="2"/>
        <v>1841001249</v>
      </c>
      <c r="M67" s="18"/>
    </row>
    <row r="68" spans="1:13" ht="17.25" customHeight="1">
      <c r="A68" s="6" t="str">
        <f t="shared" si="0"/>
        <v>C32</v>
      </c>
      <c r="B68" s="3">
        <v>42063</v>
      </c>
      <c r="C68" s="3">
        <v>42019</v>
      </c>
      <c r="D68" s="4"/>
      <c r="E68" s="20" t="s">
        <v>167</v>
      </c>
      <c r="F68" s="5" t="s">
        <v>50</v>
      </c>
      <c r="G68" s="105" t="s">
        <v>253</v>
      </c>
      <c r="H68" s="5" t="s">
        <v>192</v>
      </c>
      <c r="I68" s="26" t="s">
        <v>94</v>
      </c>
      <c r="J68" s="19"/>
      <c r="K68" s="5">
        <v>299155</v>
      </c>
      <c r="L68" s="4">
        <f t="shared" si="2"/>
        <v>1840702094</v>
      </c>
      <c r="M68" s="18"/>
    </row>
    <row r="69" spans="1:13" ht="17.25" customHeight="1">
      <c r="A69" s="6" t="str">
        <f t="shared" si="0"/>
        <v>C32</v>
      </c>
      <c r="B69" s="3">
        <v>42063</v>
      </c>
      <c r="C69" s="3">
        <v>42019</v>
      </c>
      <c r="D69" s="4"/>
      <c r="E69" s="20" t="s">
        <v>167</v>
      </c>
      <c r="F69" s="5" t="s">
        <v>53</v>
      </c>
      <c r="G69" s="105" t="s">
        <v>253</v>
      </c>
      <c r="H69" s="5" t="s">
        <v>192</v>
      </c>
      <c r="I69" s="26" t="s">
        <v>54</v>
      </c>
      <c r="J69" s="19"/>
      <c r="K69" s="5">
        <v>2749091</v>
      </c>
      <c r="L69" s="4">
        <f t="shared" si="2"/>
        <v>1837953003</v>
      </c>
      <c r="M69" s="18"/>
    </row>
    <row r="70" spans="1:13" ht="17.25" customHeight="1">
      <c r="A70" s="6" t="str">
        <f t="shared" si="0"/>
        <v>C32</v>
      </c>
      <c r="B70" s="3">
        <v>42063</v>
      </c>
      <c r="C70" s="3">
        <v>42019</v>
      </c>
      <c r="D70" s="4"/>
      <c r="E70" s="20" t="s">
        <v>167</v>
      </c>
      <c r="F70" s="5" t="s">
        <v>87</v>
      </c>
      <c r="G70" s="105" t="s">
        <v>253</v>
      </c>
      <c r="H70" s="5" t="s">
        <v>192</v>
      </c>
      <c r="I70" s="26" t="s">
        <v>35</v>
      </c>
      <c r="J70" s="19"/>
      <c r="K70" s="5">
        <v>304824</v>
      </c>
      <c r="L70" s="4">
        <f t="shared" si="2"/>
        <v>1837648179</v>
      </c>
      <c r="M70" s="18"/>
    </row>
    <row r="71" spans="1:13" ht="18" customHeight="1">
      <c r="A71" s="6" t="str">
        <f t="shared" si="0"/>
        <v>C33</v>
      </c>
      <c r="B71" s="3">
        <v>42063</v>
      </c>
      <c r="C71" s="3">
        <v>42063</v>
      </c>
      <c r="D71" s="4"/>
      <c r="E71" s="20" t="s">
        <v>168</v>
      </c>
      <c r="F71" s="5" t="s">
        <v>53</v>
      </c>
      <c r="G71" s="105" t="s">
        <v>254</v>
      </c>
      <c r="H71" s="5" t="s">
        <v>495</v>
      </c>
      <c r="I71" s="26" t="s">
        <v>54</v>
      </c>
      <c r="J71" s="19"/>
      <c r="K71" s="5">
        <v>754336</v>
      </c>
      <c r="L71" s="4">
        <f t="shared" si="2"/>
        <v>1836893843</v>
      </c>
      <c r="M71" s="18"/>
    </row>
    <row r="72" spans="1:13" ht="17.25" customHeight="1">
      <c r="A72" s="6" t="str">
        <f t="shared" si="0"/>
        <v>C33</v>
      </c>
      <c r="B72" s="3">
        <v>42063</v>
      </c>
      <c r="C72" s="3">
        <v>42063</v>
      </c>
      <c r="D72" s="4"/>
      <c r="E72" s="20" t="s">
        <v>168</v>
      </c>
      <c r="F72" s="5" t="s">
        <v>87</v>
      </c>
      <c r="G72" s="105" t="s">
        <v>254</v>
      </c>
      <c r="H72" s="5" t="s">
        <v>495</v>
      </c>
      <c r="I72" s="26" t="s">
        <v>35</v>
      </c>
      <c r="J72" s="19"/>
      <c r="K72" s="5">
        <v>75434</v>
      </c>
      <c r="L72" s="4">
        <f t="shared" si="2"/>
        <v>1836818409</v>
      </c>
      <c r="M72" s="18"/>
    </row>
    <row r="73" spans="1:13" ht="17.25" customHeight="1">
      <c r="A73" s="6" t="str">
        <f t="shared" si="0"/>
        <v>C34</v>
      </c>
      <c r="B73" s="3">
        <v>42063</v>
      </c>
      <c r="C73" s="3">
        <v>42061</v>
      </c>
      <c r="D73" s="4"/>
      <c r="E73" s="20" t="s">
        <v>169</v>
      </c>
      <c r="F73" s="5" t="s">
        <v>53</v>
      </c>
      <c r="G73" s="105" t="s">
        <v>255</v>
      </c>
      <c r="H73" s="5" t="s">
        <v>495</v>
      </c>
      <c r="I73" s="26" t="s">
        <v>54</v>
      </c>
      <c r="J73" s="19"/>
      <c r="K73" s="5">
        <v>661964</v>
      </c>
      <c r="L73" s="4">
        <f t="shared" si="2"/>
        <v>1836156445</v>
      </c>
      <c r="M73" s="18"/>
    </row>
    <row r="74" spans="1:13" ht="17.25" customHeight="1">
      <c r="A74" s="6" t="str">
        <f t="shared" si="0"/>
        <v>C34</v>
      </c>
      <c r="B74" s="3">
        <v>42063</v>
      </c>
      <c r="C74" s="3">
        <v>42061</v>
      </c>
      <c r="D74" s="4"/>
      <c r="E74" s="20" t="s">
        <v>169</v>
      </c>
      <c r="F74" s="5" t="s">
        <v>72</v>
      </c>
      <c r="G74" s="105" t="s">
        <v>255</v>
      </c>
      <c r="H74" s="5" t="s">
        <v>495</v>
      </c>
      <c r="I74" s="26" t="s">
        <v>94</v>
      </c>
      <c r="J74" s="19"/>
      <c r="K74" s="5">
        <v>813500</v>
      </c>
      <c r="L74" s="4">
        <f t="shared" si="2"/>
        <v>1835342945</v>
      </c>
      <c r="M74" s="18"/>
    </row>
    <row r="75" spans="1:13" ht="17.25" customHeight="1">
      <c r="A75" s="6" t="str">
        <f t="shared" si="0"/>
        <v>C34</v>
      </c>
      <c r="B75" s="3">
        <v>42063</v>
      </c>
      <c r="C75" s="3">
        <v>42061</v>
      </c>
      <c r="D75" s="4"/>
      <c r="E75" s="20" t="s">
        <v>169</v>
      </c>
      <c r="F75" s="5" t="s">
        <v>87</v>
      </c>
      <c r="G75" s="105" t="s">
        <v>255</v>
      </c>
      <c r="H75" s="5" t="s">
        <v>495</v>
      </c>
      <c r="I75" s="26" t="s">
        <v>35</v>
      </c>
      <c r="J75" s="19"/>
      <c r="K75" s="5">
        <v>147546</v>
      </c>
      <c r="L75" s="4">
        <f t="shared" si="2"/>
        <v>1835195399</v>
      </c>
      <c r="M75" s="18"/>
    </row>
    <row r="76" spans="1:13" ht="18" customHeight="1">
      <c r="A76" s="6" t="str">
        <f t="shared" si="0"/>
        <v>C35</v>
      </c>
      <c r="B76" s="3">
        <v>42063</v>
      </c>
      <c r="C76" s="3">
        <v>42063</v>
      </c>
      <c r="D76" s="4"/>
      <c r="E76" s="20" t="s">
        <v>170</v>
      </c>
      <c r="F76" s="28" t="s">
        <v>45</v>
      </c>
      <c r="G76" s="106" t="s">
        <v>256</v>
      </c>
      <c r="H76" s="38" t="s">
        <v>200</v>
      </c>
      <c r="I76" s="26" t="s">
        <v>94</v>
      </c>
      <c r="J76" s="19"/>
      <c r="K76" s="5">
        <v>3000000</v>
      </c>
      <c r="L76" s="4">
        <f t="shared" si="2"/>
        <v>1832195399</v>
      </c>
      <c r="M76" s="18"/>
    </row>
    <row r="77" spans="1:13" ht="18" customHeight="1">
      <c r="A77" s="6" t="str">
        <f t="shared" ref="A77:A79" si="3">D77&amp;E77</f>
        <v>C35</v>
      </c>
      <c r="B77" s="3">
        <v>42063</v>
      </c>
      <c r="C77" s="3">
        <v>42063</v>
      </c>
      <c r="D77" s="4"/>
      <c r="E77" s="20" t="s">
        <v>170</v>
      </c>
      <c r="F77" s="28" t="s">
        <v>46</v>
      </c>
      <c r="G77" s="106" t="s">
        <v>256</v>
      </c>
      <c r="H77" s="38" t="s">
        <v>200</v>
      </c>
      <c r="I77" s="26" t="s">
        <v>35</v>
      </c>
      <c r="J77" s="19"/>
      <c r="K77" s="5">
        <v>300000</v>
      </c>
      <c r="L77" s="4">
        <f>IF(F77&lt;&gt;"",L76+J77-K77,0)</f>
        <v>1831895399</v>
      </c>
      <c r="M77" s="18"/>
    </row>
    <row r="78" spans="1:13" ht="18" customHeight="1">
      <c r="A78" s="6" t="str">
        <f t="shared" si="3"/>
        <v>C36</v>
      </c>
      <c r="B78" s="3">
        <v>42063</v>
      </c>
      <c r="C78" s="3">
        <v>42063</v>
      </c>
      <c r="D78" s="4"/>
      <c r="E78" s="20" t="s">
        <v>171</v>
      </c>
      <c r="F78" s="28" t="s">
        <v>717</v>
      </c>
      <c r="G78" s="106" t="s">
        <v>718</v>
      </c>
      <c r="H78" s="38" t="s">
        <v>666</v>
      </c>
      <c r="I78" s="26" t="s">
        <v>94</v>
      </c>
      <c r="J78" s="19"/>
      <c r="K78" s="5">
        <v>500000</v>
      </c>
      <c r="L78" s="4">
        <f>IF(F78&lt;&gt;"",L77+J78-K78,0)</f>
        <v>1831395399</v>
      </c>
      <c r="M78" s="18"/>
    </row>
    <row r="79" spans="1:13" ht="17.25" customHeight="1">
      <c r="A79" s="6" t="str">
        <f t="shared" si="3"/>
        <v>C37</v>
      </c>
      <c r="B79" s="3">
        <v>42063</v>
      </c>
      <c r="C79" s="3">
        <v>42063</v>
      </c>
      <c r="D79" s="4"/>
      <c r="E79" s="20" t="s">
        <v>172</v>
      </c>
      <c r="F79" s="18" t="s">
        <v>1397</v>
      </c>
      <c r="G79" s="18"/>
      <c r="H79" s="18" t="s">
        <v>261</v>
      </c>
      <c r="I79" s="26" t="s">
        <v>37</v>
      </c>
      <c r="J79" s="19"/>
      <c r="K79" s="5">
        <v>148995788</v>
      </c>
      <c r="L79" s="4">
        <f>IF(F79&lt;&gt;"",L77+J79-K79,0)</f>
        <v>1682899611</v>
      </c>
      <c r="M79" s="18"/>
    </row>
    <row r="80" spans="1:13" ht="17.25" customHeight="1">
      <c r="A80" s="6" t="str">
        <f t="shared" ref="A80:A86" si="4">D80&amp;E81</f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1:13" ht="18" customHeight="1">
      <c r="A81" s="6" t="str">
        <f t="shared" si="4"/>
        <v/>
      </c>
      <c r="B81" s="18"/>
      <c r="C81" s="18"/>
      <c r="D81" s="18"/>
      <c r="E81" s="18"/>
      <c r="F81" s="32" t="s">
        <v>29</v>
      </c>
      <c r="G81" s="18"/>
      <c r="H81" s="18"/>
      <c r="I81" s="4" t="s">
        <v>30</v>
      </c>
      <c r="J81" s="32">
        <f>SUM(J13:J80)</f>
        <v>5350000000</v>
      </c>
      <c r="K81" s="32">
        <f>SUM(K13:K80)</f>
        <v>4924910926</v>
      </c>
      <c r="L81" s="33" t="s">
        <v>30</v>
      </c>
      <c r="M81" s="33" t="s">
        <v>30</v>
      </c>
    </row>
    <row r="82" spans="1:13" ht="18" customHeight="1">
      <c r="A82" s="6" t="str">
        <f t="shared" si="4"/>
        <v/>
      </c>
      <c r="B82" s="23"/>
      <c r="C82" s="23"/>
      <c r="D82" s="23"/>
      <c r="E82" s="23"/>
      <c r="F82" s="35" t="s">
        <v>31</v>
      </c>
      <c r="G82" s="23"/>
      <c r="H82" s="23"/>
      <c r="I82" s="24" t="s">
        <v>30</v>
      </c>
      <c r="J82" s="36" t="s">
        <v>30</v>
      </c>
      <c r="K82" s="36" t="s">
        <v>30</v>
      </c>
      <c r="L82" s="35">
        <f>L12+J81-K81</f>
        <v>1682399611</v>
      </c>
      <c r="M82" s="36" t="s">
        <v>30</v>
      </c>
    </row>
    <row r="83" spans="1:13">
      <c r="A83" s="6" t="str">
        <f t="shared" si="4"/>
        <v/>
      </c>
      <c r="J83" s="6" t="s">
        <v>48</v>
      </c>
    </row>
    <row r="84" spans="1:13">
      <c r="A84" s="6" t="str">
        <f t="shared" si="4"/>
        <v/>
      </c>
      <c r="B84" s="25" t="s">
        <v>47</v>
      </c>
    </row>
    <row r="85" spans="1:13">
      <c r="A85" s="6" t="str">
        <f t="shared" si="4"/>
        <v/>
      </c>
      <c r="B85" s="25" t="s">
        <v>114</v>
      </c>
    </row>
    <row r="86" spans="1:13">
      <c r="A86" s="6" t="str">
        <f t="shared" si="4"/>
        <v/>
      </c>
      <c r="L86" s="8" t="s">
        <v>347</v>
      </c>
    </row>
    <row r="87" spans="1:13" s="7" customFormat="1" ht="14.25">
      <c r="C87" s="7" t="s">
        <v>33</v>
      </c>
      <c r="F87" s="7" t="s">
        <v>13</v>
      </c>
      <c r="L87" s="7" t="s">
        <v>14</v>
      </c>
    </row>
    <row r="88" spans="1:13" s="2" customFormat="1">
      <c r="C88" s="2" t="s">
        <v>15</v>
      </c>
      <c r="F88" s="2" t="s">
        <v>15</v>
      </c>
      <c r="L88" s="2" t="s">
        <v>16</v>
      </c>
    </row>
    <row r="89" spans="1:13" s="2" customFormat="1"/>
    <row r="90" spans="1:13" s="2" customFormat="1"/>
    <row r="91" spans="1:13" s="2" customFormat="1"/>
    <row r="92" spans="1:13" s="2" customFormat="1"/>
    <row r="93" spans="1:13" s="2" customFormat="1"/>
    <row r="94" spans="1:13" s="414" customFormat="1">
      <c r="C94" s="415" t="s">
        <v>1388</v>
      </c>
      <c r="L94" s="415" t="s">
        <v>1389</v>
      </c>
    </row>
    <row r="95" spans="1:13" s="2" customFormat="1"/>
  </sheetData>
  <autoFilter ref="A11:M94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79 H35 H70:H75 H42 H56:H59 H51:H53 H44:H49 H62">
    <cfRule type="expression" dxfId="26" priority="1" stopIfTrue="1">
      <formula>$C35&lt;&gt;""</formula>
    </cfRule>
  </conditionalFormatting>
  <printOptions horizontalCentered="1"/>
  <pageMargins left="0.9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31"/>
  </sheetPr>
  <dimension ref="A1:M150"/>
  <sheetViews>
    <sheetView topLeftCell="B8" zoomScale="90" workbookViewId="0">
      <pane ySplit="5" topLeftCell="A85" activePane="bottomLeft" state="frozen"/>
      <selection activeCell="B8" sqref="B8"/>
      <selection pane="bottomLeft" activeCell="B96" sqref="A96:XFD96"/>
    </sheetView>
  </sheetViews>
  <sheetFormatPr defaultRowHeight="15"/>
  <cols>
    <col min="1" max="1" width="5.5703125" style="386" hidden="1" customWidth="1"/>
    <col min="2" max="3" width="8.85546875" style="386" customWidth="1"/>
    <col min="4" max="5" width="7.140625" style="386" customWidth="1"/>
    <col min="6" max="6" width="35" style="386" customWidth="1"/>
    <col min="7" max="7" width="13.42578125" style="386" hidden="1" customWidth="1"/>
    <col min="8" max="8" width="33.42578125" style="386" hidden="1" customWidth="1"/>
    <col min="9" max="9" width="6.140625" style="386" customWidth="1"/>
    <col min="10" max="10" width="15.140625" style="386" customWidth="1"/>
    <col min="11" max="11" width="16.28515625" style="386" customWidth="1"/>
    <col min="12" max="12" width="15.85546875" style="386" customWidth="1"/>
    <col min="13" max="13" width="7.85546875" style="386" customWidth="1"/>
    <col min="14" max="14" width="9.140625" style="386"/>
    <col min="15" max="15" width="10.28515625" style="386" bestFit="1" customWidth="1"/>
    <col min="16" max="16384" width="9.140625" style="386"/>
  </cols>
  <sheetData>
    <row r="1" spans="1:13" s="379" customFormat="1" ht="16.5" customHeight="1">
      <c r="B1" s="380" t="s">
        <v>0</v>
      </c>
      <c r="C1" s="381"/>
      <c r="D1" s="381"/>
      <c r="E1" s="381"/>
      <c r="F1" s="381"/>
      <c r="G1" s="381"/>
      <c r="H1" s="381"/>
      <c r="J1" s="467" t="s">
        <v>132</v>
      </c>
      <c r="K1" s="467"/>
      <c r="L1" s="467"/>
      <c r="M1" s="467"/>
    </row>
    <row r="2" spans="1:13" s="379" customFormat="1" ht="16.5" customHeight="1">
      <c r="B2" s="380" t="str">
        <f>'01'!B2</f>
        <v>Địa chỉ: Lô A14, Đường 4A - KCN Hải Sơn, Đức Hòa, Long An</v>
      </c>
      <c r="C2" s="409"/>
      <c r="D2" s="409"/>
      <c r="E2" s="409"/>
      <c r="F2" s="409"/>
      <c r="G2" s="409"/>
      <c r="H2" s="409"/>
      <c r="J2" s="468" t="s">
        <v>133</v>
      </c>
      <c r="K2" s="468"/>
      <c r="L2" s="468"/>
      <c r="M2" s="468"/>
    </row>
    <row r="3" spans="1:13" s="379" customFormat="1" ht="16.5" customHeight="1">
      <c r="B3" s="383"/>
      <c r="C3" s="409"/>
      <c r="D3" s="384"/>
      <c r="E3" s="384"/>
      <c r="F3" s="409"/>
      <c r="G3" s="409"/>
      <c r="H3" s="409"/>
      <c r="J3" s="468"/>
      <c r="K3" s="468"/>
      <c r="L3" s="468"/>
      <c r="M3" s="468"/>
    </row>
    <row r="4" spans="1:13" s="379" customFormat="1" ht="6.75" customHeight="1">
      <c r="B4" s="409"/>
      <c r="C4" s="409"/>
      <c r="D4" s="409"/>
      <c r="E4" s="409"/>
      <c r="F4" s="409"/>
      <c r="G4" s="409"/>
      <c r="H4" s="409"/>
      <c r="J4" s="410"/>
      <c r="K4" s="410"/>
      <c r="L4" s="410"/>
      <c r="M4" s="410"/>
    </row>
    <row r="5" spans="1:13" ht="24.75" customHeight="1">
      <c r="B5" s="472" t="s">
        <v>17</v>
      </c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</row>
    <row r="6" spans="1:13">
      <c r="B6" s="473" t="s">
        <v>18</v>
      </c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</row>
    <row r="7" spans="1:13">
      <c r="B7" s="473" t="s">
        <v>1</v>
      </c>
      <c r="C7" s="473"/>
      <c r="D7" s="473"/>
      <c r="E7" s="473"/>
      <c r="F7" s="473"/>
      <c r="G7" s="473"/>
      <c r="H7" s="473"/>
      <c r="I7" s="473"/>
      <c r="J7" s="473"/>
      <c r="K7" s="473"/>
      <c r="L7" s="473"/>
      <c r="M7" s="473"/>
    </row>
    <row r="8" spans="1:13">
      <c r="B8" s="387"/>
      <c r="L8" s="387" t="s">
        <v>19</v>
      </c>
    </row>
    <row r="9" spans="1:13" ht="30" customHeight="1">
      <c r="B9" s="469" t="s">
        <v>20</v>
      </c>
      <c r="C9" s="469" t="s">
        <v>21</v>
      </c>
      <c r="D9" s="469" t="s">
        <v>2</v>
      </c>
      <c r="E9" s="469"/>
      <c r="F9" s="469" t="s">
        <v>3</v>
      </c>
      <c r="G9" s="470" t="s">
        <v>134</v>
      </c>
      <c r="H9" s="470" t="s">
        <v>135</v>
      </c>
      <c r="I9" s="469" t="s">
        <v>22</v>
      </c>
      <c r="J9" s="469" t="s">
        <v>23</v>
      </c>
      <c r="K9" s="469"/>
      <c r="L9" s="469" t="s">
        <v>24</v>
      </c>
      <c r="M9" s="469" t="s">
        <v>4</v>
      </c>
    </row>
    <row r="10" spans="1:13" ht="20.25" customHeight="1">
      <c r="B10" s="469"/>
      <c r="C10" s="469"/>
      <c r="D10" s="411" t="s">
        <v>5</v>
      </c>
      <c r="E10" s="411" t="s">
        <v>6</v>
      </c>
      <c r="F10" s="469"/>
      <c r="G10" s="471"/>
      <c r="H10" s="471"/>
      <c r="I10" s="469"/>
      <c r="J10" s="411" t="s">
        <v>25</v>
      </c>
      <c r="K10" s="411" t="s">
        <v>26</v>
      </c>
      <c r="L10" s="469"/>
      <c r="M10" s="469"/>
    </row>
    <row r="11" spans="1:13" s="389" customFormat="1" ht="11.25" customHeight="1">
      <c r="B11" s="390" t="s">
        <v>7</v>
      </c>
      <c r="C11" s="390" t="s">
        <v>8</v>
      </c>
      <c r="D11" s="390" t="s">
        <v>9</v>
      </c>
      <c r="E11" s="390" t="s">
        <v>10</v>
      </c>
      <c r="F11" s="390" t="s">
        <v>11</v>
      </c>
      <c r="G11" s="390"/>
      <c r="H11" s="390"/>
      <c r="I11" s="390" t="s">
        <v>27</v>
      </c>
      <c r="J11" s="390">
        <v>1</v>
      </c>
      <c r="K11" s="390">
        <v>2</v>
      </c>
      <c r="L11" s="390">
        <v>3</v>
      </c>
      <c r="M11" s="390" t="s">
        <v>12</v>
      </c>
    </row>
    <row r="12" spans="1:13" s="400" customFormat="1" ht="18" customHeight="1">
      <c r="B12" s="416"/>
      <c r="C12" s="416"/>
      <c r="D12" s="416"/>
      <c r="E12" s="416"/>
      <c r="F12" s="416" t="s">
        <v>28</v>
      </c>
      <c r="G12" s="416"/>
      <c r="H12" s="416"/>
      <c r="I12" s="417"/>
      <c r="J12" s="418"/>
      <c r="K12" s="416"/>
      <c r="L12" s="418">
        <f>'02'!L82</f>
        <v>1682399611</v>
      </c>
      <c r="M12" s="416"/>
    </row>
    <row r="13" spans="1:13" ht="18.75" customHeight="1">
      <c r="A13" s="386" t="str">
        <f t="shared" ref="A13:A76" si="0">D13&amp;E13</f>
        <v>T01</v>
      </c>
      <c r="B13" s="394">
        <v>42065</v>
      </c>
      <c r="C13" s="394">
        <v>42065</v>
      </c>
      <c r="D13" s="395" t="s">
        <v>39</v>
      </c>
      <c r="E13" s="378"/>
      <c r="F13" s="396" t="s">
        <v>62</v>
      </c>
      <c r="G13" s="396"/>
      <c r="H13" s="396" t="s">
        <v>187</v>
      </c>
      <c r="I13" s="398" t="s">
        <v>36</v>
      </c>
      <c r="J13" s="399">
        <v>2500000000</v>
      </c>
      <c r="K13" s="396"/>
      <c r="L13" s="395">
        <f t="shared" ref="L13:L80" si="1">IF(F13&lt;&gt;"",L12+J13-K13,0)</f>
        <v>4182399611</v>
      </c>
      <c r="M13" s="38"/>
    </row>
    <row r="14" spans="1:13" ht="18.75" customHeight="1">
      <c r="A14" s="386" t="str">
        <f t="shared" si="0"/>
        <v>C01</v>
      </c>
      <c r="B14" s="394">
        <v>42065</v>
      </c>
      <c r="C14" s="394">
        <v>42063</v>
      </c>
      <c r="D14" s="395"/>
      <c r="E14" s="378" t="s">
        <v>136</v>
      </c>
      <c r="F14" s="396" t="s">
        <v>269</v>
      </c>
      <c r="G14" s="397" t="s">
        <v>271</v>
      </c>
      <c r="H14" s="396" t="s">
        <v>270</v>
      </c>
      <c r="I14" s="398" t="s">
        <v>94</v>
      </c>
      <c r="J14" s="399"/>
      <c r="K14" s="396">
        <v>1874914</v>
      </c>
      <c r="L14" s="395">
        <f t="shared" si="1"/>
        <v>4180524697</v>
      </c>
      <c r="M14" s="38"/>
    </row>
    <row r="15" spans="1:13" ht="18.75" customHeight="1">
      <c r="A15" s="386" t="str">
        <f t="shared" si="0"/>
        <v>C01</v>
      </c>
      <c r="B15" s="394">
        <v>42065</v>
      </c>
      <c r="C15" s="394">
        <v>42063</v>
      </c>
      <c r="D15" s="395"/>
      <c r="E15" s="378" t="s">
        <v>136</v>
      </c>
      <c r="F15" s="396" t="s">
        <v>272</v>
      </c>
      <c r="G15" s="397" t="s">
        <v>271</v>
      </c>
      <c r="H15" s="396" t="s">
        <v>270</v>
      </c>
      <c r="I15" s="398" t="s">
        <v>35</v>
      </c>
      <c r="J15" s="399"/>
      <c r="K15" s="396">
        <v>187491</v>
      </c>
      <c r="L15" s="395">
        <f t="shared" si="1"/>
        <v>4180337206</v>
      </c>
      <c r="M15" s="38"/>
    </row>
    <row r="16" spans="1:13" ht="18.75" customHeight="1">
      <c r="A16" s="386" t="str">
        <f t="shared" si="0"/>
        <v>C02</v>
      </c>
      <c r="B16" s="394">
        <v>42065</v>
      </c>
      <c r="C16" s="394">
        <v>42057</v>
      </c>
      <c r="D16" s="395"/>
      <c r="E16" s="378" t="s">
        <v>137</v>
      </c>
      <c r="F16" s="396" t="s">
        <v>273</v>
      </c>
      <c r="G16" s="397" t="s">
        <v>275</v>
      </c>
      <c r="H16" s="396" t="s">
        <v>276</v>
      </c>
      <c r="I16" s="398" t="s">
        <v>94</v>
      </c>
      <c r="J16" s="399"/>
      <c r="K16" s="396">
        <v>2740909</v>
      </c>
      <c r="L16" s="395">
        <f t="shared" si="1"/>
        <v>4177596297</v>
      </c>
      <c r="M16" s="38"/>
    </row>
    <row r="17" spans="1:13" ht="18.75" customHeight="1">
      <c r="A17" s="386" t="str">
        <f t="shared" si="0"/>
        <v>C02</v>
      </c>
      <c r="B17" s="394">
        <v>42065</v>
      </c>
      <c r="C17" s="394">
        <v>42057</v>
      </c>
      <c r="D17" s="395"/>
      <c r="E17" s="378" t="s">
        <v>137</v>
      </c>
      <c r="F17" s="396" t="s">
        <v>274</v>
      </c>
      <c r="G17" s="397" t="s">
        <v>275</v>
      </c>
      <c r="H17" s="396" t="s">
        <v>276</v>
      </c>
      <c r="I17" s="398" t="s">
        <v>35</v>
      </c>
      <c r="J17" s="399"/>
      <c r="K17" s="396">
        <v>274091</v>
      </c>
      <c r="L17" s="395">
        <f t="shared" si="1"/>
        <v>4177322206</v>
      </c>
      <c r="M17" s="38"/>
    </row>
    <row r="18" spans="1:13" ht="17.25" customHeight="1">
      <c r="A18" s="386" t="str">
        <f t="shared" si="0"/>
        <v>C03</v>
      </c>
      <c r="B18" s="394">
        <v>42065</v>
      </c>
      <c r="C18" s="394">
        <v>42065</v>
      </c>
      <c r="D18" s="395"/>
      <c r="E18" s="378" t="s">
        <v>138</v>
      </c>
      <c r="F18" s="396" t="s">
        <v>332</v>
      </c>
      <c r="G18" s="396"/>
      <c r="H18" s="396" t="s">
        <v>333</v>
      </c>
      <c r="I18" s="398" t="s">
        <v>334</v>
      </c>
      <c r="J18" s="399"/>
      <c r="K18" s="399">
        <v>350000000</v>
      </c>
      <c r="L18" s="395">
        <f t="shared" si="1"/>
        <v>3827322206</v>
      </c>
      <c r="M18" s="38"/>
    </row>
    <row r="19" spans="1:13" ht="18" customHeight="1">
      <c r="A19" s="386" t="str">
        <f t="shared" si="0"/>
        <v>C04</v>
      </c>
      <c r="B19" s="394">
        <v>42065</v>
      </c>
      <c r="C19" s="394">
        <v>42065</v>
      </c>
      <c r="D19" s="395"/>
      <c r="E19" s="378" t="s">
        <v>139</v>
      </c>
      <c r="F19" s="396" t="s">
        <v>332</v>
      </c>
      <c r="G19" s="396"/>
      <c r="H19" s="396" t="s">
        <v>335</v>
      </c>
      <c r="I19" s="398" t="s">
        <v>334</v>
      </c>
      <c r="J19" s="399"/>
      <c r="K19" s="399">
        <v>450000000</v>
      </c>
      <c r="L19" s="395">
        <f t="shared" si="1"/>
        <v>3377322206</v>
      </c>
      <c r="M19" s="38"/>
    </row>
    <row r="20" spans="1:13" ht="18.75" customHeight="1">
      <c r="A20" s="386" t="str">
        <f t="shared" si="0"/>
        <v>C05</v>
      </c>
      <c r="B20" s="394">
        <v>42067</v>
      </c>
      <c r="C20" s="394">
        <v>42067</v>
      </c>
      <c r="D20" s="395"/>
      <c r="E20" s="378" t="s">
        <v>140</v>
      </c>
      <c r="F20" s="396" t="s">
        <v>277</v>
      </c>
      <c r="G20" s="397" t="s">
        <v>279</v>
      </c>
      <c r="H20" s="396" t="s">
        <v>280</v>
      </c>
      <c r="I20" s="398" t="s">
        <v>94</v>
      </c>
      <c r="J20" s="399"/>
      <c r="K20" s="396">
        <v>1920000</v>
      </c>
      <c r="L20" s="395">
        <f t="shared" si="1"/>
        <v>3375402206</v>
      </c>
      <c r="M20" s="38"/>
    </row>
    <row r="21" spans="1:13" ht="18.75" customHeight="1">
      <c r="A21" s="386" t="str">
        <f t="shared" si="0"/>
        <v>C05</v>
      </c>
      <c r="B21" s="394">
        <v>42067</v>
      </c>
      <c r="C21" s="394">
        <v>42067</v>
      </c>
      <c r="D21" s="395"/>
      <c r="E21" s="378" t="s">
        <v>140</v>
      </c>
      <c r="F21" s="396" t="s">
        <v>278</v>
      </c>
      <c r="G21" s="397" t="s">
        <v>279</v>
      </c>
      <c r="H21" s="396" t="s">
        <v>280</v>
      </c>
      <c r="I21" s="398" t="s">
        <v>35</v>
      </c>
      <c r="J21" s="399"/>
      <c r="K21" s="396">
        <v>192000</v>
      </c>
      <c r="L21" s="395">
        <f t="shared" si="1"/>
        <v>3375210206</v>
      </c>
      <c r="M21" s="38"/>
    </row>
    <row r="22" spans="1:13" ht="18.75" customHeight="1">
      <c r="A22" s="386" t="str">
        <f t="shared" si="0"/>
        <v>C06</v>
      </c>
      <c r="B22" s="394">
        <v>42068</v>
      </c>
      <c r="C22" s="394">
        <v>42068</v>
      </c>
      <c r="D22" s="395"/>
      <c r="E22" s="378" t="s">
        <v>141</v>
      </c>
      <c r="F22" s="396" t="s">
        <v>281</v>
      </c>
      <c r="G22" s="397" t="s">
        <v>283</v>
      </c>
      <c r="H22" s="396" t="s">
        <v>284</v>
      </c>
      <c r="I22" s="398" t="s">
        <v>93</v>
      </c>
      <c r="J22" s="399"/>
      <c r="K22" s="396">
        <v>7912450</v>
      </c>
      <c r="L22" s="395">
        <f t="shared" si="1"/>
        <v>3367297756</v>
      </c>
      <c r="M22" s="38"/>
    </row>
    <row r="23" spans="1:13" ht="18.75" customHeight="1">
      <c r="A23" s="386" t="str">
        <f t="shared" si="0"/>
        <v>C06</v>
      </c>
      <c r="B23" s="394">
        <v>42068</v>
      </c>
      <c r="C23" s="394">
        <v>42068</v>
      </c>
      <c r="D23" s="395"/>
      <c r="E23" s="378" t="s">
        <v>141</v>
      </c>
      <c r="F23" s="396" t="s">
        <v>282</v>
      </c>
      <c r="G23" s="397" t="s">
        <v>283</v>
      </c>
      <c r="H23" s="396" t="s">
        <v>284</v>
      </c>
      <c r="I23" s="398" t="s">
        <v>35</v>
      </c>
      <c r="J23" s="399"/>
      <c r="K23" s="396">
        <v>416194</v>
      </c>
      <c r="L23" s="395">
        <f t="shared" si="1"/>
        <v>3366881562</v>
      </c>
      <c r="M23" s="38"/>
    </row>
    <row r="24" spans="1:13" ht="18.75" customHeight="1">
      <c r="A24" s="386" t="str">
        <f t="shared" si="0"/>
        <v>C07</v>
      </c>
      <c r="B24" s="394">
        <v>42068</v>
      </c>
      <c r="C24" s="394">
        <v>42068</v>
      </c>
      <c r="D24" s="395"/>
      <c r="E24" s="378" t="s">
        <v>142</v>
      </c>
      <c r="F24" s="396" t="s">
        <v>285</v>
      </c>
      <c r="G24" s="397" t="s">
        <v>287</v>
      </c>
      <c r="H24" s="396" t="s">
        <v>284</v>
      </c>
      <c r="I24" s="398" t="s">
        <v>93</v>
      </c>
      <c r="J24" s="399"/>
      <c r="K24" s="396">
        <v>1100000</v>
      </c>
      <c r="L24" s="395">
        <f t="shared" si="1"/>
        <v>3365781562</v>
      </c>
      <c r="M24" s="38"/>
    </row>
    <row r="25" spans="1:13" ht="18.75" customHeight="1">
      <c r="A25" s="386" t="str">
        <f t="shared" si="0"/>
        <v>C07</v>
      </c>
      <c r="B25" s="394">
        <v>42068</v>
      </c>
      <c r="C25" s="394">
        <v>42068</v>
      </c>
      <c r="D25" s="395"/>
      <c r="E25" s="378" t="s">
        <v>142</v>
      </c>
      <c r="F25" s="396" t="s">
        <v>286</v>
      </c>
      <c r="G25" s="397" t="s">
        <v>287</v>
      </c>
      <c r="H25" s="396" t="s">
        <v>284</v>
      </c>
      <c r="I25" s="398" t="s">
        <v>35</v>
      </c>
      <c r="J25" s="399"/>
      <c r="K25" s="396">
        <v>57860</v>
      </c>
      <c r="L25" s="395">
        <f t="shared" si="1"/>
        <v>3365723702</v>
      </c>
      <c r="M25" s="38"/>
    </row>
    <row r="26" spans="1:13" ht="18.75" customHeight="1">
      <c r="A26" s="386" t="str">
        <f t="shared" si="0"/>
        <v>C08</v>
      </c>
      <c r="B26" s="394">
        <v>42068</v>
      </c>
      <c r="C26" s="394">
        <v>42068</v>
      </c>
      <c r="D26" s="395"/>
      <c r="E26" s="378" t="s">
        <v>143</v>
      </c>
      <c r="F26" s="396" t="s">
        <v>288</v>
      </c>
      <c r="G26" s="397" t="s">
        <v>289</v>
      </c>
      <c r="H26" s="396" t="s">
        <v>290</v>
      </c>
      <c r="I26" s="398" t="s">
        <v>34</v>
      </c>
      <c r="J26" s="399"/>
      <c r="K26" s="396">
        <v>5610000</v>
      </c>
      <c r="L26" s="395">
        <f t="shared" si="1"/>
        <v>3360113702</v>
      </c>
      <c r="M26" s="38"/>
    </row>
    <row r="27" spans="1:13" ht="17.25" customHeight="1">
      <c r="A27" s="386" t="str">
        <f t="shared" si="0"/>
        <v>C09</v>
      </c>
      <c r="B27" s="394">
        <v>42068</v>
      </c>
      <c r="C27" s="394">
        <v>42068</v>
      </c>
      <c r="D27" s="395"/>
      <c r="E27" s="378" t="s">
        <v>144</v>
      </c>
      <c r="F27" s="396" t="s">
        <v>332</v>
      </c>
      <c r="G27" s="396"/>
      <c r="H27" s="396" t="s">
        <v>333</v>
      </c>
      <c r="I27" s="398" t="s">
        <v>334</v>
      </c>
      <c r="J27" s="399"/>
      <c r="K27" s="399">
        <v>300000000</v>
      </c>
      <c r="L27" s="395">
        <f t="shared" si="1"/>
        <v>3060113702</v>
      </c>
      <c r="M27" s="38"/>
    </row>
    <row r="28" spans="1:13" ht="18" customHeight="1">
      <c r="A28" s="386" t="str">
        <f t="shared" si="0"/>
        <v>C10</v>
      </c>
      <c r="B28" s="394">
        <v>42068</v>
      </c>
      <c r="C28" s="394">
        <v>42068</v>
      </c>
      <c r="D28" s="395"/>
      <c r="E28" s="378" t="s">
        <v>145</v>
      </c>
      <c r="F28" s="396" t="s">
        <v>332</v>
      </c>
      <c r="G28" s="396"/>
      <c r="H28" s="396" t="s">
        <v>335</v>
      </c>
      <c r="I28" s="398" t="s">
        <v>334</v>
      </c>
      <c r="J28" s="399"/>
      <c r="K28" s="399">
        <v>450000000</v>
      </c>
      <c r="L28" s="395">
        <f t="shared" si="1"/>
        <v>2610113702</v>
      </c>
      <c r="M28" s="38"/>
    </row>
    <row r="29" spans="1:13" ht="18.75" customHeight="1">
      <c r="A29" s="386" t="str">
        <f t="shared" si="0"/>
        <v>C11</v>
      </c>
      <c r="B29" s="394">
        <v>42072</v>
      </c>
      <c r="C29" s="394">
        <v>42072</v>
      </c>
      <c r="D29" s="395"/>
      <c r="E29" s="378" t="s">
        <v>146</v>
      </c>
      <c r="F29" s="396" t="s">
        <v>60</v>
      </c>
      <c r="G29" s="397" t="s">
        <v>293</v>
      </c>
      <c r="H29" s="396" t="s">
        <v>296</v>
      </c>
      <c r="I29" s="398" t="s">
        <v>94</v>
      </c>
      <c r="J29" s="399"/>
      <c r="K29" s="396">
        <v>12912000</v>
      </c>
      <c r="L29" s="395">
        <f t="shared" si="1"/>
        <v>2597201702</v>
      </c>
      <c r="M29" s="38"/>
    </row>
    <row r="30" spans="1:13" ht="18.75" customHeight="1">
      <c r="A30" s="386" t="str">
        <f t="shared" si="0"/>
        <v>C11</v>
      </c>
      <c r="B30" s="394">
        <v>42072</v>
      </c>
      <c r="C30" s="394">
        <v>42072</v>
      </c>
      <c r="D30" s="395"/>
      <c r="E30" s="378" t="s">
        <v>146</v>
      </c>
      <c r="F30" s="396" t="s">
        <v>52</v>
      </c>
      <c r="G30" s="397" t="s">
        <v>293</v>
      </c>
      <c r="H30" s="396" t="s">
        <v>296</v>
      </c>
      <c r="I30" s="398" t="s">
        <v>35</v>
      </c>
      <c r="J30" s="399"/>
      <c r="K30" s="396">
        <v>645600</v>
      </c>
      <c r="L30" s="395">
        <f t="shared" si="1"/>
        <v>2596556102</v>
      </c>
      <c r="M30" s="38"/>
    </row>
    <row r="31" spans="1:13" ht="17.25" customHeight="1">
      <c r="A31" s="386" t="str">
        <f t="shared" si="0"/>
        <v>C12</v>
      </c>
      <c r="B31" s="394">
        <v>42072</v>
      </c>
      <c r="C31" s="394">
        <v>42072</v>
      </c>
      <c r="D31" s="395"/>
      <c r="E31" s="378" t="s">
        <v>147</v>
      </c>
      <c r="F31" s="396" t="s">
        <v>332</v>
      </c>
      <c r="G31" s="396"/>
      <c r="H31" s="396" t="s">
        <v>333</v>
      </c>
      <c r="I31" s="398" t="s">
        <v>334</v>
      </c>
      <c r="J31" s="399"/>
      <c r="K31" s="399">
        <v>320000000</v>
      </c>
      <c r="L31" s="395">
        <f t="shared" si="1"/>
        <v>2276556102</v>
      </c>
      <c r="M31" s="38"/>
    </row>
    <row r="32" spans="1:13" ht="18.75" customHeight="1">
      <c r="A32" s="386" t="str">
        <f t="shared" si="0"/>
        <v>C13</v>
      </c>
      <c r="B32" s="394">
        <v>42073</v>
      </c>
      <c r="C32" s="394">
        <v>42073</v>
      </c>
      <c r="D32" s="395"/>
      <c r="E32" s="378" t="s">
        <v>148</v>
      </c>
      <c r="F32" s="396" t="s">
        <v>631</v>
      </c>
      <c r="G32" s="397" t="s">
        <v>294</v>
      </c>
      <c r="H32" s="396" t="s">
        <v>296</v>
      </c>
      <c r="I32" s="398" t="s">
        <v>94</v>
      </c>
      <c r="J32" s="399"/>
      <c r="K32" s="396">
        <v>3417600</v>
      </c>
      <c r="L32" s="395">
        <f t="shared" si="1"/>
        <v>2273138502</v>
      </c>
      <c r="M32" s="38"/>
    </row>
    <row r="33" spans="1:13" ht="18.75" customHeight="1">
      <c r="A33" s="386" t="str">
        <f t="shared" si="0"/>
        <v>C13</v>
      </c>
      <c r="B33" s="394">
        <v>42073</v>
      </c>
      <c r="C33" s="394">
        <v>42073</v>
      </c>
      <c r="D33" s="395"/>
      <c r="E33" s="378" t="s">
        <v>148</v>
      </c>
      <c r="F33" s="396" t="s">
        <v>632</v>
      </c>
      <c r="G33" s="397" t="s">
        <v>294</v>
      </c>
      <c r="H33" s="396" t="s">
        <v>296</v>
      </c>
      <c r="I33" s="398" t="s">
        <v>35</v>
      </c>
      <c r="J33" s="399"/>
      <c r="K33" s="396">
        <v>341760</v>
      </c>
      <c r="L33" s="395">
        <f t="shared" si="1"/>
        <v>2272796742</v>
      </c>
      <c r="M33" s="38"/>
    </row>
    <row r="34" spans="1:13" ht="18.75" customHeight="1">
      <c r="A34" s="386" t="str">
        <f t="shared" si="0"/>
        <v>T02</v>
      </c>
      <c r="B34" s="394">
        <v>42074</v>
      </c>
      <c r="C34" s="394">
        <v>42074</v>
      </c>
      <c r="D34" s="395" t="s">
        <v>40</v>
      </c>
      <c r="E34" s="378"/>
      <c r="F34" s="396" t="s">
        <v>62</v>
      </c>
      <c r="G34" s="396"/>
      <c r="H34" s="396" t="s">
        <v>187</v>
      </c>
      <c r="I34" s="398" t="s">
        <v>36</v>
      </c>
      <c r="J34" s="399">
        <v>1000000000</v>
      </c>
      <c r="K34" s="396"/>
      <c r="L34" s="395">
        <f t="shared" si="1"/>
        <v>3272796742</v>
      </c>
      <c r="M34" s="38"/>
    </row>
    <row r="35" spans="1:13" ht="18.75" customHeight="1">
      <c r="A35" s="386" t="str">
        <f t="shared" si="0"/>
        <v>C14</v>
      </c>
      <c r="B35" s="394">
        <v>42074</v>
      </c>
      <c r="C35" s="394">
        <v>42074</v>
      </c>
      <c r="D35" s="395"/>
      <c r="E35" s="378" t="s">
        <v>149</v>
      </c>
      <c r="F35" s="396" t="s">
        <v>633</v>
      </c>
      <c r="G35" s="397" t="s">
        <v>295</v>
      </c>
      <c r="H35" s="396" t="s">
        <v>296</v>
      </c>
      <c r="I35" s="398" t="s">
        <v>94</v>
      </c>
      <c r="J35" s="399"/>
      <c r="K35" s="396">
        <v>2461000</v>
      </c>
      <c r="L35" s="395">
        <f t="shared" si="1"/>
        <v>3270335742</v>
      </c>
      <c r="M35" s="38"/>
    </row>
    <row r="36" spans="1:13" ht="18.75" customHeight="1">
      <c r="A36" s="386" t="str">
        <f t="shared" si="0"/>
        <v>C14</v>
      </c>
      <c r="B36" s="394">
        <v>42074</v>
      </c>
      <c r="C36" s="394">
        <v>42074</v>
      </c>
      <c r="D36" s="395"/>
      <c r="E36" s="378" t="s">
        <v>149</v>
      </c>
      <c r="F36" s="396" t="s">
        <v>292</v>
      </c>
      <c r="G36" s="397" t="s">
        <v>295</v>
      </c>
      <c r="H36" s="396" t="s">
        <v>296</v>
      </c>
      <c r="I36" s="398" t="s">
        <v>35</v>
      </c>
      <c r="J36" s="399"/>
      <c r="K36" s="396">
        <v>246100</v>
      </c>
      <c r="L36" s="395">
        <f t="shared" si="1"/>
        <v>3270089642</v>
      </c>
      <c r="M36" s="38"/>
    </row>
    <row r="37" spans="1:13" ht="18.75" customHeight="1">
      <c r="A37" s="386" t="str">
        <f t="shared" si="0"/>
        <v>C15</v>
      </c>
      <c r="B37" s="394">
        <v>42075</v>
      </c>
      <c r="C37" s="394">
        <v>42075</v>
      </c>
      <c r="D37" s="395"/>
      <c r="E37" s="378" t="s">
        <v>150</v>
      </c>
      <c r="F37" s="396" t="s">
        <v>297</v>
      </c>
      <c r="G37" s="397" t="s">
        <v>299</v>
      </c>
      <c r="H37" s="396" t="s">
        <v>300</v>
      </c>
      <c r="I37" s="398" t="s">
        <v>93</v>
      </c>
      <c r="J37" s="399"/>
      <c r="K37" s="396">
        <v>800000</v>
      </c>
      <c r="L37" s="395">
        <f t="shared" si="1"/>
        <v>3269289642</v>
      </c>
      <c r="M37" s="38"/>
    </row>
    <row r="38" spans="1:13" ht="18.75" customHeight="1">
      <c r="A38" s="386" t="str">
        <f t="shared" si="0"/>
        <v>C15</v>
      </c>
      <c r="B38" s="394">
        <v>42075</v>
      </c>
      <c r="C38" s="394">
        <v>42075</v>
      </c>
      <c r="D38" s="395"/>
      <c r="E38" s="378" t="s">
        <v>150</v>
      </c>
      <c r="F38" s="396" t="s">
        <v>298</v>
      </c>
      <c r="G38" s="397" t="s">
        <v>299</v>
      </c>
      <c r="H38" s="396" t="s">
        <v>300</v>
      </c>
      <c r="I38" s="398" t="s">
        <v>35</v>
      </c>
      <c r="J38" s="399"/>
      <c r="K38" s="396">
        <v>40000</v>
      </c>
      <c r="L38" s="395">
        <f t="shared" si="1"/>
        <v>3269249642</v>
      </c>
      <c r="M38" s="38"/>
    </row>
    <row r="39" spans="1:13" ht="18.75" customHeight="1">
      <c r="A39" s="386" t="str">
        <f t="shared" si="0"/>
        <v>C16</v>
      </c>
      <c r="B39" s="394">
        <v>42075</v>
      </c>
      <c r="C39" s="394">
        <v>42075</v>
      </c>
      <c r="D39" s="395"/>
      <c r="E39" s="378" t="s">
        <v>151</v>
      </c>
      <c r="F39" s="396" t="s">
        <v>301</v>
      </c>
      <c r="G39" s="397" t="s">
        <v>302</v>
      </c>
      <c r="H39" s="396" t="s">
        <v>303</v>
      </c>
      <c r="I39" s="398" t="s">
        <v>34</v>
      </c>
      <c r="J39" s="399"/>
      <c r="K39" s="396">
        <v>1925000</v>
      </c>
      <c r="L39" s="395">
        <f t="shared" si="1"/>
        <v>3267324642</v>
      </c>
      <c r="M39" s="38"/>
    </row>
    <row r="40" spans="1:13" ht="18.75" customHeight="1">
      <c r="A40" s="386" t="str">
        <f t="shared" si="0"/>
        <v>T03</v>
      </c>
      <c r="B40" s="394">
        <v>42076</v>
      </c>
      <c r="C40" s="394">
        <v>42076</v>
      </c>
      <c r="D40" s="395" t="s">
        <v>41</v>
      </c>
      <c r="E40" s="378"/>
      <c r="F40" s="396" t="s">
        <v>62</v>
      </c>
      <c r="G40" s="396"/>
      <c r="H40" s="396" t="s">
        <v>187</v>
      </c>
      <c r="I40" s="398" t="s">
        <v>36</v>
      </c>
      <c r="J40" s="399">
        <v>1050000000</v>
      </c>
      <c r="K40" s="396"/>
      <c r="L40" s="395">
        <f t="shared" si="1"/>
        <v>4317324642</v>
      </c>
      <c r="M40" s="38"/>
    </row>
    <row r="41" spans="1:13" ht="18" customHeight="1">
      <c r="A41" s="386" t="str">
        <f t="shared" si="0"/>
        <v>C17</v>
      </c>
      <c r="B41" s="394">
        <v>42076</v>
      </c>
      <c r="C41" s="394">
        <v>42076</v>
      </c>
      <c r="D41" s="395"/>
      <c r="E41" s="378" t="s">
        <v>152</v>
      </c>
      <c r="F41" s="396" t="s">
        <v>332</v>
      </c>
      <c r="G41" s="396"/>
      <c r="H41" s="396" t="s">
        <v>335</v>
      </c>
      <c r="I41" s="398" t="s">
        <v>334</v>
      </c>
      <c r="J41" s="399"/>
      <c r="K41" s="399">
        <v>550000000</v>
      </c>
      <c r="L41" s="395">
        <f t="shared" si="1"/>
        <v>3767324642</v>
      </c>
      <c r="M41" s="38"/>
    </row>
    <row r="42" spans="1:13" ht="18.75" customHeight="1">
      <c r="A42" s="386" t="str">
        <f t="shared" si="0"/>
        <v>C18</v>
      </c>
      <c r="B42" s="394">
        <v>42078</v>
      </c>
      <c r="C42" s="394">
        <v>42078</v>
      </c>
      <c r="D42" s="395"/>
      <c r="E42" s="378" t="s">
        <v>153</v>
      </c>
      <c r="F42" s="396" t="s">
        <v>50</v>
      </c>
      <c r="G42" s="396" t="s">
        <v>305</v>
      </c>
      <c r="H42" s="396" t="s">
        <v>192</v>
      </c>
      <c r="I42" s="398" t="s">
        <v>94</v>
      </c>
      <c r="J42" s="399"/>
      <c r="K42" s="396">
        <v>554500</v>
      </c>
      <c r="L42" s="395">
        <f t="shared" si="1"/>
        <v>3766770142</v>
      </c>
      <c r="M42" s="38"/>
    </row>
    <row r="43" spans="1:13" ht="18.75" customHeight="1">
      <c r="A43" s="386" t="str">
        <f t="shared" si="0"/>
        <v>C18</v>
      </c>
      <c r="B43" s="394">
        <v>42078</v>
      </c>
      <c r="C43" s="394">
        <v>42078</v>
      </c>
      <c r="D43" s="395"/>
      <c r="E43" s="378" t="s">
        <v>153</v>
      </c>
      <c r="F43" s="396" t="s">
        <v>53</v>
      </c>
      <c r="G43" s="396" t="s">
        <v>305</v>
      </c>
      <c r="H43" s="396" t="s">
        <v>192</v>
      </c>
      <c r="I43" s="398" t="s">
        <v>54</v>
      </c>
      <c r="J43" s="399"/>
      <c r="K43" s="396">
        <v>3459673</v>
      </c>
      <c r="L43" s="395">
        <f t="shared" si="1"/>
        <v>3763310469</v>
      </c>
      <c r="M43" s="38"/>
    </row>
    <row r="44" spans="1:13" ht="18.75" customHeight="1">
      <c r="A44" s="386" t="str">
        <f t="shared" si="0"/>
        <v>C18</v>
      </c>
      <c r="B44" s="394">
        <v>42078</v>
      </c>
      <c r="C44" s="394">
        <v>42078</v>
      </c>
      <c r="D44" s="395"/>
      <c r="E44" s="378" t="s">
        <v>153</v>
      </c>
      <c r="F44" s="396" t="s">
        <v>304</v>
      </c>
      <c r="G44" s="396" t="s">
        <v>305</v>
      </c>
      <c r="H44" s="396" t="s">
        <v>192</v>
      </c>
      <c r="I44" s="398" t="s">
        <v>35</v>
      </c>
      <c r="J44" s="399"/>
      <c r="K44" s="396">
        <v>401417</v>
      </c>
      <c r="L44" s="395">
        <f t="shared" si="1"/>
        <v>3762909052</v>
      </c>
      <c r="M44" s="38"/>
    </row>
    <row r="45" spans="1:13" ht="18.75" customHeight="1">
      <c r="A45" s="386" t="str">
        <f t="shared" si="0"/>
        <v>C19</v>
      </c>
      <c r="B45" s="394">
        <v>42080</v>
      </c>
      <c r="C45" s="394">
        <v>42080</v>
      </c>
      <c r="D45" s="395"/>
      <c r="E45" s="378" t="s">
        <v>154</v>
      </c>
      <c r="F45" s="396" t="s">
        <v>50</v>
      </c>
      <c r="G45" s="397" t="s">
        <v>321</v>
      </c>
      <c r="H45" s="396" t="s">
        <v>306</v>
      </c>
      <c r="I45" s="398" t="s">
        <v>94</v>
      </c>
      <c r="J45" s="399"/>
      <c r="K45" s="396">
        <v>3798564</v>
      </c>
      <c r="L45" s="395">
        <f t="shared" si="1"/>
        <v>3759110488</v>
      </c>
      <c r="M45" s="38"/>
    </row>
    <row r="46" spans="1:13" ht="18.75" customHeight="1">
      <c r="A46" s="386" t="str">
        <f t="shared" si="0"/>
        <v>C19</v>
      </c>
      <c r="B46" s="394">
        <v>42080</v>
      </c>
      <c r="C46" s="394">
        <v>42080</v>
      </c>
      <c r="D46" s="395"/>
      <c r="E46" s="378" t="s">
        <v>154</v>
      </c>
      <c r="F46" s="396" t="s">
        <v>56</v>
      </c>
      <c r="G46" s="397" t="s">
        <v>321</v>
      </c>
      <c r="H46" s="396" t="s">
        <v>306</v>
      </c>
      <c r="I46" s="398" t="s">
        <v>35</v>
      </c>
      <c r="J46" s="399"/>
      <c r="K46" s="396">
        <v>379856</v>
      </c>
      <c r="L46" s="395">
        <f t="shared" si="1"/>
        <v>3758730632</v>
      </c>
      <c r="M46" s="38"/>
    </row>
    <row r="47" spans="1:13" ht="18.75" customHeight="1">
      <c r="A47" s="386" t="str">
        <f t="shared" si="0"/>
        <v>C20</v>
      </c>
      <c r="B47" s="394">
        <v>42082</v>
      </c>
      <c r="C47" s="394">
        <v>42082</v>
      </c>
      <c r="D47" s="395"/>
      <c r="E47" s="378" t="s">
        <v>155</v>
      </c>
      <c r="F47" s="396" t="s">
        <v>307</v>
      </c>
      <c r="G47" s="397" t="s">
        <v>309</v>
      </c>
      <c r="H47" s="396" t="s">
        <v>310</v>
      </c>
      <c r="I47" s="398" t="s">
        <v>94</v>
      </c>
      <c r="J47" s="399"/>
      <c r="K47" s="396">
        <v>2000000</v>
      </c>
      <c r="L47" s="395">
        <f t="shared" si="1"/>
        <v>3756730632</v>
      </c>
      <c r="M47" s="38"/>
    </row>
    <row r="48" spans="1:13" ht="18.75" customHeight="1">
      <c r="A48" s="386" t="str">
        <f t="shared" si="0"/>
        <v>C20</v>
      </c>
      <c r="B48" s="394">
        <v>42082</v>
      </c>
      <c r="C48" s="394">
        <v>42082</v>
      </c>
      <c r="D48" s="395"/>
      <c r="E48" s="378" t="s">
        <v>155</v>
      </c>
      <c r="F48" s="396" t="s">
        <v>308</v>
      </c>
      <c r="G48" s="397" t="s">
        <v>309</v>
      </c>
      <c r="H48" s="396" t="s">
        <v>310</v>
      </c>
      <c r="I48" s="398" t="s">
        <v>35</v>
      </c>
      <c r="J48" s="399"/>
      <c r="K48" s="396">
        <v>200000</v>
      </c>
      <c r="L48" s="395">
        <f t="shared" si="1"/>
        <v>3756530632</v>
      </c>
      <c r="M48" s="38"/>
    </row>
    <row r="49" spans="1:13" ht="18.75" customHeight="1">
      <c r="A49" s="386" t="str">
        <f t="shared" si="0"/>
        <v>T04</v>
      </c>
      <c r="B49" s="394">
        <v>42084</v>
      </c>
      <c r="C49" s="394">
        <v>42084</v>
      </c>
      <c r="D49" s="395" t="s">
        <v>42</v>
      </c>
      <c r="E49" s="378"/>
      <c r="F49" s="396" t="s">
        <v>62</v>
      </c>
      <c r="G49" s="396"/>
      <c r="H49" s="396" t="s">
        <v>187</v>
      </c>
      <c r="I49" s="398" t="s">
        <v>36</v>
      </c>
      <c r="J49" s="399">
        <v>400000000</v>
      </c>
      <c r="K49" s="396"/>
      <c r="L49" s="395">
        <f t="shared" si="1"/>
        <v>4156530632</v>
      </c>
      <c r="M49" s="38"/>
    </row>
    <row r="50" spans="1:13" ht="18.75" customHeight="1">
      <c r="A50" s="386" t="str">
        <f t="shared" si="0"/>
        <v>T05</v>
      </c>
      <c r="B50" s="394">
        <v>42086</v>
      </c>
      <c r="C50" s="394">
        <v>42086</v>
      </c>
      <c r="D50" s="395" t="s">
        <v>43</v>
      </c>
      <c r="E50" s="378"/>
      <c r="F50" s="396" t="s">
        <v>268</v>
      </c>
      <c r="G50" s="396"/>
      <c r="H50" s="396"/>
      <c r="I50" s="398" t="s">
        <v>58</v>
      </c>
      <c r="J50" s="399">
        <v>72000000</v>
      </c>
      <c r="K50" s="396"/>
      <c r="L50" s="395">
        <f t="shared" si="1"/>
        <v>4228530632</v>
      </c>
      <c r="M50" s="38"/>
    </row>
    <row r="51" spans="1:13" ht="18.75" customHeight="1">
      <c r="A51" s="386" t="str">
        <f t="shared" si="0"/>
        <v>C21</v>
      </c>
      <c r="B51" s="394">
        <v>42086</v>
      </c>
      <c r="C51" s="394">
        <v>42086</v>
      </c>
      <c r="D51" s="395"/>
      <c r="E51" s="378" t="s">
        <v>156</v>
      </c>
      <c r="F51" s="396" t="s">
        <v>311</v>
      </c>
      <c r="G51" s="397" t="s">
        <v>313</v>
      </c>
      <c r="H51" s="396" t="s">
        <v>331</v>
      </c>
      <c r="I51" s="398" t="s">
        <v>94</v>
      </c>
      <c r="J51" s="399"/>
      <c r="K51" s="396">
        <v>1558260</v>
      </c>
      <c r="L51" s="395">
        <f t="shared" si="1"/>
        <v>4226972372</v>
      </c>
      <c r="M51" s="38"/>
    </row>
    <row r="52" spans="1:13" ht="18.75" customHeight="1">
      <c r="A52" s="386" t="str">
        <f t="shared" si="0"/>
        <v>C21</v>
      </c>
      <c r="B52" s="394">
        <v>42086</v>
      </c>
      <c r="C52" s="394">
        <v>42086</v>
      </c>
      <c r="D52" s="395"/>
      <c r="E52" s="378" t="s">
        <v>156</v>
      </c>
      <c r="F52" s="396" t="s">
        <v>312</v>
      </c>
      <c r="G52" s="397" t="s">
        <v>313</v>
      </c>
      <c r="H52" s="396" t="s">
        <v>331</v>
      </c>
      <c r="I52" s="398" t="s">
        <v>35</v>
      </c>
      <c r="J52" s="399"/>
      <c r="K52" s="396">
        <v>155826</v>
      </c>
      <c r="L52" s="395">
        <f t="shared" si="1"/>
        <v>4226816546</v>
      </c>
      <c r="M52" s="38"/>
    </row>
    <row r="53" spans="1:13" ht="18.75" customHeight="1">
      <c r="A53" s="386" t="str">
        <f t="shared" si="0"/>
        <v>C22</v>
      </c>
      <c r="B53" s="394">
        <v>42086</v>
      </c>
      <c r="C53" s="394">
        <v>42086</v>
      </c>
      <c r="D53" s="395"/>
      <c r="E53" s="378" t="s">
        <v>157</v>
      </c>
      <c r="F53" s="396" t="s">
        <v>45</v>
      </c>
      <c r="G53" s="397" t="s">
        <v>205</v>
      </c>
      <c r="H53" s="396" t="s">
        <v>349</v>
      </c>
      <c r="I53" s="398" t="s">
        <v>94</v>
      </c>
      <c r="J53" s="399"/>
      <c r="K53" s="396">
        <v>5000000</v>
      </c>
      <c r="L53" s="395">
        <f t="shared" si="1"/>
        <v>4221816546</v>
      </c>
      <c r="M53" s="38"/>
    </row>
    <row r="54" spans="1:13" ht="18.75" customHeight="1">
      <c r="A54" s="386" t="str">
        <f t="shared" si="0"/>
        <v>C22</v>
      </c>
      <c r="B54" s="394">
        <v>42086</v>
      </c>
      <c r="C54" s="394">
        <v>42086</v>
      </c>
      <c r="D54" s="395"/>
      <c r="E54" s="378" t="s">
        <v>157</v>
      </c>
      <c r="F54" s="396" t="s">
        <v>348</v>
      </c>
      <c r="G54" s="397" t="s">
        <v>205</v>
      </c>
      <c r="H54" s="396" t="s">
        <v>349</v>
      </c>
      <c r="I54" s="398" t="s">
        <v>35</v>
      </c>
      <c r="J54" s="399"/>
      <c r="K54" s="396">
        <v>500000</v>
      </c>
      <c r="L54" s="395">
        <f t="shared" si="1"/>
        <v>4221316546</v>
      </c>
      <c r="M54" s="38"/>
    </row>
    <row r="55" spans="1:13" ht="18" customHeight="1">
      <c r="A55" s="386" t="str">
        <f t="shared" si="0"/>
        <v>C23</v>
      </c>
      <c r="B55" s="394">
        <v>42086</v>
      </c>
      <c r="C55" s="394">
        <v>42086</v>
      </c>
      <c r="D55" s="395"/>
      <c r="E55" s="378" t="s">
        <v>158</v>
      </c>
      <c r="F55" s="396" t="s">
        <v>332</v>
      </c>
      <c r="G55" s="396"/>
      <c r="H55" s="396" t="s">
        <v>335</v>
      </c>
      <c r="I55" s="398" t="s">
        <v>334</v>
      </c>
      <c r="J55" s="399"/>
      <c r="K55" s="399">
        <v>570000000</v>
      </c>
      <c r="L55" s="395">
        <f t="shared" si="1"/>
        <v>3651316546</v>
      </c>
      <c r="M55" s="38"/>
    </row>
    <row r="56" spans="1:13" ht="18.75" customHeight="1">
      <c r="A56" s="386" t="str">
        <f t="shared" si="0"/>
        <v>T06</v>
      </c>
      <c r="B56" s="394">
        <v>42087</v>
      </c>
      <c r="C56" s="394">
        <v>42087</v>
      </c>
      <c r="D56" s="395" t="s">
        <v>44</v>
      </c>
      <c r="E56" s="378"/>
      <c r="F56" s="396" t="s">
        <v>62</v>
      </c>
      <c r="G56" s="396"/>
      <c r="H56" s="396" t="s">
        <v>187</v>
      </c>
      <c r="I56" s="398" t="s">
        <v>36</v>
      </c>
      <c r="J56" s="399">
        <v>768000000</v>
      </c>
      <c r="K56" s="396"/>
      <c r="L56" s="395">
        <f t="shared" si="1"/>
        <v>4419316546</v>
      </c>
      <c r="M56" s="38"/>
    </row>
    <row r="57" spans="1:13" ht="18.75" customHeight="1">
      <c r="A57" s="386" t="str">
        <f t="shared" si="0"/>
        <v>C24</v>
      </c>
      <c r="B57" s="394">
        <v>42088</v>
      </c>
      <c r="C57" s="394">
        <v>42088</v>
      </c>
      <c r="D57" s="395"/>
      <c r="E57" s="378" t="s">
        <v>159</v>
      </c>
      <c r="F57" s="396" t="s">
        <v>314</v>
      </c>
      <c r="G57" s="397" t="s">
        <v>316</v>
      </c>
      <c r="H57" s="396" t="s">
        <v>318</v>
      </c>
      <c r="I57" s="398" t="s">
        <v>93</v>
      </c>
      <c r="J57" s="399"/>
      <c r="K57" s="396">
        <v>50384</v>
      </c>
      <c r="L57" s="395">
        <f t="shared" si="1"/>
        <v>4419266162</v>
      </c>
      <c r="M57" s="38"/>
    </row>
    <row r="58" spans="1:13" ht="18.75" customHeight="1">
      <c r="A58" s="386" t="str">
        <f t="shared" si="0"/>
        <v>C24</v>
      </c>
      <c r="B58" s="394">
        <v>42088</v>
      </c>
      <c r="C58" s="394">
        <v>42088</v>
      </c>
      <c r="D58" s="395"/>
      <c r="E58" s="378" t="s">
        <v>159</v>
      </c>
      <c r="F58" s="396" t="s">
        <v>315</v>
      </c>
      <c r="G58" s="397" t="s">
        <v>316</v>
      </c>
      <c r="H58" s="396" t="s">
        <v>318</v>
      </c>
      <c r="I58" s="398" t="s">
        <v>35</v>
      </c>
      <c r="J58" s="399"/>
      <c r="K58" s="396">
        <v>5038</v>
      </c>
      <c r="L58" s="395">
        <f t="shared" si="1"/>
        <v>4419261124</v>
      </c>
      <c r="M58" s="38"/>
    </row>
    <row r="59" spans="1:13" ht="18.75" customHeight="1">
      <c r="A59" s="386" t="str">
        <f t="shared" si="0"/>
        <v>C25</v>
      </c>
      <c r="B59" s="394">
        <v>42089</v>
      </c>
      <c r="C59" s="394">
        <v>42089</v>
      </c>
      <c r="D59" s="395"/>
      <c r="E59" s="378" t="s">
        <v>160</v>
      </c>
      <c r="F59" s="396" t="s">
        <v>281</v>
      </c>
      <c r="G59" s="397" t="s">
        <v>319</v>
      </c>
      <c r="H59" s="396" t="s">
        <v>284</v>
      </c>
      <c r="I59" s="398" t="s">
        <v>93</v>
      </c>
      <c r="J59" s="399"/>
      <c r="K59" s="396">
        <v>3989525</v>
      </c>
      <c r="L59" s="395">
        <f t="shared" si="1"/>
        <v>4415271599</v>
      </c>
      <c r="M59" s="38"/>
    </row>
    <row r="60" spans="1:13" ht="18.75" customHeight="1">
      <c r="A60" s="386" t="str">
        <f t="shared" si="0"/>
        <v>C25</v>
      </c>
      <c r="B60" s="394">
        <v>42089</v>
      </c>
      <c r="C60" s="394">
        <v>42089</v>
      </c>
      <c r="D60" s="395"/>
      <c r="E60" s="378" t="s">
        <v>160</v>
      </c>
      <c r="F60" s="396" t="s">
        <v>282</v>
      </c>
      <c r="G60" s="397" t="s">
        <v>319</v>
      </c>
      <c r="H60" s="396" t="s">
        <v>284</v>
      </c>
      <c r="I60" s="398" t="s">
        <v>35</v>
      </c>
      <c r="J60" s="399"/>
      <c r="K60" s="396">
        <v>209849</v>
      </c>
      <c r="L60" s="395">
        <f t="shared" si="1"/>
        <v>4415061750</v>
      </c>
      <c r="M60" s="38"/>
    </row>
    <row r="61" spans="1:13" ht="18.75" customHeight="1">
      <c r="A61" s="386" t="str">
        <f t="shared" si="0"/>
        <v>C26</v>
      </c>
      <c r="B61" s="394">
        <v>42089</v>
      </c>
      <c r="C61" s="394">
        <v>42089</v>
      </c>
      <c r="D61" s="395"/>
      <c r="E61" s="378" t="s">
        <v>161</v>
      </c>
      <c r="F61" s="396" t="s">
        <v>285</v>
      </c>
      <c r="G61" s="397" t="s">
        <v>320</v>
      </c>
      <c r="H61" s="396" t="s">
        <v>284</v>
      </c>
      <c r="I61" s="398" t="s">
        <v>93</v>
      </c>
      <c r="J61" s="399"/>
      <c r="K61" s="396">
        <v>550000</v>
      </c>
      <c r="L61" s="395">
        <f t="shared" si="1"/>
        <v>4414511750</v>
      </c>
      <c r="M61" s="38"/>
    </row>
    <row r="62" spans="1:13" ht="18.75" customHeight="1">
      <c r="A62" s="386" t="str">
        <f t="shared" si="0"/>
        <v>C26</v>
      </c>
      <c r="B62" s="394">
        <v>42089</v>
      </c>
      <c r="C62" s="394">
        <v>42089</v>
      </c>
      <c r="D62" s="395"/>
      <c r="E62" s="378" t="s">
        <v>161</v>
      </c>
      <c r="F62" s="396" t="s">
        <v>286</v>
      </c>
      <c r="G62" s="397" t="s">
        <v>320</v>
      </c>
      <c r="H62" s="396" t="s">
        <v>284</v>
      </c>
      <c r="I62" s="398" t="s">
        <v>35</v>
      </c>
      <c r="J62" s="399"/>
      <c r="K62" s="396">
        <v>28930</v>
      </c>
      <c r="L62" s="395">
        <f t="shared" si="1"/>
        <v>4414482820</v>
      </c>
      <c r="M62" s="38"/>
    </row>
    <row r="63" spans="1:13" ht="18.75" customHeight="1">
      <c r="A63" s="386" t="str">
        <f t="shared" si="0"/>
        <v>C27</v>
      </c>
      <c r="B63" s="394">
        <v>42090</v>
      </c>
      <c r="C63" s="394">
        <v>42090</v>
      </c>
      <c r="D63" s="395"/>
      <c r="E63" s="378" t="s">
        <v>162</v>
      </c>
      <c r="F63" s="396" t="s">
        <v>50</v>
      </c>
      <c r="G63" s="396" t="s">
        <v>322</v>
      </c>
      <c r="H63" s="396" t="s">
        <v>306</v>
      </c>
      <c r="I63" s="398" t="s">
        <v>94</v>
      </c>
      <c r="J63" s="399"/>
      <c r="K63" s="396">
        <v>3812110</v>
      </c>
      <c r="L63" s="395">
        <f t="shared" si="1"/>
        <v>4410670710</v>
      </c>
      <c r="M63" s="38"/>
    </row>
    <row r="64" spans="1:13" ht="18.75" customHeight="1">
      <c r="A64" s="386" t="str">
        <f t="shared" si="0"/>
        <v>C27</v>
      </c>
      <c r="B64" s="394">
        <v>42090</v>
      </c>
      <c r="C64" s="394">
        <v>42090</v>
      </c>
      <c r="D64" s="395"/>
      <c r="E64" s="378" t="s">
        <v>162</v>
      </c>
      <c r="F64" s="396" t="s">
        <v>56</v>
      </c>
      <c r="G64" s="396" t="s">
        <v>322</v>
      </c>
      <c r="H64" s="396" t="s">
        <v>306</v>
      </c>
      <c r="I64" s="398" t="s">
        <v>35</v>
      </c>
      <c r="J64" s="399"/>
      <c r="K64" s="396">
        <v>381210</v>
      </c>
      <c r="L64" s="395">
        <f t="shared" si="1"/>
        <v>4410289500</v>
      </c>
      <c r="M64" s="38"/>
    </row>
    <row r="65" spans="1:13" ht="18.75" customHeight="1">
      <c r="A65" s="386" t="str">
        <f t="shared" si="0"/>
        <v>C28</v>
      </c>
      <c r="B65" s="394">
        <v>42090</v>
      </c>
      <c r="C65" s="394">
        <v>42090</v>
      </c>
      <c r="D65" s="395"/>
      <c r="E65" s="378" t="s">
        <v>163</v>
      </c>
      <c r="F65" s="396" t="s">
        <v>323</v>
      </c>
      <c r="G65" s="397" t="s">
        <v>325</v>
      </c>
      <c r="H65" s="396" t="s">
        <v>326</v>
      </c>
      <c r="I65" s="398" t="s">
        <v>94</v>
      </c>
      <c r="J65" s="399"/>
      <c r="K65" s="396">
        <v>14400000</v>
      </c>
      <c r="L65" s="395">
        <f t="shared" si="1"/>
        <v>4395889500</v>
      </c>
      <c r="M65" s="38"/>
    </row>
    <row r="66" spans="1:13" ht="18.75" customHeight="1">
      <c r="A66" s="386" t="str">
        <f t="shared" si="0"/>
        <v>C28</v>
      </c>
      <c r="B66" s="394">
        <v>42090</v>
      </c>
      <c r="C66" s="394">
        <v>42090</v>
      </c>
      <c r="D66" s="395"/>
      <c r="E66" s="378" t="s">
        <v>163</v>
      </c>
      <c r="F66" s="396" t="s">
        <v>324</v>
      </c>
      <c r="G66" s="397" t="s">
        <v>325</v>
      </c>
      <c r="H66" s="396" t="s">
        <v>326</v>
      </c>
      <c r="I66" s="398" t="s">
        <v>35</v>
      </c>
      <c r="J66" s="399"/>
      <c r="K66" s="396">
        <v>1440000</v>
      </c>
      <c r="L66" s="395">
        <f t="shared" si="1"/>
        <v>4394449500</v>
      </c>
      <c r="M66" s="38"/>
    </row>
    <row r="67" spans="1:13" ht="18.75" customHeight="1">
      <c r="A67" s="386" t="str">
        <f t="shared" si="0"/>
        <v>T07</v>
      </c>
      <c r="B67" s="394">
        <v>42091</v>
      </c>
      <c r="C67" s="394">
        <v>42091</v>
      </c>
      <c r="D67" s="395" t="s">
        <v>59</v>
      </c>
      <c r="E67" s="378"/>
      <c r="F67" s="396" t="s">
        <v>62</v>
      </c>
      <c r="G67" s="396"/>
      <c r="H67" s="396" t="s">
        <v>187</v>
      </c>
      <c r="I67" s="398" t="s">
        <v>36</v>
      </c>
      <c r="J67" s="399">
        <v>450000000</v>
      </c>
      <c r="K67" s="396"/>
      <c r="L67" s="395">
        <f t="shared" si="1"/>
        <v>4844449500</v>
      </c>
      <c r="M67" s="38"/>
    </row>
    <row r="68" spans="1:13" ht="18.75" customHeight="1">
      <c r="A68" s="386" t="str">
        <f t="shared" si="0"/>
        <v>C29</v>
      </c>
      <c r="B68" s="394">
        <v>42091</v>
      </c>
      <c r="C68" s="394">
        <v>42091</v>
      </c>
      <c r="D68" s="395"/>
      <c r="E68" s="378" t="s">
        <v>164</v>
      </c>
      <c r="F68" s="396" t="s">
        <v>1271</v>
      </c>
      <c r="G68" s="396"/>
      <c r="H68" s="396" t="s">
        <v>260</v>
      </c>
      <c r="I68" s="398" t="s">
        <v>58</v>
      </c>
      <c r="J68" s="399"/>
      <c r="K68" s="396">
        <v>3000000000</v>
      </c>
      <c r="L68" s="395">
        <f t="shared" ref="L68:L71" si="2">IF(F68&lt;&gt;"",L67+J68-K68,0)</f>
        <v>1844449500</v>
      </c>
      <c r="M68" s="38"/>
    </row>
    <row r="69" spans="1:13" ht="18.75" customHeight="1">
      <c r="A69" s="386" t="str">
        <f t="shared" si="0"/>
        <v>C30</v>
      </c>
      <c r="B69" s="394">
        <v>42091</v>
      </c>
      <c r="C69" s="394">
        <v>42091</v>
      </c>
      <c r="D69" s="395"/>
      <c r="E69" s="378" t="s">
        <v>165</v>
      </c>
      <c r="F69" s="396" t="s">
        <v>314</v>
      </c>
      <c r="G69" s="397" t="s">
        <v>317</v>
      </c>
      <c r="H69" s="396" t="s">
        <v>318</v>
      </c>
      <c r="I69" s="398" t="s">
        <v>93</v>
      </c>
      <c r="J69" s="399"/>
      <c r="K69" s="396">
        <v>138919</v>
      </c>
      <c r="L69" s="395">
        <f t="shared" si="2"/>
        <v>1844310581</v>
      </c>
      <c r="M69" s="38"/>
    </row>
    <row r="70" spans="1:13" ht="18.75" customHeight="1">
      <c r="A70" s="386" t="str">
        <f t="shared" si="0"/>
        <v>C30</v>
      </c>
      <c r="B70" s="394">
        <v>42091</v>
      </c>
      <c r="C70" s="394">
        <v>42091</v>
      </c>
      <c r="D70" s="395"/>
      <c r="E70" s="378" t="s">
        <v>165</v>
      </c>
      <c r="F70" s="396" t="s">
        <v>315</v>
      </c>
      <c r="G70" s="397" t="s">
        <v>317</v>
      </c>
      <c r="H70" s="396" t="s">
        <v>318</v>
      </c>
      <c r="I70" s="398" t="s">
        <v>35</v>
      </c>
      <c r="J70" s="399"/>
      <c r="K70" s="396">
        <v>13892</v>
      </c>
      <c r="L70" s="395">
        <f t="shared" si="2"/>
        <v>1844296689</v>
      </c>
      <c r="M70" s="38"/>
    </row>
    <row r="71" spans="1:13" ht="18.75" customHeight="1">
      <c r="A71" s="386" t="str">
        <f t="shared" si="0"/>
        <v>C31</v>
      </c>
      <c r="B71" s="394">
        <v>42093</v>
      </c>
      <c r="C71" s="394">
        <v>42093</v>
      </c>
      <c r="D71" s="395"/>
      <c r="E71" s="378" t="s">
        <v>166</v>
      </c>
      <c r="F71" s="396" t="s">
        <v>327</v>
      </c>
      <c r="G71" s="397" t="s">
        <v>329</v>
      </c>
      <c r="H71" s="396" t="s">
        <v>330</v>
      </c>
      <c r="I71" s="398" t="s">
        <v>94</v>
      </c>
      <c r="J71" s="399"/>
      <c r="K71" s="396">
        <v>1260910</v>
      </c>
      <c r="L71" s="395">
        <f t="shared" si="2"/>
        <v>1843035779</v>
      </c>
      <c r="M71" s="38"/>
    </row>
    <row r="72" spans="1:13" ht="18.75" customHeight="1">
      <c r="A72" s="386" t="str">
        <f t="shared" si="0"/>
        <v>C31</v>
      </c>
      <c r="B72" s="394">
        <v>42093</v>
      </c>
      <c r="C72" s="394">
        <v>42093</v>
      </c>
      <c r="D72" s="395"/>
      <c r="E72" s="378" t="s">
        <v>166</v>
      </c>
      <c r="F72" s="396" t="s">
        <v>328</v>
      </c>
      <c r="G72" s="397" t="s">
        <v>329</v>
      </c>
      <c r="H72" s="396" t="s">
        <v>330</v>
      </c>
      <c r="I72" s="398" t="s">
        <v>35</v>
      </c>
      <c r="J72" s="399"/>
      <c r="K72" s="396">
        <v>126090</v>
      </c>
      <c r="L72" s="395">
        <f t="shared" si="1"/>
        <v>1842909689</v>
      </c>
      <c r="M72" s="38"/>
    </row>
    <row r="73" spans="1:13" ht="18.75" customHeight="1">
      <c r="A73" s="386" t="str">
        <f t="shared" si="0"/>
        <v>C32</v>
      </c>
      <c r="B73" s="394">
        <v>42094</v>
      </c>
      <c r="C73" s="394">
        <v>42094</v>
      </c>
      <c r="D73" s="395"/>
      <c r="E73" s="378" t="s">
        <v>167</v>
      </c>
      <c r="F73" s="396" t="s">
        <v>496</v>
      </c>
      <c r="G73" s="397" t="s">
        <v>498</v>
      </c>
      <c r="H73" s="396" t="s">
        <v>270</v>
      </c>
      <c r="I73" s="398" t="s">
        <v>94</v>
      </c>
      <c r="J73" s="399"/>
      <c r="K73" s="396">
        <v>1965454</v>
      </c>
      <c r="L73" s="395">
        <f t="shared" si="1"/>
        <v>1840944235</v>
      </c>
      <c r="M73" s="38"/>
    </row>
    <row r="74" spans="1:13" ht="18.75" customHeight="1">
      <c r="A74" s="386" t="str">
        <f t="shared" si="0"/>
        <v>C32</v>
      </c>
      <c r="B74" s="394">
        <v>42094</v>
      </c>
      <c r="C74" s="394">
        <v>42094</v>
      </c>
      <c r="D74" s="395"/>
      <c r="E74" s="378" t="s">
        <v>167</v>
      </c>
      <c r="F74" s="396" t="s">
        <v>497</v>
      </c>
      <c r="G74" s="397" t="s">
        <v>498</v>
      </c>
      <c r="H74" s="396" t="s">
        <v>270</v>
      </c>
      <c r="I74" s="398" t="s">
        <v>35</v>
      </c>
      <c r="J74" s="399"/>
      <c r="K74" s="396">
        <v>196545</v>
      </c>
      <c r="L74" s="395">
        <f t="shared" si="1"/>
        <v>1840747690</v>
      </c>
      <c r="M74" s="38"/>
    </row>
    <row r="75" spans="1:13" ht="18.75" customHeight="1">
      <c r="A75" s="386" t="str">
        <f t="shared" si="0"/>
        <v>C33</v>
      </c>
      <c r="B75" s="394">
        <v>42094</v>
      </c>
      <c r="C75" s="394">
        <v>42094</v>
      </c>
      <c r="D75" s="395"/>
      <c r="E75" s="378" t="s">
        <v>168</v>
      </c>
      <c r="F75" s="396" t="s">
        <v>500</v>
      </c>
      <c r="G75" s="397"/>
      <c r="H75" s="396" t="s">
        <v>502</v>
      </c>
      <c r="I75" s="398" t="s">
        <v>94</v>
      </c>
      <c r="J75" s="399"/>
      <c r="K75" s="396">
        <v>465450</v>
      </c>
      <c r="L75" s="395">
        <f t="shared" si="1"/>
        <v>1840282240</v>
      </c>
      <c r="M75" s="38"/>
    </row>
    <row r="76" spans="1:13" ht="18.75" customHeight="1">
      <c r="A76" s="386" t="str">
        <f t="shared" si="0"/>
        <v>C33</v>
      </c>
      <c r="B76" s="394">
        <v>42094</v>
      </c>
      <c r="C76" s="394">
        <v>42094</v>
      </c>
      <c r="D76" s="395"/>
      <c r="E76" s="378" t="s">
        <v>168</v>
      </c>
      <c r="F76" s="396" t="s">
        <v>499</v>
      </c>
      <c r="G76" s="397"/>
      <c r="H76" s="396" t="s">
        <v>502</v>
      </c>
      <c r="I76" s="398" t="s">
        <v>35</v>
      </c>
      <c r="J76" s="399"/>
      <c r="K76" s="396">
        <v>46545</v>
      </c>
      <c r="L76" s="395">
        <f t="shared" si="1"/>
        <v>1840235695</v>
      </c>
      <c r="M76" s="38"/>
    </row>
    <row r="77" spans="1:13" ht="18.75" customHeight="1">
      <c r="A77" s="386" t="str">
        <f t="shared" ref="A77:A81" si="3">D77&amp;E77</f>
        <v>C34</v>
      </c>
      <c r="B77" s="394">
        <v>42094</v>
      </c>
      <c r="C77" s="394">
        <v>42094</v>
      </c>
      <c r="D77" s="395"/>
      <c r="E77" s="378" t="s">
        <v>169</v>
      </c>
      <c r="F77" s="396" t="s">
        <v>500</v>
      </c>
      <c r="G77" s="397"/>
      <c r="H77" s="396" t="s">
        <v>501</v>
      </c>
      <c r="I77" s="398" t="s">
        <v>94</v>
      </c>
      <c r="J77" s="399"/>
      <c r="K77" s="396">
        <v>466360</v>
      </c>
      <c r="L77" s="395">
        <f t="shared" si="1"/>
        <v>1839769335</v>
      </c>
      <c r="M77" s="38"/>
    </row>
    <row r="78" spans="1:13" ht="18.75" customHeight="1">
      <c r="A78" s="386" t="str">
        <f t="shared" si="3"/>
        <v>C34</v>
      </c>
      <c r="B78" s="394">
        <v>42094</v>
      </c>
      <c r="C78" s="394">
        <v>42094</v>
      </c>
      <c r="D78" s="395"/>
      <c r="E78" s="378" t="s">
        <v>169</v>
      </c>
      <c r="F78" s="396" t="s">
        <v>499</v>
      </c>
      <c r="G78" s="397"/>
      <c r="H78" s="396" t="s">
        <v>501</v>
      </c>
      <c r="I78" s="398" t="s">
        <v>35</v>
      </c>
      <c r="J78" s="399"/>
      <c r="K78" s="396">
        <v>46637</v>
      </c>
      <c r="L78" s="395">
        <f t="shared" si="1"/>
        <v>1839722698</v>
      </c>
      <c r="M78" s="38"/>
    </row>
    <row r="79" spans="1:13" ht="18.75" customHeight="1">
      <c r="A79" s="386" t="str">
        <f t="shared" si="3"/>
        <v>C35</v>
      </c>
      <c r="B79" s="394">
        <v>42094</v>
      </c>
      <c r="C79" s="394">
        <v>42094</v>
      </c>
      <c r="D79" s="395"/>
      <c r="E79" s="378" t="s">
        <v>170</v>
      </c>
      <c r="F79" s="396" t="s">
        <v>623</v>
      </c>
      <c r="G79" s="397"/>
      <c r="H79" s="396" t="s">
        <v>501</v>
      </c>
      <c r="I79" s="398" t="s">
        <v>94</v>
      </c>
      <c r="J79" s="399"/>
      <c r="K79" s="396">
        <v>290000</v>
      </c>
      <c r="L79" s="395">
        <f t="shared" si="1"/>
        <v>1839432698</v>
      </c>
      <c r="M79" s="38"/>
    </row>
    <row r="80" spans="1:13" ht="18.75" customHeight="1">
      <c r="A80" s="386" t="str">
        <f t="shared" si="3"/>
        <v>C36</v>
      </c>
      <c r="B80" s="394">
        <v>42094</v>
      </c>
      <c r="C80" s="394">
        <v>42079</v>
      </c>
      <c r="D80" s="395"/>
      <c r="E80" s="378" t="s">
        <v>171</v>
      </c>
      <c r="F80" s="396" t="s">
        <v>669</v>
      </c>
      <c r="G80" s="397" t="s">
        <v>729</v>
      </c>
      <c r="H80" s="396" t="s">
        <v>639</v>
      </c>
      <c r="I80" s="398" t="s">
        <v>34</v>
      </c>
      <c r="J80" s="399"/>
      <c r="K80" s="396">
        <v>17483290</v>
      </c>
      <c r="L80" s="395">
        <f t="shared" si="1"/>
        <v>1821949408</v>
      </c>
      <c r="M80" s="38"/>
    </row>
    <row r="81" spans="1:13" ht="18.75" customHeight="1">
      <c r="A81" s="386" t="str">
        <f t="shared" si="3"/>
        <v>C37</v>
      </c>
      <c r="B81" s="394">
        <v>42094</v>
      </c>
      <c r="C81" s="394">
        <v>42094</v>
      </c>
      <c r="D81" s="395"/>
      <c r="E81" s="378" t="s">
        <v>172</v>
      </c>
      <c r="F81" s="396" t="s">
        <v>1398</v>
      </c>
      <c r="G81" s="396"/>
      <c r="H81" s="396" t="s">
        <v>261</v>
      </c>
      <c r="I81" s="398" t="s">
        <v>37</v>
      </c>
      <c r="J81" s="399"/>
      <c r="K81" s="396">
        <v>154921175</v>
      </c>
      <c r="L81" s="395">
        <f t="shared" ref="L81" si="4">IF(F81&lt;&gt;"",L80+J81-K81,0)</f>
        <v>1667028233</v>
      </c>
      <c r="M81" s="38"/>
    </row>
    <row r="82" spans="1:13" ht="18" customHeight="1">
      <c r="A82" s="386" t="str">
        <f>D82&amp;E82</f>
        <v/>
      </c>
      <c r="B82" s="394"/>
      <c r="C82" s="394"/>
      <c r="D82" s="395"/>
      <c r="E82" s="378"/>
      <c r="F82" s="396"/>
      <c r="G82" s="396"/>
      <c r="H82" s="396"/>
      <c r="I82" s="398"/>
      <c r="J82" s="399"/>
      <c r="K82" s="396"/>
      <c r="L82" s="395"/>
      <c r="M82" s="38"/>
    </row>
    <row r="83" spans="1:13" s="400" customFormat="1" ht="18" customHeight="1">
      <c r="B83" s="401"/>
      <c r="C83" s="401"/>
      <c r="D83" s="401"/>
      <c r="E83" s="401"/>
      <c r="F83" s="401" t="s">
        <v>29</v>
      </c>
      <c r="G83" s="401"/>
      <c r="H83" s="401"/>
      <c r="I83" s="402" t="s">
        <v>30</v>
      </c>
      <c r="J83" s="401">
        <f>SUM(J13:J82)</f>
        <v>6240000000</v>
      </c>
      <c r="K83" s="401">
        <f>SUM(K13:K82)</f>
        <v>6255371378</v>
      </c>
      <c r="L83" s="402" t="s">
        <v>30</v>
      </c>
      <c r="M83" s="402" t="s">
        <v>30</v>
      </c>
    </row>
    <row r="84" spans="1:13" s="400" customFormat="1" ht="18" customHeight="1">
      <c r="B84" s="403"/>
      <c r="C84" s="403"/>
      <c r="D84" s="403"/>
      <c r="E84" s="403"/>
      <c r="F84" s="403" t="s">
        <v>31</v>
      </c>
      <c r="G84" s="403"/>
      <c r="H84" s="403"/>
      <c r="I84" s="404" t="s">
        <v>30</v>
      </c>
      <c r="J84" s="404" t="s">
        <v>30</v>
      </c>
      <c r="K84" s="404" t="s">
        <v>30</v>
      </c>
      <c r="L84" s="403">
        <f>L12+J83-K83</f>
        <v>1667028233</v>
      </c>
      <c r="M84" s="404" t="s">
        <v>30</v>
      </c>
    </row>
    <row r="86" spans="1:13">
      <c r="B86" s="405" t="s">
        <v>47</v>
      </c>
    </row>
    <row r="87" spans="1:13">
      <c r="B87" s="405" t="s">
        <v>928</v>
      </c>
    </row>
    <row r="88" spans="1:13">
      <c r="L88" s="406" t="s">
        <v>931</v>
      </c>
    </row>
    <row r="89" spans="1:13" s="407" customFormat="1" ht="14.25">
      <c r="C89" s="407" t="s">
        <v>33</v>
      </c>
      <c r="F89" s="407" t="s">
        <v>13</v>
      </c>
      <c r="L89" s="407" t="s">
        <v>14</v>
      </c>
    </row>
    <row r="90" spans="1:13" s="408" customFormat="1">
      <c r="C90" s="408" t="s">
        <v>15</v>
      </c>
      <c r="F90" s="408" t="s">
        <v>15</v>
      </c>
      <c r="L90" s="408" t="s">
        <v>16</v>
      </c>
    </row>
    <row r="91" spans="1:13" s="408" customFormat="1"/>
    <row r="92" spans="1:13" s="408" customFormat="1"/>
    <row r="93" spans="1:13" s="408" customFormat="1"/>
    <row r="96" spans="1:13" s="419" customFormat="1">
      <c r="C96" s="420" t="s">
        <v>1388</v>
      </c>
      <c r="L96" s="420" t="s">
        <v>1389</v>
      </c>
    </row>
    <row r="103" spans="12:13">
      <c r="L103" s="421"/>
      <c r="M103" s="421"/>
    </row>
    <row r="104" spans="12:13">
      <c r="L104" s="421"/>
      <c r="M104" s="421"/>
    </row>
    <row r="105" spans="12:13">
      <c r="L105" s="421"/>
      <c r="M105" s="421"/>
    </row>
    <row r="106" spans="12:13">
      <c r="L106" s="421"/>
      <c r="M106" s="421"/>
    </row>
    <row r="107" spans="12:13">
      <c r="L107" s="421"/>
      <c r="M107" s="421"/>
    </row>
    <row r="108" spans="12:13">
      <c r="L108" s="421"/>
      <c r="M108" s="421"/>
    </row>
    <row r="109" spans="12:13">
      <c r="L109" s="421"/>
      <c r="M109" s="421"/>
    </row>
    <row r="110" spans="12:13">
      <c r="L110" s="421"/>
      <c r="M110" s="421"/>
    </row>
    <row r="111" spans="12:13">
      <c r="L111" s="421"/>
      <c r="M111" s="421"/>
    </row>
    <row r="112" spans="12:13">
      <c r="L112" s="421"/>
      <c r="M112" s="421"/>
    </row>
    <row r="113" spans="11:13">
      <c r="L113" s="421"/>
      <c r="M113" s="421"/>
    </row>
    <row r="114" spans="11:13">
      <c r="L114" s="421"/>
      <c r="M114" s="421"/>
    </row>
    <row r="115" spans="11:13">
      <c r="L115" s="421"/>
      <c r="M115" s="421"/>
    </row>
    <row r="116" spans="11:13">
      <c r="L116" s="421"/>
      <c r="M116" s="421"/>
    </row>
    <row r="117" spans="11:13">
      <c r="L117" s="421"/>
      <c r="M117" s="421"/>
    </row>
    <row r="118" spans="11:13">
      <c r="L118" s="421"/>
      <c r="M118" s="421"/>
    </row>
    <row r="119" spans="11:13">
      <c r="L119" s="421"/>
      <c r="M119" s="421"/>
    </row>
    <row r="120" spans="11:13">
      <c r="L120" s="421"/>
      <c r="M120" s="421"/>
    </row>
    <row r="121" spans="11:13">
      <c r="L121" s="421"/>
      <c r="M121" s="421"/>
    </row>
    <row r="122" spans="11:13">
      <c r="L122" s="421"/>
      <c r="M122" s="421"/>
    </row>
    <row r="123" spans="11:13">
      <c r="K123" s="421"/>
      <c r="L123" s="421"/>
      <c r="M123" s="421"/>
    </row>
    <row r="124" spans="11:13">
      <c r="L124" s="421"/>
      <c r="M124" s="421"/>
    </row>
    <row r="125" spans="11:13">
      <c r="L125" s="421"/>
      <c r="M125" s="421"/>
    </row>
    <row r="126" spans="11:13">
      <c r="L126" s="421"/>
      <c r="M126" s="421"/>
    </row>
    <row r="127" spans="11:13">
      <c r="L127" s="421"/>
      <c r="M127" s="421"/>
    </row>
    <row r="128" spans="11:13">
      <c r="L128" s="421"/>
      <c r="M128" s="421"/>
    </row>
    <row r="129" spans="12:13">
      <c r="L129" s="421"/>
      <c r="M129" s="421"/>
    </row>
    <row r="130" spans="12:13">
      <c r="L130" s="421"/>
      <c r="M130" s="421"/>
    </row>
    <row r="131" spans="12:13">
      <c r="L131" s="421"/>
      <c r="M131" s="421"/>
    </row>
    <row r="132" spans="12:13">
      <c r="L132" s="421"/>
      <c r="M132" s="421"/>
    </row>
    <row r="133" spans="12:13">
      <c r="L133" s="421"/>
      <c r="M133" s="421"/>
    </row>
    <row r="134" spans="12:13">
      <c r="L134" s="421"/>
      <c r="M134" s="421"/>
    </row>
    <row r="135" spans="12:13">
      <c r="L135" s="421"/>
      <c r="M135" s="421"/>
    </row>
    <row r="136" spans="12:13">
      <c r="L136" s="421"/>
      <c r="M136" s="421"/>
    </row>
    <row r="137" spans="12:13">
      <c r="L137" s="421"/>
      <c r="M137" s="421"/>
    </row>
    <row r="138" spans="12:13">
      <c r="L138" s="421"/>
      <c r="M138" s="421"/>
    </row>
    <row r="139" spans="12:13">
      <c r="L139" s="421"/>
      <c r="M139" s="421"/>
    </row>
    <row r="140" spans="12:13">
      <c r="L140" s="421"/>
      <c r="M140" s="421"/>
    </row>
    <row r="141" spans="12:13">
      <c r="L141" s="421"/>
      <c r="M141" s="421"/>
    </row>
    <row r="142" spans="12:13">
      <c r="L142" s="421"/>
      <c r="M142" s="421"/>
    </row>
    <row r="143" spans="12:13">
      <c r="L143" s="421"/>
      <c r="M143" s="421"/>
    </row>
    <row r="144" spans="12:13">
      <c r="L144" s="421"/>
      <c r="M144" s="421"/>
    </row>
    <row r="145" spans="11:13">
      <c r="L145" s="421"/>
      <c r="M145" s="421"/>
    </row>
    <row r="146" spans="11:13">
      <c r="L146" s="421"/>
      <c r="M146" s="421"/>
    </row>
    <row r="147" spans="11:13">
      <c r="L147" s="421"/>
      <c r="M147" s="421"/>
    </row>
    <row r="148" spans="11:13">
      <c r="L148" s="421"/>
      <c r="M148" s="421"/>
    </row>
    <row r="149" spans="11:13">
      <c r="L149" s="421"/>
      <c r="M149" s="421"/>
    </row>
    <row r="150" spans="11:13">
      <c r="K150" s="421"/>
      <c r="L150" s="421"/>
      <c r="M150" s="421"/>
    </row>
  </sheetData>
  <autoFilter ref="A11:P84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19 H28 H41 H55">
    <cfRule type="expression" dxfId="25" priority="1" stopIfTrue="1">
      <formula>$C19&lt;&gt;""</formula>
    </cfRule>
  </conditionalFormatting>
  <printOptions horizontalCentered="1"/>
  <pageMargins left="0.9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31"/>
  </sheetPr>
  <dimension ref="A1:X143"/>
  <sheetViews>
    <sheetView topLeftCell="B8" zoomScale="90" zoomScaleNormal="90" workbookViewId="0">
      <pane ySplit="5" topLeftCell="A100" activePane="bottomLeft" state="frozen"/>
      <selection activeCell="B8" sqref="B8"/>
      <selection pane="bottomLeft" activeCell="B117" sqref="A117:XFD117"/>
    </sheetView>
  </sheetViews>
  <sheetFormatPr defaultRowHeight="15"/>
  <cols>
    <col min="1" max="1" width="6.42578125" style="6" hidden="1" customWidth="1"/>
    <col min="2" max="3" width="9.28515625" style="6" customWidth="1"/>
    <col min="4" max="5" width="6.7109375" style="6" customWidth="1"/>
    <col min="6" max="6" width="36.5703125" style="6" customWidth="1"/>
    <col min="7" max="7" width="12.42578125" style="6" hidden="1" customWidth="1"/>
    <col min="8" max="8" width="36.5703125" style="6" hidden="1" customWidth="1"/>
    <col min="9" max="9" width="6.85546875" style="6" customWidth="1"/>
    <col min="10" max="11" width="15.140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" width="9.140625" style="6"/>
    <col min="17" max="17" width="12.42578125" style="6" customWidth="1"/>
    <col min="18" max="18" width="12.140625" style="6" customWidth="1"/>
    <col min="19" max="21" width="9.140625" style="6"/>
    <col min="22" max="23" width="11.7109375" style="6" bestFit="1" customWidth="1"/>
    <col min="24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07"/>
      <c r="H1" s="10"/>
      <c r="J1" s="460" t="s">
        <v>132</v>
      </c>
      <c r="K1" s="460"/>
      <c r="L1" s="460"/>
      <c r="M1" s="460"/>
      <c r="N1" s="317"/>
    </row>
    <row r="2" spans="1:14" s="11" customFormat="1" ht="16.5" customHeight="1">
      <c r="B2" s="1" t="str">
        <f>'01'!B2</f>
        <v>Địa chỉ: Lô A14, Đường 4A - KCN Hải Sơn, Đức Hòa, Long An</v>
      </c>
      <c r="C2" s="317"/>
      <c r="D2" s="317"/>
      <c r="E2" s="317"/>
      <c r="F2" s="317"/>
      <c r="G2" s="308"/>
      <c r="H2" s="317"/>
      <c r="J2" s="461" t="s">
        <v>133</v>
      </c>
      <c r="K2" s="461"/>
      <c r="L2" s="461"/>
      <c r="M2" s="461"/>
      <c r="N2" s="318"/>
    </row>
    <row r="3" spans="1:14" s="11" customFormat="1" ht="16.5" customHeight="1">
      <c r="B3" s="9"/>
      <c r="C3" s="317"/>
      <c r="D3" s="14"/>
      <c r="E3" s="14"/>
      <c r="F3" s="317"/>
      <c r="G3" s="308"/>
      <c r="H3" s="317"/>
      <c r="J3" s="461"/>
      <c r="K3" s="461"/>
      <c r="L3" s="461"/>
      <c r="M3" s="461"/>
      <c r="N3" s="318"/>
    </row>
    <row r="4" spans="1:14" s="11" customFormat="1" ht="6.75" customHeight="1">
      <c r="B4" s="317"/>
      <c r="C4" s="317"/>
      <c r="D4" s="317"/>
      <c r="E4" s="317"/>
      <c r="F4" s="317"/>
      <c r="G4" s="308"/>
      <c r="H4" s="317"/>
      <c r="J4" s="318"/>
      <c r="K4" s="318"/>
      <c r="L4" s="318"/>
      <c r="M4" s="318"/>
      <c r="N4" s="318"/>
    </row>
    <row r="5" spans="1:14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319"/>
    </row>
    <row r="6" spans="1:14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  <c r="N6" s="321"/>
    </row>
    <row r="7" spans="1:14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  <c r="N7" s="321"/>
    </row>
    <row r="8" spans="1:14">
      <c r="B8" s="15"/>
      <c r="L8" s="15" t="s">
        <v>19</v>
      </c>
    </row>
    <row r="9" spans="1:14" ht="30" customHeight="1">
      <c r="B9" s="463" t="s">
        <v>20</v>
      </c>
      <c r="C9" s="463" t="s">
        <v>21</v>
      </c>
      <c r="D9" s="463" t="s">
        <v>2</v>
      </c>
      <c r="E9" s="463"/>
      <c r="F9" s="463" t="s">
        <v>3</v>
      </c>
      <c r="G9" s="474" t="s">
        <v>134</v>
      </c>
      <c r="H9" s="464" t="s">
        <v>135</v>
      </c>
      <c r="I9" s="463" t="s">
        <v>22</v>
      </c>
      <c r="J9" s="463" t="s">
        <v>23</v>
      </c>
      <c r="K9" s="463"/>
      <c r="L9" s="463" t="s">
        <v>24</v>
      </c>
      <c r="M9" s="463" t="s">
        <v>4</v>
      </c>
      <c r="N9" s="285"/>
    </row>
    <row r="10" spans="1:14" ht="20.25" customHeight="1">
      <c r="B10" s="463"/>
      <c r="C10" s="463"/>
      <c r="D10" s="320" t="s">
        <v>5</v>
      </c>
      <c r="E10" s="320" t="s">
        <v>6</v>
      </c>
      <c r="F10" s="463"/>
      <c r="G10" s="475"/>
      <c r="H10" s="465"/>
      <c r="I10" s="463"/>
      <c r="J10" s="320" t="s">
        <v>25</v>
      </c>
      <c r="K10" s="320" t="s">
        <v>26</v>
      </c>
      <c r="L10" s="463"/>
      <c r="M10" s="463"/>
      <c r="N10" s="285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09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286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10"/>
      <c r="H12" s="29"/>
      <c r="I12" s="30"/>
      <c r="J12" s="31"/>
      <c r="K12" s="29"/>
      <c r="L12" s="37">
        <f>'03'!L84</f>
        <v>1667028233</v>
      </c>
      <c r="M12" s="29"/>
      <c r="N12" s="287"/>
    </row>
    <row r="13" spans="1:14" ht="19.5" customHeight="1">
      <c r="A13" s="6" t="str">
        <f t="shared" ref="A13:A76" si="0">D13&amp;E13</f>
        <v>C01</v>
      </c>
      <c r="B13" s="3">
        <v>42095</v>
      </c>
      <c r="C13" s="3">
        <v>42038</v>
      </c>
      <c r="D13" s="4"/>
      <c r="E13" s="20" t="s">
        <v>136</v>
      </c>
      <c r="F13" s="5" t="s">
        <v>605</v>
      </c>
      <c r="G13" s="311" t="s">
        <v>607</v>
      </c>
      <c r="H13" s="5" t="s">
        <v>608</v>
      </c>
      <c r="I13" s="26" t="s">
        <v>94</v>
      </c>
      <c r="J13" s="19"/>
      <c r="K13" s="5">
        <f>445455+495455+445455+495455</f>
        <v>1881820</v>
      </c>
      <c r="L13" s="4">
        <f t="shared" ref="L13:L44" si="1">IF(F13&lt;&gt;"",L12+J13-K13,0)</f>
        <v>1665146413</v>
      </c>
      <c r="M13" s="18"/>
      <c r="N13" s="288"/>
    </row>
    <row r="14" spans="1:14" ht="19.5" customHeight="1">
      <c r="A14" s="6" t="str">
        <f t="shared" si="0"/>
        <v>C01</v>
      </c>
      <c r="B14" s="3">
        <v>42095</v>
      </c>
      <c r="C14" s="3">
        <v>42038</v>
      </c>
      <c r="D14" s="4"/>
      <c r="E14" s="20" t="s">
        <v>136</v>
      </c>
      <c r="F14" s="5" t="s">
        <v>606</v>
      </c>
      <c r="G14" s="311" t="s">
        <v>607</v>
      </c>
      <c r="H14" s="5" t="s">
        <v>608</v>
      </c>
      <c r="I14" s="26" t="s">
        <v>35</v>
      </c>
      <c r="J14" s="19"/>
      <c r="K14" s="5">
        <f>44545+49545+44545+49545</f>
        <v>188180</v>
      </c>
      <c r="L14" s="4">
        <f t="shared" si="1"/>
        <v>1664958233</v>
      </c>
      <c r="M14" s="18"/>
      <c r="N14" s="288"/>
    </row>
    <row r="15" spans="1:14" ht="19.5" customHeight="1">
      <c r="A15" s="6" t="str">
        <f t="shared" si="0"/>
        <v>C01</v>
      </c>
      <c r="B15" s="3">
        <v>42095</v>
      </c>
      <c r="C15" s="3">
        <v>42038</v>
      </c>
      <c r="D15" s="4"/>
      <c r="E15" s="20" t="s">
        <v>136</v>
      </c>
      <c r="F15" s="5" t="s">
        <v>609</v>
      </c>
      <c r="G15" s="311" t="s">
        <v>610</v>
      </c>
      <c r="H15" s="5" t="s">
        <v>611</v>
      </c>
      <c r="I15" s="26" t="s">
        <v>94</v>
      </c>
      <c r="J15" s="19"/>
      <c r="K15" s="5">
        <v>7200000</v>
      </c>
      <c r="L15" s="4">
        <f t="shared" si="1"/>
        <v>1657758233</v>
      </c>
      <c r="M15" s="18"/>
      <c r="N15" s="288"/>
    </row>
    <row r="16" spans="1:14" ht="19.5" customHeight="1">
      <c r="A16" s="6" t="str">
        <f t="shared" si="0"/>
        <v>C01</v>
      </c>
      <c r="B16" s="3">
        <v>42095</v>
      </c>
      <c r="C16" s="3">
        <v>42038</v>
      </c>
      <c r="D16" s="4"/>
      <c r="E16" s="20" t="s">
        <v>136</v>
      </c>
      <c r="F16" s="5" t="s">
        <v>612</v>
      </c>
      <c r="G16" s="311" t="s">
        <v>610</v>
      </c>
      <c r="H16" s="5" t="s">
        <v>611</v>
      </c>
      <c r="I16" s="26" t="s">
        <v>35</v>
      </c>
      <c r="J16" s="19"/>
      <c r="K16" s="5">
        <v>720000</v>
      </c>
      <c r="L16" s="4">
        <f t="shared" si="1"/>
        <v>1657038233</v>
      </c>
      <c r="M16" s="18"/>
      <c r="N16" s="288"/>
    </row>
    <row r="17" spans="1:14" ht="19.5" customHeight="1">
      <c r="A17" s="6" t="str">
        <f t="shared" si="0"/>
        <v>C02</v>
      </c>
      <c r="B17" s="3">
        <v>42095</v>
      </c>
      <c r="C17" s="3">
        <v>42094</v>
      </c>
      <c r="D17" s="4"/>
      <c r="E17" s="20" t="s">
        <v>137</v>
      </c>
      <c r="F17" s="5" t="s">
        <v>50</v>
      </c>
      <c r="G17" s="311" t="s">
        <v>503</v>
      </c>
      <c r="H17" s="5" t="s">
        <v>192</v>
      </c>
      <c r="I17" s="26" t="s">
        <v>94</v>
      </c>
      <c r="J17" s="19"/>
      <c r="K17" s="5">
        <v>235636</v>
      </c>
      <c r="L17" s="4">
        <f t="shared" si="1"/>
        <v>1656802597</v>
      </c>
      <c r="M17" s="18"/>
      <c r="N17" s="288"/>
    </row>
    <row r="18" spans="1:14" ht="19.5" customHeight="1">
      <c r="A18" s="6" t="str">
        <f t="shared" si="0"/>
        <v>C02</v>
      </c>
      <c r="B18" s="3">
        <v>42095</v>
      </c>
      <c r="C18" s="3">
        <v>42094</v>
      </c>
      <c r="D18" s="4"/>
      <c r="E18" s="20" t="s">
        <v>137</v>
      </c>
      <c r="F18" s="5" t="s">
        <v>53</v>
      </c>
      <c r="G18" s="311" t="s">
        <v>503</v>
      </c>
      <c r="H18" s="5" t="s">
        <v>192</v>
      </c>
      <c r="I18" s="26" t="s">
        <v>54</v>
      </c>
      <c r="J18" s="19"/>
      <c r="K18" s="5">
        <v>2000336</v>
      </c>
      <c r="L18" s="4">
        <f t="shared" si="1"/>
        <v>1654802261</v>
      </c>
      <c r="M18" s="18"/>
      <c r="N18" s="288"/>
    </row>
    <row r="19" spans="1:14" ht="19.5" customHeight="1">
      <c r="A19" s="6" t="str">
        <f t="shared" si="0"/>
        <v>C02</v>
      </c>
      <c r="B19" s="3">
        <v>42095</v>
      </c>
      <c r="C19" s="3">
        <v>42094</v>
      </c>
      <c r="D19" s="4"/>
      <c r="E19" s="20" t="s">
        <v>137</v>
      </c>
      <c r="F19" s="5" t="s">
        <v>572</v>
      </c>
      <c r="G19" s="311" t="s">
        <v>503</v>
      </c>
      <c r="H19" s="5" t="s">
        <v>192</v>
      </c>
      <c r="I19" s="26" t="s">
        <v>35</v>
      </c>
      <c r="J19" s="19"/>
      <c r="K19" s="5">
        <v>223598</v>
      </c>
      <c r="L19" s="4">
        <f t="shared" si="1"/>
        <v>1654578663</v>
      </c>
      <c r="M19" s="18"/>
      <c r="N19" s="288"/>
    </row>
    <row r="20" spans="1:14" ht="19.5" customHeight="1">
      <c r="A20" s="6" t="str">
        <f t="shared" si="0"/>
        <v>C03</v>
      </c>
      <c r="B20" s="3">
        <v>42095</v>
      </c>
      <c r="C20" s="3">
        <v>42095</v>
      </c>
      <c r="D20" s="4"/>
      <c r="E20" s="20" t="s">
        <v>138</v>
      </c>
      <c r="F20" s="5" t="s">
        <v>504</v>
      </c>
      <c r="G20" s="311" t="s">
        <v>505</v>
      </c>
      <c r="H20" s="5" t="s">
        <v>506</v>
      </c>
      <c r="I20" s="26" t="s">
        <v>94</v>
      </c>
      <c r="J20" s="19"/>
      <c r="K20" s="5">
        <v>500000</v>
      </c>
      <c r="L20" s="4">
        <f t="shared" si="1"/>
        <v>1654078663</v>
      </c>
      <c r="M20" s="18"/>
      <c r="N20" s="288"/>
    </row>
    <row r="21" spans="1:14" ht="19.5" customHeight="1">
      <c r="A21" s="6" t="str">
        <f t="shared" si="0"/>
        <v>C04</v>
      </c>
      <c r="B21" s="3">
        <v>42095</v>
      </c>
      <c r="C21" s="3">
        <v>42095</v>
      </c>
      <c r="D21" s="4"/>
      <c r="E21" s="20" t="s">
        <v>139</v>
      </c>
      <c r="F21" s="5" t="s">
        <v>507</v>
      </c>
      <c r="G21" s="311" t="s">
        <v>509</v>
      </c>
      <c r="H21" s="5" t="s">
        <v>510</v>
      </c>
      <c r="I21" s="26" t="s">
        <v>94</v>
      </c>
      <c r="J21" s="19"/>
      <c r="K21" s="5">
        <v>828982</v>
      </c>
      <c r="L21" s="4">
        <f t="shared" si="1"/>
        <v>1653249681</v>
      </c>
      <c r="M21" s="18"/>
      <c r="N21" s="288"/>
    </row>
    <row r="22" spans="1:14" ht="19.5" customHeight="1">
      <c r="A22" s="6" t="str">
        <f t="shared" si="0"/>
        <v>C04</v>
      </c>
      <c r="B22" s="3">
        <v>42095</v>
      </c>
      <c r="C22" s="3">
        <v>42095</v>
      </c>
      <c r="D22" s="4"/>
      <c r="E22" s="20" t="s">
        <v>139</v>
      </c>
      <c r="F22" s="5" t="s">
        <v>508</v>
      </c>
      <c r="G22" s="311" t="s">
        <v>509</v>
      </c>
      <c r="H22" s="5" t="s">
        <v>510</v>
      </c>
      <c r="I22" s="26" t="s">
        <v>35</v>
      </c>
      <c r="J22" s="19"/>
      <c r="K22" s="5">
        <v>82898</v>
      </c>
      <c r="L22" s="4">
        <f t="shared" si="1"/>
        <v>1653166783</v>
      </c>
      <c r="M22" s="18"/>
      <c r="N22" s="288"/>
    </row>
    <row r="23" spans="1:14" ht="19.5" customHeight="1">
      <c r="A23" s="6" t="str">
        <f t="shared" si="0"/>
        <v>T01</v>
      </c>
      <c r="B23" s="3">
        <v>42098</v>
      </c>
      <c r="C23" s="3">
        <v>42098</v>
      </c>
      <c r="D23" s="4" t="s">
        <v>39</v>
      </c>
      <c r="E23" s="20"/>
      <c r="F23" s="5" t="s">
        <v>543</v>
      </c>
      <c r="G23" s="312" t="s">
        <v>575</v>
      </c>
      <c r="H23" s="5" t="s">
        <v>544</v>
      </c>
      <c r="I23" s="26" t="s">
        <v>36</v>
      </c>
      <c r="J23" s="19">
        <v>1700000000</v>
      </c>
      <c r="K23" s="5"/>
      <c r="L23" s="4">
        <f t="shared" si="1"/>
        <v>3353166783</v>
      </c>
      <c r="M23" s="18"/>
      <c r="N23" s="288"/>
    </row>
    <row r="24" spans="1:14" ht="19.5" customHeight="1">
      <c r="A24" s="6" t="str">
        <f t="shared" si="0"/>
        <v>C05</v>
      </c>
      <c r="B24" s="3">
        <v>42100</v>
      </c>
      <c r="C24" s="3">
        <v>42100</v>
      </c>
      <c r="D24" s="4"/>
      <c r="E24" s="20" t="s">
        <v>140</v>
      </c>
      <c r="F24" s="5" t="s">
        <v>60</v>
      </c>
      <c r="G24" s="311" t="s">
        <v>512</v>
      </c>
      <c r="H24" s="5" t="s">
        <v>513</v>
      </c>
      <c r="I24" s="26" t="s">
        <v>94</v>
      </c>
      <c r="J24" s="19"/>
      <c r="K24" s="5">
        <v>11616000</v>
      </c>
      <c r="L24" s="4">
        <f t="shared" si="1"/>
        <v>3341550783</v>
      </c>
      <c r="M24" s="18"/>
      <c r="N24" s="288"/>
    </row>
    <row r="25" spans="1:14" ht="19.5" customHeight="1">
      <c r="A25" s="6" t="str">
        <f t="shared" si="0"/>
        <v>C05</v>
      </c>
      <c r="B25" s="3">
        <v>42100</v>
      </c>
      <c r="C25" s="3">
        <v>42100</v>
      </c>
      <c r="D25" s="4"/>
      <c r="E25" s="20" t="s">
        <v>140</v>
      </c>
      <c r="F25" s="5" t="s">
        <v>631</v>
      </c>
      <c r="G25" s="311" t="s">
        <v>512</v>
      </c>
      <c r="H25" s="5" t="s">
        <v>513</v>
      </c>
      <c r="I25" s="26" t="s">
        <v>94</v>
      </c>
      <c r="J25" s="19"/>
      <c r="K25" s="5">
        <v>3504000</v>
      </c>
      <c r="L25" s="4">
        <f t="shared" si="1"/>
        <v>3338046783</v>
      </c>
      <c r="M25" s="18"/>
      <c r="N25" s="288"/>
    </row>
    <row r="26" spans="1:14" ht="19.5" customHeight="1">
      <c r="A26" s="6" t="str">
        <f t="shared" si="0"/>
        <v>C05</v>
      </c>
      <c r="B26" s="3">
        <v>42100</v>
      </c>
      <c r="C26" s="3">
        <v>42100</v>
      </c>
      <c r="D26" s="4"/>
      <c r="E26" s="20" t="s">
        <v>140</v>
      </c>
      <c r="F26" s="5" t="s">
        <v>511</v>
      </c>
      <c r="G26" s="311" t="s">
        <v>512</v>
      </c>
      <c r="H26" s="5" t="s">
        <v>513</v>
      </c>
      <c r="I26" s="26" t="s">
        <v>35</v>
      </c>
      <c r="J26" s="19"/>
      <c r="K26" s="5">
        <v>931200</v>
      </c>
      <c r="L26" s="4">
        <f t="shared" si="1"/>
        <v>3337115583</v>
      </c>
      <c r="M26" s="18"/>
      <c r="N26" s="288"/>
    </row>
    <row r="27" spans="1:14" ht="19.5" customHeight="1">
      <c r="A27" s="6" t="str">
        <f t="shared" si="0"/>
        <v>C06</v>
      </c>
      <c r="B27" s="3">
        <v>42100</v>
      </c>
      <c r="C27" s="3">
        <v>42100</v>
      </c>
      <c r="D27" s="4"/>
      <c r="E27" s="20" t="s">
        <v>141</v>
      </c>
      <c r="F27" s="5" t="s">
        <v>514</v>
      </c>
      <c r="G27" s="311" t="s">
        <v>515</v>
      </c>
      <c r="H27" s="5" t="s">
        <v>516</v>
      </c>
      <c r="I27" s="26" t="s">
        <v>94</v>
      </c>
      <c r="J27" s="19"/>
      <c r="K27" s="5">
        <v>3475000</v>
      </c>
      <c r="L27" s="4">
        <f t="shared" si="1"/>
        <v>3333640583</v>
      </c>
      <c r="M27" s="18"/>
      <c r="N27" s="288"/>
    </row>
    <row r="28" spans="1:14" ht="19.5" customHeight="1">
      <c r="A28" s="6" t="str">
        <f t="shared" si="0"/>
        <v>C07</v>
      </c>
      <c r="B28" s="3">
        <v>42100</v>
      </c>
      <c r="C28" s="3">
        <v>42100</v>
      </c>
      <c r="D28" s="4"/>
      <c r="E28" s="20" t="s">
        <v>142</v>
      </c>
      <c r="F28" s="5" t="s">
        <v>517</v>
      </c>
      <c r="G28" s="311" t="s">
        <v>519</v>
      </c>
      <c r="H28" s="5" t="s">
        <v>520</v>
      </c>
      <c r="I28" s="26" t="s">
        <v>54</v>
      </c>
      <c r="J28" s="19"/>
      <c r="K28" s="5">
        <v>15520000</v>
      </c>
      <c r="L28" s="4">
        <f t="shared" si="1"/>
        <v>3318120583</v>
      </c>
      <c r="M28" s="18"/>
      <c r="N28" s="288"/>
    </row>
    <row r="29" spans="1:14" ht="19.5" customHeight="1">
      <c r="A29" s="6" t="str">
        <f t="shared" si="0"/>
        <v>C07</v>
      </c>
      <c r="B29" s="3">
        <v>42100</v>
      </c>
      <c r="C29" s="3">
        <v>42100</v>
      </c>
      <c r="D29" s="4"/>
      <c r="E29" s="20" t="s">
        <v>142</v>
      </c>
      <c r="F29" s="5" t="s">
        <v>518</v>
      </c>
      <c r="G29" s="311" t="s">
        <v>519</v>
      </c>
      <c r="H29" s="5" t="s">
        <v>520</v>
      </c>
      <c r="I29" s="26" t="s">
        <v>35</v>
      </c>
      <c r="J29" s="19"/>
      <c r="K29" s="5">
        <v>1552000</v>
      </c>
      <c r="L29" s="4">
        <f t="shared" si="1"/>
        <v>3316568583</v>
      </c>
      <c r="M29" s="18"/>
      <c r="N29" s="288"/>
    </row>
    <row r="30" spans="1:14" ht="19.5" customHeight="1">
      <c r="A30" s="6" t="str">
        <f t="shared" si="0"/>
        <v>C08</v>
      </c>
      <c r="B30" s="3">
        <v>42100</v>
      </c>
      <c r="C30" s="3">
        <v>42080</v>
      </c>
      <c r="D30" s="4"/>
      <c r="E30" s="20" t="s">
        <v>143</v>
      </c>
      <c r="F30" s="5" t="s">
        <v>613</v>
      </c>
      <c r="G30" s="311" t="s">
        <v>618</v>
      </c>
      <c r="H30" s="5" t="s">
        <v>616</v>
      </c>
      <c r="I30" s="26" t="s">
        <v>94</v>
      </c>
      <c r="J30" s="19"/>
      <c r="K30" s="5">
        <f>231818+250000+345455+440909</f>
        <v>1268182</v>
      </c>
      <c r="L30" s="4">
        <f t="shared" si="1"/>
        <v>3315300401</v>
      </c>
      <c r="M30" s="40"/>
      <c r="N30" s="288"/>
    </row>
    <row r="31" spans="1:14" ht="19.5" customHeight="1">
      <c r="A31" s="6" t="str">
        <f t="shared" si="0"/>
        <v>C08</v>
      </c>
      <c r="B31" s="3">
        <v>42100</v>
      </c>
      <c r="C31" s="3">
        <v>42080</v>
      </c>
      <c r="D31" s="4"/>
      <c r="E31" s="20" t="s">
        <v>143</v>
      </c>
      <c r="F31" s="5" t="s">
        <v>614</v>
      </c>
      <c r="G31" s="311" t="s">
        <v>618</v>
      </c>
      <c r="H31" s="5" t="s">
        <v>616</v>
      </c>
      <c r="I31" s="26" t="s">
        <v>35</v>
      </c>
      <c r="J31" s="19"/>
      <c r="K31" s="5">
        <f>23182+25000+34545+44091</f>
        <v>126818</v>
      </c>
      <c r="L31" s="4">
        <f t="shared" si="1"/>
        <v>3315173583</v>
      </c>
      <c r="M31" s="40"/>
      <c r="N31" s="288"/>
    </row>
    <row r="32" spans="1:14" ht="19.5" customHeight="1">
      <c r="A32" s="6" t="str">
        <f t="shared" si="0"/>
        <v>C08</v>
      </c>
      <c r="B32" s="3">
        <v>42100</v>
      </c>
      <c r="C32" s="3">
        <v>42094</v>
      </c>
      <c r="D32" s="4"/>
      <c r="E32" s="20" t="s">
        <v>143</v>
      </c>
      <c r="F32" s="5" t="s">
        <v>609</v>
      </c>
      <c r="G32" s="311" t="s">
        <v>619</v>
      </c>
      <c r="H32" s="5" t="s">
        <v>611</v>
      </c>
      <c r="I32" s="26" t="s">
        <v>94</v>
      </c>
      <c r="J32" s="19"/>
      <c r="K32" s="5">
        <v>7200000</v>
      </c>
      <c r="L32" s="4">
        <f t="shared" si="1"/>
        <v>3307973583</v>
      </c>
      <c r="M32" s="18"/>
      <c r="N32" s="288"/>
    </row>
    <row r="33" spans="1:24" ht="19.5" customHeight="1">
      <c r="A33" s="6" t="str">
        <f t="shared" si="0"/>
        <v>C08</v>
      </c>
      <c r="B33" s="3">
        <v>42100</v>
      </c>
      <c r="C33" s="3">
        <v>42094</v>
      </c>
      <c r="D33" s="4"/>
      <c r="E33" s="20" t="s">
        <v>143</v>
      </c>
      <c r="F33" s="5" t="s">
        <v>612</v>
      </c>
      <c r="G33" s="311" t="s">
        <v>619</v>
      </c>
      <c r="H33" s="5" t="s">
        <v>611</v>
      </c>
      <c r="I33" s="26" t="s">
        <v>35</v>
      </c>
      <c r="J33" s="19"/>
      <c r="K33" s="5">
        <v>720000</v>
      </c>
      <c r="L33" s="4">
        <f t="shared" si="1"/>
        <v>3307253583</v>
      </c>
      <c r="M33" s="18"/>
      <c r="N33" s="288"/>
    </row>
    <row r="34" spans="1:24" ht="19.5" customHeight="1">
      <c r="A34" s="6" t="str">
        <f t="shared" si="0"/>
        <v>C09</v>
      </c>
      <c r="B34" s="3">
        <v>42101</v>
      </c>
      <c r="C34" s="3">
        <v>42101</v>
      </c>
      <c r="D34" s="4"/>
      <c r="E34" s="20" t="s">
        <v>144</v>
      </c>
      <c r="F34" s="5" t="s">
        <v>332</v>
      </c>
      <c r="G34" s="312"/>
      <c r="H34" s="5" t="s">
        <v>333</v>
      </c>
      <c r="I34" s="26" t="s">
        <v>334</v>
      </c>
      <c r="J34" s="19"/>
      <c r="K34" s="5">
        <v>600000000</v>
      </c>
      <c r="L34" s="4">
        <f t="shared" si="1"/>
        <v>2707253583</v>
      </c>
      <c r="M34" s="18"/>
      <c r="N34" s="288"/>
      <c r="O34" s="6">
        <v>1000</v>
      </c>
      <c r="P34" s="6">
        <v>40</v>
      </c>
      <c r="Q34" s="6">
        <f>P34*O34</f>
        <v>40000</v>
      </c>
      <c r="R34" s="6">
        <f>Q34/1.1</f>
        <v>36363.63636363636</v>
      </c>
      <c r="S34" s="6">
        <f>R34*0.1</f>
        <v>3636.363636363636</v>
      </c>
      <c r="U34" s="6">
        <v>30</v>
      </c>
      <c r="V34" s="6">
        <f>U34*O34</f>
        <v>30000</v>
      </c>
      <c r="W34" s="6">
        <f>V34/1.1</f>
        <v>27272.727272727272</v>
      </c>
      <c r="X34" s="6">
        <f>W34*0.1</f>
        <v>2727.2727272727275</v>
      </c>
    </row>
    <row r="35" spans="1:24" ht="19.5" customHeight="1">
      <c r="A35" s="6" t="str">
        <f t="shared" si="0"/>
        <v>C10</v>
      </c>
      <c r="B35" s="3">
        <v>42101</v>
      </c>
      <c r="C35" s="3">
        <v>42101</v>
      </c>
      <c r="D35" s="4"/>
      <c r="E35" s="20" t="s">
        <v>145</v>
      </c>
      <c r="F35" s="5" t="s">
        <v>332</v>
      </c>
      <c r="G35" s="312"/>
      <c r="H35" s="5" t="s">
        <v>335</v>
      </c>
      <c r="I35" s="26" t="s">
        <v>334</v>
      </c>
      <c r="J35" s="19"/>
      <c r="K35" s="5">
        <v>450000000</v>
      </c>
      <c r="L35" s="4">
        <f t="shared" si="1"/>
        <v>2257253583</v>
      </c>
      <c r="M35" s="18"/>
      <c r="N35" s="288"/>
      <c r="O35" s="6">
        <v>1000</v>
      </c>
      <c r="P35" s="6">
        <v>40</v>
      </c>
      <c r="Q35" s="6">
        <f>P35*O35</f>
        <v>40000</v>
      </c>
      <c r="R35" s="6">
        <f>Q35/1.1</f>
        <v>36363.63636363636</v>
      </c>
      <c r="S35" s="6">
        <f>R35*0.1</f>
        <v>3636.363636363636</v>
      </c>
      <c r="U35" s="6">
        <v>30</v>
      </c>
      <c r="V35" s="6">
        <f>U35*O35</f>
        <v>30000</v>
      </c>
      <c r="W35" s="6">
        <f>V35/1.1</f>
        <v>27272.727272727272</v>
      </c>
      <c r="X35" s="6">
        <f>W35*0.1</f>
        <v>2727.2727272727275</v>
      </c>
    </row>
    <row r="36" spans="1:24" ht="19.5" customHeight="1">
      <c r="A36" s="6" t="str">
        <f t="shared" si="0"/>
        <v>C11</v>
      </c>
      <c r="B36" s="3">
        <v>42101</v>
      </c>
      <c r="C36" s="3">
        <v>42101</v>
      </c>
      <c r="D36" s="4"/>
      <c r="E36" s="20" t="s">
        <v>146</v>
      </c>
      <c r="F36" s="5" t="s">
        <v>291</v>
      </c>
      <c r="G36" s="311" t="s">
        <v>521</v>
      </c>
      <c r="H36" s="5" t="s">
        <v>513</v>
      </c>
      <c r="I36" s="26" t="s">
        <v>94</v>
      </c>
      <c r="J36" s="19"/>
      <c r="K36" s="5">
        <v>2478250</v>
      </c>
      <c r="L36" s="4">
        <f t="shared" si="1"/>
        <v>2254775333</v>
      </c>
      <c r="M36" s="18"/>
      <c r="N36" s="288"/>
    </row>
    <row r="37" spans="1:24" ht="19.5" customHeight="1">
      <c r="A37" s="6" t="str">
        <f t="shared" si="0"/>
        <v>C11</v>
      </c>
      <c r="B37" s="3">
        <v>42101</v>
      </c>
      <c r="C37" s="3">
        <v>42101</v>
      </c>
      <c r="D37" s="4"/>
      <c r="E37" s="20" t="s">
        <v>146</v>
      </c>
      <c r="F37" s="5" t="s">
        <v>292</v>
      </c>
      <c r="G37" s="311" t="s">
        <v>521</v>
      </c>
      <c r="H37" s="5" t="s">
        <v>513</v>
      </c>
      <c r="I37" s="26" t="s">
        <v>35</v>
      </c>
      <c r="J37" s="19"/>
      <c r="K37" s="5">
        <v>247825</v>
      </c>
      <c r="L37" s="4">
        <f t="shared" si="1"/>
        <v>2254527508</v>
      </c>
      <c r="M37" s="18"/>
      <c r="N37" s="288"/>
    </row>
    <row r="38" spans="1:24" ht="19.5" customHeight="1">
      <c r="A38" s="6" t="str">
        <f t="shared" si="0"/>
        <v>C12</v>
      </c>
      <c r="B38" s="3">
        <v>42103</v>
      </c>
      <c r="C38" s="3">
        <v>42103</v>
      </c>
      <c r="D38" s="4"/>
      <c r="E38" s="20" t="s">
        <v>147</v>
      </c>
      <c r="F38" s="28" t="s">
        <v>507</v>
      </c>
      <c r="G38" s="106" t="s">
        <v>522</v>
      </c>
      <c r="H38" s="38" t="s">
        <v>510</v>
      </c>
      <c r="I38" s="26" t="s">
        <v>94</v>
      </c>
      <c r="J38" s="19"/>
      <c r="K38" s="5">
        <v>1349127</v>
      </c>
      <c r="L38" s="4">
        <f t="shared" si="1"/>
        <v>2253178381</v>
      </c>
      <c r="M38" s="18"/>
      <c r="N38" s="288"/>
    </row>
    <row r="39" spans="1:24" ht="19.5" customHeight="1">
      <c r="A39" s="6" t="str">
        <f t="shared" si="0"/>
        <v>C12</v>
      </c>
      <c r="B39" s="3">
        <v>42103</v>
      </c>
      <c r="C39" s="3">
        <v>42103</v>
      </c>
      <c r="D39" s="4"/>
      <c r="E39" s="20" t="s">
        <v>147</v>
      </c>
      <c r="F39" s="5" t="s">
        <v>508</v>
      </c>
      <c r="G39" s="106" t="s">
        <v>522</v>
      </c>
      <c r="H39" s="38" t="s">
        <v>510</v>
      </c>
      <c r="I39" s="26" t="s">
        <v>35</v>
      </c>
      <c r="J39" s="19"/>
      <c r="K39" s="5">
        <v>134913</v>
      </c>
      <c r="L39" s="4">
        <f t="shared" si="1"/>
        <v>2253043468</v>
      </c>
      <c r="M39" s="18"/>
      <c r="N39" s="288"/>
    </row>
    <row r="40" spans="1:24" ht="30">
      <c r="A40" s="6" t="str">
        <f t="shared" si="0"/>
        <v>C13</v>
      </c>
      <c r="B40" s="3">
        <v>42104</v>
      </c>
      <c r="C40" s="3">
        <v>42104</v>
      </c>
      <c r="D40" s="4"/>
      <c r="E40" s="20" t="s">
        <v>148</v>
      </c>
      <c r="F40" s="5" t="s">
        <v>523</v>
      </c>
      <c r="G40" s="311" t="s">
        <v>525</v>
      </c>
      <c r="H40" s="5" t="s">
        <v>526</v>
      </c>
      <c r="I40" s="26" t="s">
        <v>94</v>
      </c>
      <c r="J40" s="19"/>
      <c r="K40" s="5">
        <v>4647619</v>
      </c>
      <c r="L40" s="4">
        <f t="shared" si="1"/>
        <v>2248395849</v>
      </c>
      <c r="M40" s="18"/>
      <c r="N40" s="288"/>
    </row>
    <row r="41" spans="1:24" ht="30">
      <c r="A41" s="6" t="str">
        <f t="shared" si="0"/>
        <v>C13</v>
      </c>
      <c r="B41" s="3">
        <v>42104</v>
      </c>
      <c r="C41" s="3">
        <v>42104</v>
      </c>
      <c r="D41" s="4"/>
      <c r="E41" s="20" t="s">
        <v>148</v>
      </c>
      <c r="F41" s="5" t="s">
        <v>524</v>
      </c>
      <c r="G41" s="311" t="s">
        <v>525</v>
      </c>
      <c r="H41" s="5" t="s">
        <v>526</v>
      </c>
      <c r="I41" s="26" t="s">
        <v>35</v>
      </c>
      <c r="J41" s="19"/>
      <c r="K41" s="5">
        <v>232381</v>
      </c>
      <c r="L41" s="4">
        <f t="shared" si="1"/>
        <v>2248163468</v>
      </c>
      <c r="M41" s="18"/>
      <c r="N41" s="288"/>
    </row>
    <row r="42" spans="1:24" ht="19.5" customHeight="1">
      <c r="A42" s="6" t="str">
        <f t="shared" si="0"/>
        <v>C14</v>
      </c>
      <c r="B42" s="3">
        <v>42104</v>
      </c>
      <c r="C42" s="3">
        <v>42104</v>
      </c>
      <c r="D42" s="4"/>
      <c r="E42" s="20" t="s">
        <v>149</v>
      </c>
      <c r="F42" s="28" t="s">
        <v>507</v>
      </c>
      <c r="G42" s="106" t="s">
        <v>527</v>
      </c>
      <c r="H42" s="38" t="s">
        <v>510</v>
      </c>
      <c r="I42" s="26" t="s">
        <v>94</v>
      </c>
      <c r="J42" s="19"/>
      <c r="K42" s="5">
        <v>520145</v>
      </c>
      <c r="L42" s="4">
        <f t="shared" si="1"/>
        <v>2247643323</v>
      </c>
      <c r="M42" s="18"/>
      <c r="N42" s="288"/>
    </row>
    <row r="43" spans="1:24" ht="19.5" customHeight="1">
      <c r="A43" s="6" t="str">
        <f t="shared" si="0"/>
        <v>C14</v>
      </c>
      <c r="B43" s="3">
        <v>42104</v>
      </c>
      <c r="C43" s="3">
        <v>42104</v>
      </c>
      <c r="D43" s="4"/>
      <c r="E43" s="20" t="s">
        <v>149</v>
      </c>
      <c r="F43" s="5" t="s">
        <v>508</v>
      </c>
      <c r="G43" s="106" t="s">
        <v>527</v>
      </c>
      <c r="H43" s="38" t="s">
        <v>510</v>
      </c>
      <c r="I43" s="26" t="s">
        <v>35</v>
      </c>
      <c r="J43" s="19"/>
      <c r="K43" s="5">
        <v>52015</v>
      </c>
      <c r="L43" s="4">
        <f t="shared" si="1"/>
        <v>2247591308</v>
      </c>
      <c r="M43" s="18"/>
      <c r="N43" s="288"/>
    </row>
    <row r="44" spans="1:24" ht="19.5" customHeight="1">
      <c r="A44" s="6" t="str">
        <f t="shared" si="0"/>
        <v>C15</v>
      </c>
      <c r="B44" s="3">
        <v>42105</v>
      </c>
      <c r="C44" s="3">
        <v>42062</v>
      </c>
      <c r="D44" s="4"/>
      <c r="E44" s="20" t="s">
        <v>150</v>
      </c>
      <c r="F44" s="5" t="s">
        <v>613</v>
      </c>
      <c r="G44" s="311" t="s">
        <v>615</v>
      </c>
      <c r="H44" s="5" t="s">
        <v>616</v>
      </c>
      <c r="I44" s="26" t="s">
        <v>94</v>
      </c>
      <c r="J44" s="19"/>
      <c r="K44" s="5">
        <f>345455+404545+440909+345455</f>
        <v>1536364</v>
      </c>
      <c r="L44" s="4">
        <f t="shared" si="1"/>
        <v>2246054944</v>
      </c>
      <c r="M44" s="18"/>
      <c r="N44" s="288"/>
    </row>
    <row r="45" spans="1:24" ht="19.5" customHeight="1">
      <c r="A45" s="6" t="str">
        <f t="shared" si="0"/>
        <v>C15</v>
      </c>
      <c r="B45" s="3">
        <v>42105</v>
      </c>
      <c r="C45" s="3">
        <v>42062</v>
      </c>
      <c r="D45" s="4"/>
      <c r="E45" s="20" t="s">
        <v>150</v>
      </c>
      <c r="F45" s="5" t="s">
        <v>614</v>
      </c>
      <c r="G45" s="311" t="s">
        <v>615</v>
      </c>
      <c r="H45" s="5" t="s">
        <v>616</v>
      </c>
      <c r="I45" s="26" t="s">
        <v>35</v>
      </c>
      <c r="J45" s="19"/>
      <c r="K45" s="5">
        <f>34545+40455+44091+34545</f>
        <v>153636</v>
      </c>
      <c r="L45" s="4">
        <f t="shared" ref="L45:L78" si="2">IF(F45&lt;&gt;"",L44+J45-K45,0)</f>
        <v>2245901308</v>
      </c>
      <c r="M45" s="18"/>
      <c r="N45" s="288"/>
    </row>
    <row r="46" spans="1:24" ht="19.5" customHeight="1">
      <c r="A46" s="6" t="str">
        <f t="shared" si="0"/>
        <v>C15</v>
      </c>
      <c r="B46" s="3">
        <v>42105</v>
      </c>
      <c r="C46" s="3">
        <v>42064</v>
      </c>
      <c r="D46" s="4"/>
      <c r="E46" s="20" t="s">
        <v>150</v>
      </c>
      <c r="F46" s="5" t="s">
        <v>609</v>
      </c>
      <c r="G46" s="311" t="s">
        <v>617</v>
      </c>
      <c r="H46" s="5" t="s">
        <v>611</v>
      </c>
      <c r="I46" s="26" t="s">
        <v>94</v>
      </c>
      <c r="J46" s="19"/>
      <c r="K46" s="5">
        <v>7200000</v>
      </c>
      <c r="L46" s="4">
        <f t="shared" si="2"/>
        <v>2238701308</v>
      </c>
      <c r="M46" s="18"/>
      <c r="N46" s="288"/>
    </row>
    <row r="47" spans="1:24" ht="19.5" customHeight="1">
      <c r="A47" s="6" t="str">
        <f t="shared" si="0"/>
        <v>C15</v>
      </c>
      <c r="B47" s="3">
        <v>42105</v>
      </c>
      <c r="C47" s="3">
        <v>42064</v>
      </c>
      <c r="D47" s="4"/>
      <c r="E47" s="20" t="s">
        <v>150</v>
      </c>
      <c r="F47" s="5" t="s">
        <v>612</v>
      </c>
      <c r="G47" s="311" t="s">
        <v>617</v>
      </c>
      <c r="H47" s="5" t="s">
        <v>611</v>
      </c>
      <c r="I47" s="26" t="s">
        <v>35</v>
      </c>
      <c r="J47" s="19"/>
      <c r="K47" s="5">
        <v>720000</v>
      </c>
      <c r="L47" s="4">
        <f t="shared" si="2"/>
        <v>2237981308</v>
      </c>
      <c r="M47" s="18"/>
      <c r="N47" s="288"/>
    </row>
    <row r="48" spans="1:24" ht="19.5" customHeight="1">
      <c r="A48" s="6" t="str">
        <f t="shared" si="0"/>
        <v>C16</v>
      </c>
      <c r="B48" s="3">
        <v>42105</v>
      </c>
      <c r="C48" s="3">
        <v>42105</v>
      </c>
      <c r="D48" s="4"/>
      <c r="E48" s="20" t="s">
        <v>151</v>
      </c>
      <c r="F48" s="28" t="s">
        <v>507</v>
      </c>
      <c r="G48" s="106" t="s">
        <v>528</v>
      </c>
      <c r="H48" s="38" t="s">
        <v>510</v>
      </c>
      <c r="I48" s="26" t="s">
        <v>94</v>
      </c>
      <c r="J48" s="19"/>
      <c r="K48" s="5">
        <v>894000</v>
      </c>
      <c r="L48" s="4">
        <f t="shared" si="2"/>
        <v>2237087308</v>
      </c>
      <c r="M48" s="18"/>
      <c r="N48" s="288"/>
    </row>
    <row r="49" spans="1:24" ht="19.5" customHeight="1">
      <c r="A49" s="6" t="str">
        <f t="shared" si="0"/>
        <v>C16</v>
      </c>
      <c r="B49" s="3">
        <v>42105</v>
      </c>
      <c r="C49" s="3">
        <v>42105</v>
      </c>
      <c r="D49" s="4"/>
      <c r="E49" s="20" t="s">
        <v>151</v>
      </c>
      <c r="F49" s="5" t="s">
        <v>508</v>
      </c>
      <c r="G49" s="106" t="s">
        <v>528</v>
      </c>
      <c r="H49" s="38" t="s">
        <v>510</v>
      </c>
      <c r="I49" s="26" t="s">
        <v>35</v>
      </c>
      <c r="J49" s="19"/>
      <c r="K49" s="5">
        <v>89400</v>
      </c>
      <c r="L49" s="4">
        <f t="shared" si="2"/>
        <v>2236997908</v>
      </c>
      <c r="M49" s="18"/>
      <c r="N49" s="288"/>
    </row>
    <row r="50" spans="1:24" ht="19.5" customHeight="1">
      <c r="A50" s="6" t="str">
        <f t="shared" si="0"/>
        <v>C17</v>
      </c>
      <c r="B50" s="3">
        <v>42109</v>
      </c>
      <c r="C50" s="3">
        <v>42109</v>
      </c>
      <c r="D50" s="4"/>
      <c r="E50" s="20" t="s">
        <v>152</v>
      </c>
      <c r="F50" s="5" t="s">
        <v>529</v>
      </c>
      <c r="G50" s="311" t="s">
        <v>531</v>
      </c>
      <c r="H50" s="5" t="s">
        <v>532</v>
      </c>
      <c r="I50" s="26" t="s">
        <v>94</v>
      </c>
      <c r="J50" s="19"/>
      <c r="K50" s="5">
        <v>2906180</v>
      </c>
      <c r="L50" s="4">
        <f t="shared" si="2"/>
        <v>2234091728</v>
      </c>
      <c r="M50" s="18"/>
      <c r="N50" s="288"/>
    </row>
    <row r="51" spans="1:24" ht="19.5" customHeight="1">
      <c r="A51" s="6" t="str">
        <f t="shared" si="0"/>
        <v>C17</v>
      </c>
      <c r="B51" s="3">
        <v>42109</v>
      </c>
      <c r="C51" s="3">
        <v>42109</v>
      </c>
      <c r="D51" s="4"/>
      <c r="E51" s="20" t="s">
        <v>152</v>
      </c>
      <c r="F51" s="5" t="s">
        <v>530</v>
      </c>
      <c r="G51" s="311" t="s">
        <v>531</v>
      </c>
      <c r="H51" s="5" t="s">
        <v>532</v>
      </c>
      <c r="I51" s="26" t="s">
        <v>35</v>
      </c>
      <c r="J51" s="19"/>
      <c r="K51" s="5">
        <v>290618</v>
      </c>
      <c r="L51" s="4">
        <f t="shared" si="2"/>
        <v>2233801110</v>
      </c>
      <c r="M51" s="18"/>
      <c r="N51" s="288"/>
    </row>
    <row r="52" spans="1:24" ht="19.5" customHeight="1">
      <c r="A52" s="6" t="str">
        <f t="shared" si="0"/>
        <v>C18</v>
      </c>
      <c r="B52" s="3">
        <v>42109</v>
      </c>
      <c r="C52" s="3">
        <v>42109</v>
      </c>
      <c r="D52" s="4"/>
      <c r="E52" s="20" t="s">
        <v>153</v>
      </c>
      <c r="F52" s="5" t="s">
        <v>533</v>
      </c>
      <c r="G52" s="311" t="s">
        <v>534</v>
      </c>
      <c r="H52" s="5" t="s">
        <v>192</v>
      </c>
      <c r="I52" s="26" t="s">
        <v>94</v>
      </c>
      <c r="J52" s="19"/>
      <c r="K52" s="5">
        <v>848291</v>
      </c>
      <c r="L52" s="4">
        <f t="shared" si="2"/>
        <v>2232952819</v>
      </c>
      <c r="M52" s="18"/>
      <c r="N52" s="288"/>
    </row>
    <row r="53" spans="1:24" ht="19.5" customHeight="1">
      <c r="A53" s="6" t="str">
        <f t="shared" si="0"/>
        <v>C18</v>
      </c>
      <c r="B53" s="3">
        <v>42109</v>
      </c>
      <c r="C53" s="3">
        <v>42109</v>
      </c>
      <c r="D53" s="4"/>
      <c r="E53" s="20" t="s">
        <v>153</v>
      </c>
      <c r="F53" s="5" t="s">
        <v>53</v>
      </c>
      <c r="G53" s="311" t="s">
        <v>534</v>
      </c>
      <c r="H53" s="5" t="s">
        <v>192</v>
      </c>
      <c r="I53" s="26" t="s">
        <v>54</v>
      </c>
      <c r="J53" s="19"/>
      <c r="K53" s="5">
        <v>7454491</v>
      </c>
      <c r="L53" s="4">
        <f t="shared" si="2"/>
        <v>2225498328</v>
      </c>
      <c r="M53" s="18"/>
      <c r="N53" s="288"/>
    </row>
    <row r="54" spans="1:24" ht="19.5" customHeight="1">
      <c r="A54" s="6" t="str">
        <f t="shared" si="0"/>
        <v>C18</v>
      </c>
      <c r="B54" s="3">
        <v>42109</v>
      </c>
      <c r="C54" s="3">
        <v>42109</v>
      </c>
      <c r="D54" s="4"/>
      <c r="E54" s="20" t="s">
        <v>153</v>
      </c>
      <c r="F54" s="28" t="s">
        <v>572</v>
      </c>
      <c r="G54" s="311" t="s">
        <v>534</v>
      </c>
      <c r="H54" s="5" t="s">
        <v>192</v>
      </c>
      <c r="I54" s="26" t="s">
        <v>35</v>
      </c>
      <c r="J54" s="19"/>
      <c r="K54" s="5">
        <v>830278</v>
      </c>
      <c r="L54" s="4">
        <f t="shared" si="2"/>
        <v>2224668050</v>
      </c>
      <c r="M54" s="18"/>
      <c r="N54" s="288"/>
    </row>
    <row r="55" spans="1:24" ht="19.5" customHeight="1">
      <c r="A55" s="6" t="str">
        <f t="shared" si="0"/>
        <v>C19</v>
      </c>
      <c r="B55" s="3">
        <v>42109</v>
      </c>
      <c r="C55" s="3">
        <v>42109</v>
      </c>
      <c r="D55" s="4"/>
      <c r="E55" s="20" t="s">
        <v>154</v>
      </c>
      <c r="F55" s="5" t="s">
        <v>535</v>
      </c>
      <c r="G55" s="311" t="s">
        <v>537</v>
      </c>
      <c r="H55" s="5" t="s">
        <v>538</v>
      </c>
      <c r="I55" s="26" t="s">
        <v>93</v>
      </c>
      <c r="J55" s="19"/>
      <c r="K55" s="5">
        <v>245455</v>
      </c>
      <c r="L55" s="4">
        <f t="shared" si="2"/>
        <v>2224422595</v>
      </c>
      <c r="M55" s="18"/>
      <c r="N55" s="288"/>
    </row>
    <row r="56" spans="1:24" ht="19.5" customHeight="1">
      <c r="A56" s="6" t="str">
        <f t="shared" si="0"/>
        <v>C19</v>
      </c>
      <c r="B56" s="3">
        <v>42109</v>
      </c>
      <c r="C56" s="3">
        <v>42109</v>
      </c>
      <c r="D56" s="4"/>
      <c r="E56" s="20" t="s">
        <v>154</v>
      </c>
      <c r="F56" s="5" t="s">
        <v>536</v>
      </c>
      <c r="G56" s="311" t="s">
        <v>537</v>
      </c>
      <c r="H56" s="5" t="s">
        <v>538</v>
      </c>
      <c r="I56" s="26" t="s">
        <v>35</v>
      </c>
      <c r="J56" s="19"/>
      <c r="K56" s="5">
        <v>24545</v>
      </c>
      <c r="L56" s="4">
        <f t="shared" si="2"/>
        <v>2224398050</v>
      </c>
      <c r="M56" s="18"/>
      <c r="N56" s="288"/>
    </row>
    <row r="57" spans="1:24" ht="30">
      <c r="A57" s="6" t="str">
        <f t="shared" si="0"/>
        <v>C20</v>
      </c>
      <c r="B57" s="3">
        <v>42109</v>
      </c>
      <c r="C57" s="3">
        <v>42109</v>
      </c>
      <c r="D57" s="4"/>
      <c r="E57" s="20" t="s">
        <v>155</v>
      </c>
      <c r="F57" s="5" t="s">
        <v>539</v>
      </c>
      <c r="G57" s="311" t="s">
        <v>541</v>
      </c>
      <c r="H57" s="5" t="s">
        <v>542</v>
      </c>
      <c r="I57" s="26" t="s">
        <v>93</v>
      </c>
      <c r="J57" s="19"/>
      <c r="K57" s="5">
        <v>4077000</v>
      </c>
      <c r="L57" s="4">
        <f t="shared" si="2"/>
        <v>2220321050</v>
      </c>
      <c r="M57" s="40"/>
      <c r="N57" s="288"/>
    </row>
    <row r="58" spans="1:24" ht="30">
      <c r="A58" s="6" t="str">
        <f t="shared" si="0"/>
        <v>C20</v>
      </c>
      <c r="B58" s="3">
        <v>42109</v>
      </c>
      <c r="C58" s="3">
        <v>42109</v>
      </c>
      <c r="D58" s="4"/>
      <c r="E58" s="20" t="s">
        <v>155</v>
      </c>
      <c r="F58" s="5" t="s">
        <v>540</v>
      </c>
      <c r="G58" s="311" t="s">
        <v>541</v>
      </c>
      <c r="H58" s="5" t="s">
        <v>542</v>
      </c>
      <c r="I58" s="26" t="s">
        <v>35</v>
      </c>
      <c r="J58" s="19"/>
      <c r="K58" s="5">
        <v>214450</v>
      </c>
      <c r="L58" s="4">
        <f t="shared" si="2"/>
        <v>2220106600</v>
      </c>
      <c r="M58" s="18"/>
      <c r="N58" s="288"/>
    </row>
    <row r="59" spans="1:24" ht="19.5" customHeight="1">
      <c r="A59" s="6" t="str">
        <f t="shared" si="0"/>
        <v>C21</v>
      </c>
      <c r="B59" s="3">
        <v>42109</v>
      </c>
      <c r="C59" s="3">
        <v>42109</v>
      </c>
      <c r="D59" s="4"/>
      <c r="E59" s="20" t="s">
        <v>156</v>
      </c>
      <c r="F59" s="5" t="s">
        <v>507</v>
      </c>
      <c r="G59" s="311" t="s">
        <v>545</v>
      </c>
      <c r="H59" s="5" t="s">
        <v>510</v>
      </c>
      <c r="I59" s="26" t="s">
        <v>94</v>
      </c>
      <c r="J59" s="19"/>
      <c r="K59" s="5">
        <v>1137818</v>
      </c>
      <c r="L59" s="4">
        <f t="shared" si="2"/>
        <v>2218968782</v>
      </c>
      <c r="M59" s="18"/>
      <c r="N59" s="288"/>
    </row>
    <row r="60" spans="1:24" ht="19.5" customHeight="1">
      <c r="A60" s="6" t="str">
        <f t="shared" si="0"/>
        <v>C21</v>
      </c>
      <c r="B60" s="3">
        <v>42109</v>
      </c>
      <c r="C60" s="3">
        <v>42109</v>
      </c>
      <c r="D60" s="4"/>
      <c r="E60" s="20" t="s">
        <v>156</v>
      </c>
      <c r="F60" s="5" t="s">
        <v>508</v>
      </c>
      <c r="G60" s="311" t="s">
        <v>545</v>
      </c>
      <c r="H60" s="5" t="s">
        <v>510</v>
      </c>
      <c r="I60" s="26" t="s">
        <v>35</v>
      </c>
      <c r="J60" s="19"/>
      <c r="K60" s="5">
        <v>113782</v>
      </c>
      <c r="L60" s="4">
        <f t="shared" si="2"/>
        <v>2218855000</v>
      </c>
      <c r="M60" s="18"/>
      <c r="N60" s="288"/>
    </row>
    <row r="61" spans="1:24" ht="19.5" customHeight="1">
      <c r="A61" s="6" t="str">
        <f t="shared" si="0"/>
        <v>C22</v>
      </c>
      <c r="B61" s="3">
        <v>42110</v>
      </c>
      <c r="C61" s="3">
        <v>42110</v>
      </c>
      <c r="D61" s="4"/>
      <c r="E61" s="20" t="s">
        <v>157</v>
      </c>
      <c r="F61" s="5" t="s">
        <v>332</v>
      </c>
      <c r="G61" s="312"/>
      <c r="H61" s="5" t="s">
        <v>333</v>
      </c>
      <c r="I61" s="26" t="s">
        <v>334</v>
      </c>
      <c r="J61" s="19"/>
      <c r="K61" s="5">
        <v>450000000</v>
      </c>
      <c r="L61" s="4">
        <f t="shared" si="2"/>
        <v>1768855000</v>
      </c>
      <c r="M61" s="40"/>
      <c r="N61" s="288"/>
      <c r="O61" s="6">
        <v>1000</v>
      </c>
      <c r="P61" s="6">
        <v>40</v>
      </c>
      <c r="Q61" s="6">
        <f>P61*O61</f>
        <v>40000</v>
      </c>
      <c r="R61" s="6">
        <f>Q61/1.1</f>
        <v>36363.63636363636</v>
      </c>
      <c r="S61" s="6">
        <f>R61*0.1</f>
        <v>3636.363636363636</v>
      </c>
      <c r="U61" s="6">
        <v>15</v>
      </c>
      <c r="V61" s="6">
        <f>U61*O61</f>
        <v>15000</v>
      </c>
      <c r="W61" s="6">
        <f>V61/1.1</f>
        <v>13636.363636363636</v>
      </c>
      <c r="X61" s="6">
        <f>W61*0.1</f>
        <v>1363.6363636363637</v>
      </c>
    </row>
    <row r="62" spans="1:24" ht="19.5" customHeight="1">
      <c r="A62" s="6" t="str">
        <f t="shared" si="0"/>
        <v>C23</v>
      </c>
      <c r="B62" s="3">
        <v>42110</v>
      </c>
      <c r="C62" s="3">
        <v>42110</v>
      </c>
      <c r="D62" s="4"/>
      <c r="E62" s="20" t="s">
        <v>158</v>
      </c>
      <c r="F62" s="28" t="s">
        <v>517</v>
      </c>
      <c r="G62" s="106" t="s">
        <v>547</v>
      </c>
      <c r="H62" s="5" t="s">
        <v>520</v>
      </c>
      <c r="I62" s="26" t="s">
        <v>54</v>
      </c>
      <c r="J62" s="19"/>
      <c r="K62" s="5">
        <v>18000000</v>
      </c>
      <c r="L62" s="4">
        <f t="shared" si="2"/>
        <v>1750855000</v>
      </c>
      <c r="M62" s="18"/>
      <c r="N62" s="288"/>
    </row>
    <row r="63" spans="1:24" ht="19.5" customHeight="1">
      <c r="A63" s="6" t="str">
        <f t="shared" si="0"/>
        <v>C23</v>
      </c>
      <c r="B63" s="3">
        <v>42110</v>
      </c>
      <c r="C63" s="3">
        <v>42110</v>
      </c>
      <c r="D63" s="4"/>
      <c r="E63" s="20" t="s">
        <v>158</v>
      </c>
      <c r="F63" s="5" t="s">
        <v>546</v>
      </c>
      <c r="G63" s="106" t="s">
        <v>547</v>
      </c>
      <c r="H63" s="5" t="s">
        <v>520</v>
      </c>
      <c r="I63" s="26" t="s">
        <v>35</v>
      </c>
      <c r="J63" s="19"/>
      <c r="K63" s="5">
        <v>1800000</v>
      </c>
      <c r="L63" s="4">
        <f t="shared" si="2"/>
        <v>1749055000</v>
      </c>
      <c r="M63" s="18"/>
      <c r="N63" s="288"/>
    </row>
    <row r="64" spans="1:24" ht="19.5" customHeight="1">
      <c r="A64" s="6" t="str">
        <f t="shared" si="0"/>
        <v>C24</v>
      </c>
      <c r="B64" s="3">
        <v>42110</v>
      </c>
      <c r="C64" s="3">
        <v>42110</v>
      </c>
      <c r="D64" s="4"/>
      <c r="E64" s="20" t="s">
        <v>159</v>
      </c>
      <c r="F64" s="5" t="s">
        <v>548</v>
      </c>
      <c r="G64" s="311" t="s">
        <v>549</v>
      </c>
      <c r="H64" s="5" t="s">
        <v>550</v>
      </c>
      <c r="I64" s="26" t="s">
        <v>94</v>
      </c>
      <c r="J64" s="19"/>
      <c r="K64" s="5">
        <v>2000000</v>
      </c>
      <c r="L64" s="4">
        <f t="shared" si="2"/>
        <v>1747055000</v>
      </c>
      <c r="M64" s="18"/>
      <c r="N64" s="288"/>
    </row>
    <row r="65" spans="1:24" ht="19.5" customHeight="1">
      <c r="A65" s="6" t="str">
        <f t="shared" si="0"/>
        <v>C25</v>
      </c>
      <c r="B65" s="3">
        <v>42111</v>
      </c>
      <c r="C65" s="3">
        <v>42111</v>
      </c>
      <c r="D65" s="4"/>
      <c r="E65" s="20" t="s">
        <v>160</v>
      </c>
      <c r="F65" s="5" t="s">
        <v>507</v>
      </c>
      <c r="G65" s="311" t="s">
        <v>551</v>
      </c>
      <c r="H65" s="5" t="s">
        <v>510</v>
      </c>
      <c r="I65" s="26" t="s">
        <v>94</v>
      </c>
      <c r="J65" s="19"/>
      <c r="K65" s="5">
        <v>682691</v>
      </c>
      <c r="L65" s="4">
        <f t="shared" si="2"/>
        <v>1746372309</v>
      </c>
      <c r="M65" s="18"/>
      <c r="N65" s="288"/>
    </row>
    <row r="66" spans="1:24" ht="19.5" customHeight="1">
      <c r="A66" s="6" t="str">
        <f t="shared" si="0"/>
        <v>C25</v>
      </c>
      <c r="B66" s="3">
        <v>42111</v>
      </c>
      <c r="C66" s="3">
        <v>42111</v>
      </c>
      <c r="D66" s="4"/>
      <c r="E66" s="20" t="s">
        <v>160</v>
      </c>
      <c r="F66" s="5" t="s">
        <v>508</v>
      </c>
      <c r="G66" s="311" t="s">
        <v>551</v>
      </c>
      <c r="H66" s="5" t="s">
        <v>510</v>
      </c>
      <c r="I66" s="26" t="s">
        <v>35</v>
      </c>
      <c r="J66" s="19"/>
      <c r="K66" s="5">
        <v>68269</v>
      </c>
      <c r="L66" s="4">
        <f t="shared" si="2"/>
        <v>1746304040</v>
      </c>
      <c r="M66" s="18"/>
      <c r="N66" s="288"/>
    </row>
    <row r="67" spans="1:24" ht="19.5" customHeight="1">
      <c r="A67" s="6" t="str">
        <f t="shared" si="0"/>
        <v>C26</v>
      </c>
      <c r="B67" s="3">
        <v>42112</v>
      </c>
      <c r="C67" s="3">
        <v>42112</v>
      </c>
      <c r="D67" s="4"/>
      <c r="E67" s="20" t="s">
        <v>161</v>
      </c>
      <c r="F67" s="5" t="s">
        <v>523</v>
      </c>
      <c r="G67" s="106" t="s">
        <v>552</v>
      </c>
      <c r="H67" s="38" t="s">
        <v>526</v>
      </c>
      <c r="I67" s="26" t="s">
        <v>94</v>
      </c>
      <c r="J67" s="19"/>
      <c r="K67" s="5">
        <v>952381</v>
      </c>
      <c r="L67" s="4">
        <f t="shared" si="2"/>
        <v>1745351659</v>
      </c>
      <c r="M67" s="18"/>
      <c r="N67" s="288"/>
    </row>
    <row r="68" spans="1:24" ht="30">
      <c r="A68" s="6" t="str">
        <f t="shared" si="0"/>
        <v>C26</v>
      </c>
      <c r="B68" s="3">
        <v>42112</v>
      </c>
      <c r="C68" s="3">
        <v>42112</v>
      </c>
      <c r="D68" s="4"/>
      <c r="E68" s="20" t="s">
        <v>161</v>
      </c>
      <c r="F68" s="5" t="s">
        <v>524</v>
      </c>
      <c r="G68" s="106" t="s">
        <v>552</v>
      </c>
      <c r="H68" s="38" t="s">
        <v>526</v>
      </c>
      <c r="I68" s="26" t="s">
        <v>35</v>
      </c>
      <c r="J68" s="19"/>
      <c r="K68" s="5">
        <v>47619</v>
      </c>
      <c r="L68" s="4">
        <f t="shared" si="2"/>
        <v>1745304040</v>
      </c>
      <c r="M68" s="18"/>
      <c r="N68" s="288"/>
    </row>
    <row r="69" spans="1:24" ht="19.5" customHeight="1">
      <c r="A69" s="6" t="str">
        <f t="shared" si="0"/>
        <v>C27</v>
      </c>
      <c r="B69" s="3">
        <v>42114</v>
      </c>
      <c r="C69" s="3">
        <v>42114</v>
      </c>
      <c r="D69" s="4"/>
      <c r="E69" s="20" t="s">
        <v>162</v>
      </c>
      <c r="F69" s="5" t="s">
        <v>507</v>
      </c>
      <c r="G69" s="311" t="s">
        <v>553</v>
      </c>
      <c r="H69" s="5" t="s">
        <v>510</v>
      </c>
      <c r="I69" s="26" t="s">
        <v>94</v>
      </c>
      <c r="J69" s="19"/>
      <c r="K69" s="5">
        <v>845236</v>
      </c>
      <c r="L69" s="4">
        <f t="shared" si="2"/>
        <v>1744458804</v>
      </c>
      <c r="M69" s="18"/>
      <c r="N69" s="288"/>
    </row>
    <row r="70" spans="1:24" ht="19.5" customHeight="1">
      <c r="A70" s="6" t="str">
        <f t="shared" si="0"/>
        <v>C27</v>
      </c>
      <c r="B70" s="3">
        <v>42114</v>
      </c>
      <c r="C70" s="3">
        <v>42114</v>
      </c>
      <c r="D70" s="4"/>
      <c r="E70" s="20" t="s">
        <v>162</v>
      </c>
      <c r="F70" s="5" t="s">
        <v>508</v>
      </c>
      <c r="G70" s="311" t="s">
        <v>553</v>
      </c>
      <c r="H70" s="5" t="s">
        <v>510</v>
      </c>
      <c r="I70" s="26" t="s">
        <v>35</v>
      </c>
      <c r="J70" s="19"/>
      <c r="K70" s="5">
        <v>84524</v>
      </c>
      <c r="L70" s="4">
        <f t="shared" si="2"/>
        <v>1744374280</v>
      </c>
      <c r="M70" s="18"/>
      <c r="N70" s="288"/>
    </row>
    <row r="71" spans="1:24" ht="19.5" customHeight="1">
      <c r="A71" s="6" t="str">
        <f t="shared" si="0"/>
        <v>C28</v>
      </c>
      <c r="B71" s="3">
        <v>42114</v>
      </c>
      <c r="C71" s="3">
        <v>42114</v>
      </c>
      <c r="D71" s="4"/>
      <c r="E71" s="20" t="s">
        <v>163</v>
      </c>
      <c r="F71" s="5" t="s">
        <v>554</v>
      </c>
      <c r="G71" s="312"/>
      <c r="H71" s="5" t="s">
        <v>544</v>
      </c>
      <c r="I71" s="26" t="s">
        <v>36</v>
      </c>
      <c r="J71" s="19"/>
      <c r="K71" s="5">
        <v>73000000</v>
      </c>
      <c r="L71" s="4">
        <f t="shared" si="2"/>
        <v>1671374280</v>
      </c>
      <c r="M71" s="18"/>
      <c r="N71" s="288"/>
    </row>
    <row r="72" spans="1:24" ht="19.5" customHeight="1">
      <c r="A72" s="6" t="str">
        <f t="shared" si="0"/>
        <v>C29</v>
      </c>
      <c r="B72" s="3">
        <v>42114</v>
      </c>
      <c r="C72" s="3">
        <v>42114</v>
      </c>
      <c r="D72" s="4"/>
      <c r="E72" s="20" t="s">
        <v>164</v>
      </c>
      <c r="F72" s="5" t="s">
        <v>556</v>
      </c>
      <c r="G72" s="312"/>
      <c r="H72" s="5" t="s">
        <v>555</v>
      </c>
      <c r="I72" s="26" t="s">
        <v>36</v>
      </c>
      <c r="J72" s="19"/>
      <c r="K72" s="5">
        <v>26000000</v>
      </c>
      <c r="L72" s="4">
        <f t="shared" si="2"/>
        <v>1645374280</v>
      </c>
      <c r="M72" s="18"/>
      <c r="N72" s="288"/>
    </row>
    <row r="73" spans="1:24" ht="19.5" customHeight="1">
      <c r="A73" s="6" t="str">
        <f t="shared" si="0"/>
        <v>C30</v>
      </c>
      <c r="B73" s="3">
        <v>42114</v>
      </c>
      <c r="C73" s="3">
        <v>42114</v>
      </c>
      <c r="D73" s="4"/>
      <c r="E73" s="20" t="s">
        <v>165</v>
      </c>
      <c r="F73" s="5" t="s">
        <v>557</v>
      </c>
      <c r="G73" s="311" t="s">
        <v>558</v>
      </c>
      <c r="H73" s="5" t="s">
        <v>559</v>
      </c>
      <c r="I73" s="26" t="s">
        <v>94</v>
      </c>
      <c r="J73" s="19"/>
      <c r="K73" s="5">
        <v>1470000</v>
      </c>
      <c r="L73" s="4">
        <f t="shared" si="2"/>
        <v>1643904280</v>
      </c>
      <c r="M73" s="18"/>
      <c r="N73" s="288"/>
    </row>
    <row r="74" spans="1:24" ht="19.5" customHeight="1">
      <c r="A74" s="6" t="str">
        <f t="shared" si="0"/>
        <v>C30</v>
      </c>
      <c r="B74" s="3">
        <v>42116</v>
      </c>
      <c r="C74" s="3">
        <v>42116</v>
      </c>
      <c r="D74" s="4"/>
      <c r="E74" s="20" t="s">
        <v>165</v>
      </c>
      <c r="F74" s="5" t="s">
        <v>507</v>
      </c>
      <c r="G74" s="311" t="s">
        <v>560</v>
      </c>
      <c r="H74" s="5" t="s">
        <v>510</v>
      </c>
      <c r="I74" s="26" t="s">
        <v>94</v>
      </c>
      <c r="J74" s="19"/>
      <c r="K74" s="5">
        <v>910255</v>
      </c>
      <c r="L74" s="4">
        <f t="shared" si="2"/>
        <v>1642994025</v>
      </c>
      <c r="M74" s="18"/>
      <c r="N74" s="288"/>
    </row>
    <row r="75" spans="1:24" ht="19.5" customHeight="1">
      <c r="A75" s="6" t="str">
        <f t="shared" si="0"/>
        <v>C30</v>
      </c>
      <c r="B75" s="3">
        <v>42116</v>
      </c>
      <c r="C75" s="3">
        <v>42116</v>
      </c>
      <c r="D75" s="4"/>
      <c r="E75" s="20" t="s">
        <v>165</v>
      </c>
      <c r="F75" s="5" t="s">
        <v>508</v>
      </c>
      <c r="G75" s="311" t="s">
        <v>560</v>
      </c>
      <c r="H75" s="5" t="s">
        <v>510</v>
      </c>
      <c r="I75" s="26" t="s">
        <v>35</v>
      </c>
      <c r="J75" s="19"/>
      <c r="K75" s="5">
        <v>91025</v>
      </c>
      <c r="L75" s="4">
        <f t="shared" si="2"/>
        <v>1642903000</v>
      </c>
      <c r="M75" s="18"/>
      <c r="N75" s="288"/>
    </row>
    <row r="76" spans="1:24" ht="19.5" customHeight="1">
      <c r="A76" s="6" t="str">
        <f t="shared" si="0"/>
        <v>C31</v>
      </c>
      <c r="B76" s="3">
        <v>42118</v>
      </c>
      <c r="C76" s="3">
        <v>42118</v>
      </c>
      <c r="D76" s="4"/>
      <c r="E76" s="20" t="s">
        <v>166</v>
      </c>
      <c r="F76" s="5" t="s">
        <v>45</v>
      </c>
      <c r="G76" s="311" t="s">
        <v>576</v>
      </c>
      <c r="H76" s="5" t="s">
        <v>349</v>
      </c>
      <c r="I76" s="26" t="s">
        <v>94</v>
      </c>
      <c r="J76" s="19"/>
      <c r="K76" s="5">
        <v>7000000</v>
      </c>
      <c r="L76" s="4">
        <f t="shared" si="2"/>
        <v>1635903000</v>
      </c>
      <c r="M76" s="18"/>
      <c r="N76" s="288"/>
    </row>
    <row r="77" spans="1:24" ht="19.5" customHeight="1">
      <c r="A77" s="6" t="str">
        <f t="shared" ref="A77:A105" si="3">D77&amp;E77</f>
        <v>C31</v>
      </c>
      <c r="B77" s="3">
        <v>42118</v>
      </c>
      <c r="C77" s="3">
        <v>42118</v>
      </c>
      <c r="D77" s="4"/>
      <c r="E77" s="20" t="s">
        <v>166</v>
      </c>
      <c r="F77" s="5" t="s">
        <v>46</v>
      </c>
      <c r="G77" s="311" t="s">
        <v>576</v>
      </c>
      <c r="H77" s="5" t="s">
        <v>349</v>
      </c>
      <c r="I77" s="26" t="s">
        <v>35</v>
      </c>
      <c r="J77" s="19"/>
      <c r="K77" s="5">
        <v>700000</v>
      </c>
      <c r="L77" s="4">
        <f t="shared" si="2"/>
        <v>1635203000</v>
      </c>
      <c r="M77" s="18"/>
      <c r="N77" s="288"/>
    </row>
    <row r="78" spans="1:24" ht="19.5" customHeight="1">
      <c r="A78" s="6" t="str">
        <f t="shared" si="3"/>
        <v>C32</v>
      </c>
      <c r="B78" s="3">
        <v>42118</v>
      </c>
      <c r="C78" s="3">
        <v>42118</v>
      </c>
      <c r="D78" s="4"/>
      <c r="E78" s="20" t="s">
        <v>167</v>
      </c>
      <c r="F78" s="5" t="s">
        <v>332</v>
      </c>
      <c r="G78" s="312"/>
      <c r="H78" s="5" t="s">
        <v>333</v>
      </c>
      <c r="I78" s="26" t="s">
        <v>334</v>
      </c>
      <c r="J78" s="19"/>
      <c r="K78" s="5">
        <v>400000000</v>
      </c>
      <c r="L78" s="4">
        <f t="shared" si="2"/>
        <v>1235203000</v>
      </c>
      <c r="M78" s="40"/>
      <c r="N78" s="288"/>
      <c r="O78" s="6">
        <v>1000</v>
      </c>
      <c r="P78" s="6">
        <v>40</v>
      </c>
      <c r="Q78" s="6">
        <f>P78*O78</f>
        <v>40000</v>
      </c>
      <c r="R78" s="6">
        <f>Q78/1.1</f>
        <v>36363.63636363636</v>
      </c>
      <c r="S78" s="6">
        <f>R78*0.1</f>
        <v>3636.363636363636</v>
      </c>
      <c r="U78" s="6">
        <v>15</v>
      </c>
      <c r="V78" s="6">
        <f>U78*O78</f>
        <v>15000</v>
      </c>
      <c r="W78" s="6">
        <f>V78/1.1</f>
        <v>13636.363636363636</v>
      </c>
      <c r="X78" s="6">
        <f>W78*0.1</f>
        <v>1363.6363636363637</v>
      </c>
    </row>
    <row r="79" spans="1:24" ht="19.5" customHeight="1">
      <c r="A79" s="6" t="str">
        <f t="shared" si="3"/>
        <v>C33</v>
      </c>
      <c r="B79" s="3">
        <v>42118</v>
      </c>
      <c r="C79" s="3">
        <v>42118</v>
      </c>
      <c r="D79" s="4"/>
      <c r="E79" s="20" t="s">
        <v>168</v>
      </c>
      <c r="F79" s="5" t="s">
        <v>332</v>
      </c>
      <c r="G79" s="312"/>
      <c r="H79" s="5" t="s">
        <v>335</v>
      </c>
      <c r="I79" s="26" t="s">
        <v>334</v>
      </c>
      <c r="J79" s="19"/>
      <c r="K79" s="5">
        <v>420000000</v>
      </c>
      <c r="L79" s="4">
        <f t="shared" ref="L79:L101" si="4">IF(F79&lt;&gt;"",L78+J79-K79,0)</f>
        <v>815203000</v>
      </c>
      <c r="M79" s="40"/>
      <c r="N79" s="288"/>
      <c r="O79" s="6">
        <v>1000</v>
      </c>
      <c r="P79" s="6">
        <v>40</v>
      </c>
      <c r="Q79" s="6">
        <f>P79*O79</f>
        <v>40000</v>
      </c>
      <c r="R79" s="6">
        <f>Q79/1.1</f>
        <v>36363.63636363636</v>
      </c>
      <c r="S79" s="6">
        <f>R79*0.1</f>
        <v>3636.363636363636</v>
      </c>
      <c r="U79" s="6">
        <v>30</v>
      </c>
      <c r="V79" s="6">
        <f>U79*O79</f>
        <v>30000</v>
      </c>
      <c r="W79" s="6">
        <f>V79/1.1</f>
        <v>27272.727272727272</v>
      </c>
      <c r="X79" s="6">
        <f>W79*0.1</f>
        <v>2727.2727272727275</v>
      </c>
    </row>
    <row r="80" spans="1:24" ht="19.5" customHeight="1">
      <c r="A80" s="6" t="str">
        <f t="shared" si="3"/>
        <v>C34</v>
      </c>
      <c r="B80" s="3">
        <v>42118</v>
      </c>
      <c r="C80" s="3">
        <v>42118</v>
      </c>
      <c r="D80" s="4"/>
      <c r="E80" s="20" t="s">
        <v>169</v>
      </c>
      <c r="F80" s="5" t="s">
        <v>613</v>
      </c>
      <c r="G80" s="311" t="s">
        <v>620</v>
      </c>
      <c r="H80" s="5" t="s">
        <v>616</v>
      </c>
      <c r="I80" s="26" t="s">
        <v>94</v>
      </c>
      <c r="J80" s="19"/>
      <c r="K80" s="5">
        <f>345455+445455+445455+463636</f>
        <v>1700001</v>
      </c>
      <c r="L80" s="4">
        <f t="shared" si="4"/>
        <v>813502999</v>
      </c>
      <c r="M80" s="18"/>
      <c r="N80" s="288"/>
    </row>
    <row r="81" spans="1:24" ht="19.5" customHeight="1">
      <c r="A81" s="6" t="str">
        <f t="shared" si="3"/>
        <v>C34</v>
      </c>
      <c r="B81" s="3">
        <v>42118</v>
      </c>
      <c r="C81" s="3">
        <v>42118</v>
      </c>
      <c r="D81" s="4"/>
      <c r="E81" s="20" t="s">
        <v>169</v>
      </c>
      <c r="F81" s="5" t="s">
        <v>614</v>
      </c>
      <c r="G81" s="311" t="s">
        <v>620</v>
      </c>
      <c r="H81" s="5" t="s">
        <v>616</v>
      </c>
      <c r="I81" s="26" t="s">
        <v>35</v>
      </c>
      <c r="J81" s="19"/>
      <c r="K81" s="5">
        <f>34545+44545+44545+46364</f>
        <v>169999</v>
      </c>
      <c r="L81" s="4">
        <f t="shared" si="4"/>
        <v>813333000</v>
      </c>
      <c r="M81" s="18"/>
      <c r="N81" s="288"/>
    </row>
    <row r="82" spans="1:24" ht="19.5" customHeight="1">
      <c r="A82" s="6" t="str">
        <f t="shared" si="3"/>
        <v>C34</v>
      </c>
      <c r="B82" s="3">
        <v>42118</v>
      </c>
      <c r="C82" s="3">
        <v>42118</v>
      </c>
      <c r="D82" s="4"/>
      <c r="E82" s="20" t="s">
        <v>169</v>
      </c>
      <c r="F82" s="5" t="s">
        <v>609</v>
      </c>
      <c r="G82" s="311" t="s">
        <v>621</v>
      </c>
      <c r="H82" s="5" t="s">
        <v>611</v>
      </c>
      <c r="I82" s="26" t="s">
        <v>94</v>
      </c>
      <c r="J82" s="19"/>
      <c r="K82" s="5">
        <v>10800000</v>
      </c>
      <c r="L82" s="4">
        <f t="shared" si="4"/>
        <v>802533000</v>
      </c>
      <c r="M82" s="18"/>
      <c r="N82" s="288"/>
    </row>
    <row r="83" spans="1:24" ht="19.5" customHeight="1">
      <c r="A83" s="6" t="str">
        <f t="shared" si="3"/>
        <v>C34</v>
      </c>
      <c r="B83" s="3">
        <v>42118</v>
      </c>
      <c r="C83" s="3">
        <v>42118</v>
      </c>
      <c r="D83" s="4"/>
      <c r="E83" s="20" t="s">
        <v>169</v>
      </c>
      <c r="F83" s="5" t="s">
        <v>612</v>
      </c>
      <c r="G83" s="311" t="s">
        <v>621</v>
      </c>
      <c r="H83" s="5" t="s">
        <v>611</v>
      </c>
      <c r="I83" s="26" t="s">
        <v>35</v>
      </c>
      <c r="J83" s="19"/>
      <c r="K83" s="5">
        <v>1080000</v>
      </c>
      <c r="L83" s="4">
        <f t="shared" si="4"/>
        <v>801453000</v>
      </c>
      <c r="M83" s="18"/>
      <c r="N83" s="288"/>
    </row>
    <row r="84" spans="1:24" ht="19.5" customHeight="1">
      <c r="A84" s="6" t="str">
        <f t="shared" si="3"/>
        <v>C35</v>
      </c>
      <c r="B84" s="3">
        <v>42119</v>
      </c>
      <c r="C84" s="3">
        <v>42119</v>
      </c>
      <c r="D84" s="4"/>
      <c r="E84" s="20" t="s">
        <v>170</v>
      </c>
      <c r="F84" s="5" t="s">
        <v>507</v>
      </c>
      <c r="G84" s="106" t="s">
        <v>561</v>
      </c>
      <c r="H84" s="38" t="s">
        <v>510</v>
      </c>
      <c r="I84" s="26" t="s">
        <v>94</v>
      </c>
      <c r="J84" s="19"/>
      <c r="K84" s="5">
        <v>633927</v>
      </c>
      <c r="L84" s="4">
        <f t="shared" si="4"/>
        <v>800819073</v>
      </c>
      <c r="M84" s="18"/>
      <c r="N84" s="288"/>
    </row>
    <row r="85" spans="1:24" ht="19.5" customHeight="1">
      <c r="A85" s="6" t="str">
        <f t="shared" si="3"/>
        <v>C35</v>
      </c>
      <c r="B85" s="3">
        <v>42119</v>
      </c>
      <c r="C85" s="3">
        <v>42119</v>
      </c>
      <c r="D85" s="4"/>
      <c r="E85" s="20" t="s">
        <v>170</v>
      </c>
      <c r="F85" s="5" t="s">
        <v>508</v>
      </c>
      <c r="G85" s="106" t="s">
        <v>561</v>
      </c>
      <c r="H85" s="38" t="s">
        <v>510</v>
      </c>
      <c r="I85" s="26" t="s">
        <v>35</v>
      </c>
      <c r="J85" s="19"/>
      <c r="K85" s="5">
        <v>63393</v>
      </c>
      <c r="L85" s="4">
        <f t="shared" si="4"/>
        <v>800755680</v>
      </c>
      <c r="M85" s="18"/>
      <c r="N85" s="288"/>
    </row>
    <row r="86" spans="1:24" ht="19.5" customHeight="1">
      <c r="A86" s="6" t="str">
        <f t="shared" si="3"/>
        <v>C36</v>
      </c>
      <c r="B86" s="3">
        <v>42121</v>
      </c>
      <c r="C86" s="3">
        <v>42121</v>
      </c>
      <c r="D86" s="4"/>
      <c r="E86" s="20" t="s">
        <v>171</v>
      </c>
      <c r="F86" s="5" t="s">
        <v>562</v>
      </c>
      <c r="G86" s="311" t="s">
        <v>564</v>
      </c>
      <c r="H86" s="5" t="s">
        <v>565</v>
      </c>
      <c r="I86" s="26" t="s">
        <v>94</v>
      </c>
      <c r="J86" s="19"/>
      <c r="K86" s="5">
        <v>14400000</v>
      </c>
      <c r="L86" s="4">
        <f t="shared" si="4"/>
        <v>786355680</v>
      </c>
      <c r="M86" s="18"/>
      <c r="N86" s="288"/>
    </row>
    <row r="87" spans="1:24" ht="19.5" customHeight="1">
      <c r="A87" s="6" t="str">
        <f t="shared" si="3"/>
        <v>C36</v>
      </c>
      <c r="B87" s="3">
        <v>42121</v>
      </c>
      <c r="C87" s="3">
        <v>42121</v>
      </c>
      <c r="D87" s="4"/>
      <c r="E87" s="20" t="s">
        <v>171</v>
      </c>
      <c r="F87" s="5" t="s">
        <v>563</v>
      </c>
      <c r="G87" s="311" t="s">
        <v>564</v>
      </c>
      <c r="H87" s="5" t="s">
        <v>565</v>
      </c>
      <c r="I87" s="26" t="s">
        <v>35</v>
      </c>
      <c r="J87" s="19"/>
      <c r="K87" s="5">
        <v>1440000</v>
      </c>
      <c r="L87" s="4">
        <f t="shared" si="4"/>
        <v>784915680</v>
      </c>
      <c r="M87" s="18"/>
      <c r="N87" s="288"/>
    </row>
    <row r="88" spans="1:24" ht="19.5" customHeight="1">
      <c r="A88" s="6" t="str">
        <f t="shared" si="3"/>
        <v>C37</v>
      </c>
      <c r="B88" s="3">
        <v>42122</v>
      </c>
      <c r="C88" s="3">
        <v>42122</v>
      </c>
      <c r="D88" s="4"/>
      <c r="E88" s="20" t="s">
        <v>172</v>
      </c>
      <c r="F88" s="28" t="s">
        <v>507</v>
      </c>
      <c r="G88" s="106" t="s">
        <v>566</v>
      </c>
      <c r="H88" s="5" t="s">
        <v>510</v>
      </c>
      <c r="I88" s="26" t="s">
        <v>94</v>
      </c>
      <c r="J88" s="19"/>
      <c r="K88" s="5">
        <v>666436</v>
      </c>
      <c r="L88" s="4">
        <f t="shared" si="4"/>
        <v>784249244</v>
      </c>
      <c r="M88" s="18"/>
      <c r="N88" s="288"/>
    </row>
    <row r="89" spans="1:24" ht="19.5" customHeight="1">
      <c r="A89" s="6" t="str">
        <f t="shared" si="3"/>
        <v>C37</v>
      </c>
      <c r="B89" s="3">
        <v>42122</v>
      </c>
      <c r="C89" s="3">
        <v>42122</v>
      </c>
      <c r="D89" s="4"/>
      <c r="E89" s="20" t="s">
        <v>172</v>
      </c>
      <c r="F89" s="28" t="s">
        <v>508</v>
      </c>
      <c r="G89" s="106" t="s">
        <v>566</v>
      </c>
      <c r="H89" s="5" t="s">
        <v>510</v>
      </c>
      <c r="I89" s="26" t="s">
        <v>35</v>
      </c>
      <c r="J89" s="19"/>
      <c r="K89" s="5">
        <v>66644</v>
      </c>
      <c r="L89" s="4">
        <f t="shared" si="4"/>
        <v>784182600</v>
      </c>
      <c r="M89" s="18"/>
      <c r="N89" s="288"/>
    </row>
    <row r="90" spans="1:24" ht="19.5" customHeight="1">
      <c r="A90" s="6" t="str">
        <f t="shared" si="3"/>
        <v>C38</v>
      </c>
      <c r="B90" s="3">
        <v>42122</v>
      </c>
      <c r="C90" s="3">
        <v>42122</v>
      </c>
      <c r="D90" s="4"/>
      <c r="E90" s="20" t="s">
        <v>336</v>
      </c>
      <c r="F90" s="5" t="s">
        <v>301</v>
      </c>
      <c r="G90" s="311" t="s">
        <v>567</v>
      </c>
      <c r="H90" s="5" t="s">
        <v>303</v>
      </c>
      <c r="I90" s="26" t="s">
        <v>34</v>
      </c>
      <c r="J90" s="19"/>
      <c r="K90" s="5">
        <v>1925000</v>
      </c>
      <c r="L90" s="4">
        <f t="shared" si="4"/>
        <v>782257600</v>
      </c>
      <c r="M90" s="18"/>
      <c r="N90" s="288"/>
    </row>
    <row r="91" spans="1:24" ht="19.5" customHeight="1">
      <c r="A91" s="6" t="str">
        <f t="shared" si="3"/>
        <v>C39</v>
      </c>
      <c r="B91" s="3">
        <v>42122</v>
      </c>
      <c r="C91" s="3">
        <v>42122</v>
      </c>
      <c r="D91" s="4"/>
      <c r="E91" s="20" t="s">
        <v>337</v>
      </c>
      <c r="F91" s="5" t="s">
        <v>500</v>
      </c>
      <c r="G91" s="312"/>
      <c r="H91" s="5" t="s">
        <v>501</v>
      </c>
      <c r="I91" s="26" t="s">
        <v>94</v>
      </c>
      <c r="J91" s="19"/>
      <c r="K91" s="5">
        <v>1810000</v>
      </c>
      <c r="L91" s="4">
        <f t="shared" si="4"/>
        <v>780447600</v>
      </c>
      <c r="M91" s="18"/>
      <c r="N91" s="288"/>
      <c r="O91" s="6">
        <v>1000</v>
      </c>
      <c r="P91" s="6">
        <v>20</v>
      </c>
      <c r="Q91" s="6">
        <f t="shared" ref="Q91:Q101" si="5">P91*O91</f>
        <v>20000</v>
      </c>
      <c r="R91" s="6">
        <f t="shared" ref="R91:R101" si="6">Q91/1.1</f>
        <v>18181.81818181818</v>
      </c>
      <c r="S91" s="6">
        <f t="shared" ref="S91:S101" si="7">R91*0.1</f>
        <v>1818.181818181818</v>
      </c>
      <c r="U91" s="6">
        <v>15</v>
      </c>
      <c r="V91" s="6">
        <f t="shared" ref="V91:V101" si="8">U91*O91</f>
        <v>15000</v>
      </c>
      <c r="W91" s="6">
        <f t="shared" ref="W91:W101" si="9">V91/1.1</f>
        <v>13636.363636363636</v>
      </c>
      <c r="X91" s="6">
        <f t="shared" ref="X91:X101" si="10">W91*0.1</f>
        <v>1363.6363636363637</v>
      </c>
    </row>
    <row r="92" spans="1:24" ht="19.5" customHeight="1">
      <c r="A92" s="6" t="str">
        <f t="shared" si="3"/>
        <v>C39</v>
      </c>
      <c r="B92" s="3">
        <v>42122</v>
      </c>
      <c r="C92" s="3">
        <v>42122</v>
      </c>
      <c r="D92" s="4"/>
      <c r="E92" s="20" t="s">
        <v>337</v>
      </c>
      <c r="F92" s="5" t="s">
        <v>568</v>
      </c>
      <c r="G92" s="312"/>
      <c r="H92" s="5" t="s">
        <v>501</v>
      </c>
      <c r="I92" s="26" t="s">
        <v>35</v>
      </c>
      <c r="J92" s="19"/>
      <c r="K92" s="5">
        <v>181000</v>
      </c>
      <c r="L92" s="4">
        <f t="shared" si="4"/>
        <v>780266600</v>
      </c>
      <c r="M92" s="18"/>
      <c r="N92" s="288"/>
      <c r="O92" s="6">
        <v>1000</v>
      </c>
      <c r="P92" s="6">
        <v>20</v>
      </c>
      <c r="Q92" s="6">
        <f t="shared" si="5"/>
        <v>20000</v>
      </c>
      <c r="R92" s="6">
        <f t="shared" si="6"/>
        <v>18181.81818181818</v>
      </c>
      <c r="S92" s="6">
        <f t="shared" si="7"/>
        <v>1818.181818181818</v>
      </c>
      <c r="U92" s="6">
        <v>15</v>
      </c>
      <c r="V92" s="6">
        <f t="shared" si="8"/>
        <v>15000</v>
      </c>
      <c r="W92" s="6">
        <f t="shared" si="9"/>
        <v>13636.363636363636</v>
      </c>
      <c r="X92" s="6">
        <f t="shared" si="10"/>
        <v>1363.6363636363637</v>
      </c>
    </row>
    <row r="93" spans="1:24" ht="19.5" customHeight="1">
      <c r="A93" s="6" t="str">
        <f t="shared" si="3"/>
        <v>C40</v>
      </c>
      <c r="B93" s="3">
        <v>42122</v>
      </c>
      <c r="C93" s="3">
        <v>42122</v>
      </c>
      <c r="D93" s="4"/>
      <c r="E93" s="20" t="s">
        <v>338</v>
      </c>
      <c r="F93" s="5" t="s">
        <v>500</v>
      </c>
      <c r="G93" s="312"/>
      <c r="H93" s="5" t="s">
        <v>502</v>
      </c>
      <c r="I93" s="26" t="s">
        <v>94</v>
      </c>
      <c r="J93" s="19"/>
      <c r="K93" s="5">
        <v>1950000</v>
      </c>
      <c r="L93" s="4">
        <f t="shared" si="4"/>
        <v>778316600</v>
      </c>
      <c r="M93" s="18"/>
      <c r="N93" s="288"/>
      <c r="O93" s="6">
        <v>1000</v>
      </c>
      <c r="P93" s="6">
        <v>20</v>
      </c>
      <c r="Q93" s="6">
        <f t="shared" si="5"/>
        <v>20000</v>
      </c>
      <c r="R93" s="6">
        <f t="shared" si="6"/>
        <v>18181.81818181818</v>
      </c>
      <c r="S93" s="6">
        <f t="shared" si="7"/>
        <v>1818.181818181818</v>
      </c>
      <c r="U93" s="6">
        <v>15</v>
      </c>
      <c r="V93" s="6">
        <f t="shared" si="8"/>
        <v>15000</v>
      </c>
      <c r="W93" s="6">
        <f t="shared" si="9"/>
        <v>13636.363636363636</v>
      </c>
      <c r="X93" s="6">
        <f t="shared" si="10"/>
        <v>1363.6363636363637</v>
      </c>
    </row>
    <row r="94" spans="1:24" ht="19.5" customHeight="1">
      <c r="A94" s="6" t="str">
        <f t="shared" si="3"/>
        <v>C40</v>
      </c>
      <c r="B94" s="3">
        <v>42122</v>
      </c>
      <c r="C94" s="3">
        <v>42122</v>
      </c>
      <c r="D94" s="4"/>
      <c r="E94" s="20" t="s">
        <v>338</v>
      </c>
      <c r="F94" s="5" t="s">
        <v>568</v>
      </c>
      <c r="G94" s="312"/>
      <c r="H94" s="5" t="s">
        <v>502</v>
      </c>
      <c r="I94" s="26" t="s">
        <v>35</v>
      </c>
      <c r="J94" s="19"/>
      <c r="K94" s="5">
        <v>195000</v>
      </c>
      <c r="L94" s="4">
        <f t="shared" si="4"/>
        <v>778121600</v>
      </c>
      <c r="M94" s="18"/>
      <c r="N94" s="288"/>
      <c r="O94" s="6">
        <v>1000</v>
      </c>
      <c r="P94" s="6">
        <v>20</v>
      </c>
      <c r="Q94" s="6">
        <f t="shared" si="5"/>
        <v>20000</v>
      </c>
      <c r="R94" s="6">
        <f t="shared" si="6"/>
        <v>18181.81818181818</v>
      </c>
      <c r="S94" s="6">
        <f t="shared" si="7"/>
        <v>1818.181818181818</v>
      </c>
      <c r="U94" s="6">
        <v>15</v>
      </c>
      <c r="V94" s="6">
        <f t="shared" si="8"/>
        <v>15000</v>
      </c>
      <c r="W94" s="6">
        <f t="shared" si="9"/>
        <v>13636.363636363636</v>
      </c>
      <c r="X94" s="6">
        <f t="shared" si="10"/>
        <v>1363.6363636363637</v>
      </c>
    </row>
    <row r="95" spans="1:24" ht="19.5" customHeight="1">
      <c r="A95" s="6" t="str">
        <f t="shared" si="3"/>
        <v>C41</v>
      </c>
      <c r="B95" s="3">
        <v>42124</v>
      </c>
      <c r="C95" s="3">
        <v>42124</v>
      </c>
      <c r="D95" s="4"/>
      <c r="E95" s="20" t="s">
        <v>339</v>
      </c>
      <c r="F95" s="5" t="s">
        <v>570</v>
      </c>
      <c r="G95" s="311" t="s">
        <v>573</v>
      </c>
      <c r="H95" s="5" t="s">
        <v>270</v>
      </c>
      <c r="I95" s="26" t="s">
        <v>94</v>
      </c>
      <c r="J95" s="19"/>
      <c r="K95" s="5">
        <v>1988220</v>
      </c>
      <c r="L95" s="4">
        <f t="shared" si="4"/>
        <v>776133380</v>
      </c>
      <c r="M95" s="18"/>
      <c r="N95" s="288"/>
      <c r="O95" s="6">
        <v>1000</v>
      </c>
      <c r="P95" s="6">
        <v>20</v>
      </c>
      <c r="Q95" s="6">
        <f t="shared" si="5"/>
        <v>20000</v>
      </c>
      <c r="R95" s="6">
        <f t="shared" si="6"/>
        <v>18181.81818181818</v>
      </c>
      <c r="S95" s="6">
        <f t="shared" si="7"/>
        <v>1818.181818181818</v>
      </c>
      <c r="U95" s="6">
        <v>15</v>
      </c>
      <c r="V95" s="6">
        <f t="shared" si="8"/>
        <v>15000</v>
      </c>
      <c r="W95" s="6">
        <f t="shared" si="9"/>
        <v>13636.363636363636</v>
      </c>
      <c r="X95" s="6">
        <f t="shared" si="10"/>
        <v>1363.6363636363637</v>
      </c>
    </row>
    <row r="96" spans="1:24" ht="19.5" customHeight="1">
      <c r="A96" s="6" t="str">
        <f t="shared" si="3"/>
        <v>C41</v>
      </c>
      <c r="B96" s="3">
        <v>42124</v>
      </c>
      <c r="C96" s="3">
        <v>42124</v>
      </c>
      <c r="D96" s="4"/>
      <c r="E96" s="20" t="s">
        <v>339</v>
      </c>
      <c r="F96" s="5" t="s">
        <v>571</v>
      </c>
      <c r="G96" s="311" t="s">
        <v>573</v>
      </c>
      <c r="H96" s="5" t="s">
        <v>270</v>
      </c>
      <c r="I96" s="26" t="s">
        <v>35</v>
      </c>
      <c r="J96" s="19"/>
      <c r="K96" s="5">
        <v>198822</v>
      </c>
      <c r="L96" s="4">
        <f t="shared" si="4"/>
        <v>775934558</v>
      </c>
      <c r="M96" s="18"/>
      <c r="N96" s="288"/>
      <c r="O96" s="6">
        <v>1000</v>
      </c>
      <c r="P96" s="6">
        <v>20</v>
      </c>
      <c r="Q96" s="6">
        <f t="shared" si="5"/>
        <v>20000</v>
      </c>
      <c r="R96" s="6">
        <f t="shared" si="6"/>
        <v>18181.81818181818</v>
      </c>
      <c r="S96" s="6">
        <f t="shared" si="7"/>
        <v>1818.181818181818</v>
      </c>
      <c r="U96" s="6">
        <v>15</v>
      </c>
      <c r="V96" s="6">
        <f t="shared" si="8"/>
        <v>15000</v>
      </c>
      <c r="W96" s="6">
        <f t="shared" si="9"/>
        <v>13636.363636363636</v>
      </c>
      <c r="X96" s="6">
        <f t="shared" si="10"/>
        <v>1363.6363636363637</v>
      </c>
    </row>
    <row r="97" spans="1:24" ht="19.5" customHeight="1">
      <c r="A97" s="6" t="str">
        <f t="shared" si="3"/>
        <v>C42</v>
      </c>
      <c r="B97" s="3">
        <v>42124</v>
      </c>
      <c r="C97" s="3">
        <v>42124</v>
      </c>
      <c r="D97" s="4"/>
      <c r="E97" s="20" t="s">
        <v>340</v>
      </c>
      <c r="F97" s="5" t="s">
        <v>533</v>
      </c>
      <c r="G97" s="311" t="s">
        <v>574</v>
      </c>
      <c r="H97" s="5" t="s">
        <v>192</v>
      </c>
      <c r="I97" s="26" t="s">
        <v>94</v>
      </c>
      <c r="J97" s="19"/>
      <c r="K97" s="5">
        <v>172800</v>
      </c>
      <c r="L97" s="4">
        <f t="shared" si="4"/>
        <v>775761758</v>
      </c>
      <c r="M97" s="18"/>
      <c r="N97" s="288"/>
      <c r="O97" s="6">
        <v>1000</v>
      </c>
      <c r="P97" s="6">
        <v>20</v>
      </c>
      <c r="Q97" s="6">
        <f t="shared" si="5"/>
        <v>20000</v>
      </c>
      <c r="R97" s="6">
        <f t="shared" si="6"/>
        <v>18181.81818181818</v>
      </c>
      <c r="S97" s="6">
        <f t="shared" si="7"/>
        <v>1818.181818181818</v>
      </c>
      <c r="U97" s="6">
        <v>15</v>
      </c>
      <c r="V97" s="6">
        <f t="shared" si="8"/>
        <v>15000</v>
      </c>
      <c r="W97" s="6">
        <f t="shared" si="9"/>
        <v>13636.363636363636</v>
      </c>
      <c r="X97" s="6">
        <f t="shared" si="10"/>
        <v>1363.6363636363637</v>
      </c>
    </row>
    <row r="98" spans="1:24" ht="19.5" customHeight="1">
      <c r="A98" s="6" t="str">
        <f t="shared" si="3"/>
        <v>C42</v>
      </c>
      <c r="B98" s="3">
        <v>42124</v>
      </c>
      <c r="C98" s="3">
        <v>42124</v>
      </c>
      <c r="D98" s="4"/>
      <c r="E98" s="20" t="s">
        <v>340</v>
      </c>
      <c r="F98" s="5" t="s">
        <v>53</v>
      </c>
      <c r="G98" s="311" t="s">
        <v>574</v>
      </c>
      <c r="H98" s="5" t="s">
        <v>192</v>
      </c>
      <c r="I98" s="26" t="s">
        <v>54</v>
      </c>
      <c r="J98" s="19"/>
      <c r="K98" s="5">
        <v>719545</v>
      </c>
      <c r="L98" s="4">
        <f t="shared" si="4"/>
        <v>775042213</v>
      </c>
      <c r="M98" s="18"/>
      <c r="N98" s="288"/>
      <c r="O98" s="6">
        <v>1000</v>
      </c>
      <c r="P98" s="6">
        <v>20</v>
      </c>
      <c r="Q98" s="6">
        <f t="shared" si="5"/>
        <v>20000</v>
      </c>
      <c r="R98" s="6">
        <f t="shared" si="6"/>
        <v>18181.81818181818</v>
      </c>
      <c r="S98" s="6">
        <f t="shared" si="7"/>
        <v>1818.181818181818</v>
      </c>
      <c r="U98" s="6">
        <v>15</v>
      </c>
      <c r="V98" s="6">
        <f t="shared" si="8"/>
        <v>15000</v>
      </c>
      <c r="W98" s="6">
        <f t="shared" si="9"/>
        <v>13636.363636363636</v>
      </c>
      <c r="X98" s="6">
        <f t="shared" si="10"/>
        <v>1363.6363636363637</v>
      </c>
    </row>
    <row r="99" spans="1:24" ht="19.5" customHeight="1">
      <c r="A99" s="6" t="str">
        <f t="shared" si="3"/>
        <v>C42</v>
      </c>
      <c r="B99" s="3">
        <v>42124</v>
      </c>
      <c r="C99" s="3">
        <v>42124</v>
      </c>
      <c r="D99" s="4"/>
      <c r="E99" s="20" t="s">
        <v>340</v>
      </c>
      <c r="F99" s="5" t="s">
        <v>572</v>
      </c>
      <c r="G99" s="311" t="s">
        <v>574</v>
      </c>
      <c r="H99" s="5" t="s">
        <v>192</v>
      </c>
      <c r="I99" s="26" t="s">
        <v>35</v>
      </c>
      <c r="J99" s="19"/>
      <c r="K99" s="5">
        <v>89235</v>
      </c>
      <c r="L99" s="4">
        <f t="shared" si="4"/>
        <v>774952978</v>
      </c>
      <c r="M99" s="18"/>
      <c r="N99" s="288"/>
      <c r="O99" s="6">
        <v>1000</v>
      </c>
      <c r="P99" s="6">
        <v>20</v>
      </c>
      <c r="Q99" s="6">
        <f t="shared" si="5"/>
        <v>20000</v>
      </c>
      <c r="R99" s="6">
        <f t="shared" si="6"/>
        <v>18181.81818181818</v>
      </c>
      <c r="S99" s="6">
        <f t="shared" si="7"/>
        <v>1818.181818181818</v>
      </c>
      <c r="U99" s="6">
        <v>15</v>
      </c>
      <c r="V99" s="6">
        <f t="shared" si="8"/>
        <v>15000</v>
      </c>
      <c r="W99" s="6">
        <f t="shared" si="9"/>
        <v>13636.363636363636</v>
      </c>
      <c r="X99" s="6">
        <f t="shared" si="10"/>
        <v>1363.6363636363637</v>
      </c>
    </row>
    <row r="100" spans="1:24" ht="19.5" customHeight="1">
      <c r="A100" s="6" t="str">
        <f t="shared" si="3"/>
        <v>C43</v>
      </c>
      <c r="B100" s="3">
        <v>42124</v>
      </c>
      <c r="C100" s="3">
        <v>42124</v>
      </c>
      <c r="D100" s="4"/>
      <c r="E100" s="20" t="s">
        <v>341</v>
      </c>
      <c r="F100" s="5" t="s">
        <v>719</v>
      </c>
      <c r="G100" s="311" t="s">
        <v>720</v>
      </c>
      <c r="H100" s="5" t="s">
        <v>721</v>
      </c>
      <c r="I100" s="26" t="s">
        <v>94</v>
      </c>
      <c r="J100" s="19"/>
      <c r="K100" s="5">
        <v>1000000</v>
      </c>
      <c r="L100" s="4">
        <f t="shared" si="4"/>
        <v>773952978</v>
      </c>
      <c r="M100" s="18"/>
      <c r="N100" s="288"/>
      <c r="O100" s="6">
        <v>1000</v>
      </c>
      <c r="P100" s="6">
        <v>20</v>
      </c>
      <c r="Q100" s="6">
        <f t="shared" si="5"/>
        <v>20000</v>
      </c>
      <c r="R100" s="6">
        <f t="shared" si="6"/>
        <v>18181.81818181818</v>
      </c>
      <c r="S100" s="6">
        <f t="shared" si="7"/>
        <v>1818.181818181818</v>
      </c>
      <c r="U100" s="6">
        <v>15</v>
      </c>
      <c r="V100" s="6">
        <f t="shared" si="8"/>
        <v>15000</v>
      </c>
      <c r="W100" s="6">
        <f t="shared" si="9"/>
        <v>13636.363636363636</v>
      </c>
      <c r="X100" s="6">
        <f t="shared" si="10"/>
        <v>1363.6363636363637</v>
      </c>
    </row>
    <row r="101" spans="1:24" ht="19.5" customHeight="1">
      <c r="A101" s="6" t="str">
        <f t="shared" si="3"/>
        <v>C44</v>
      </c>
      <c r="B101" s="3">
        <v>42124</v>
      </c>
      <c r="C101" s="3">
        <v>42124</v>
      </c>
      <c r="D101" s="4"/>
      <c r="E101" s="20" t="s">
        <v>342</v>
      </c>
      <c r="F101" s="28" t="s">
        <v>569</v>
      </c>
      <c r="G101" s="106"/>
      <c r="H101" s="38" t="s">
        <v>261</v>
      </c>
      <c r="I101" s="26" t="s">
        <v>37</v>
      </c>
      <c r="J101" s="19"/>
      <c r="K101" s="5">
        <v>139736930</v>
      </c>
      <c r="L101" s="4">
        <f t="shared" si="4"/>
        <v>634216048</v>
      </c>
      <c r="M101" s="18"/>
      <c r="N101" s="288"/>
      <c r="O101" s="6">
        <v>1000</v>
      </c>
      <c r="P101" s="6">
        <v>60</v>
      </c>
      <c r="Q101" s="6">
        <f t="shared" si="5"/>
        <v>60000</v>
      </c>
      <c r="R101" s="6">
        <f t="shared" si="6"/>
        <v>54545.454545454544</v>
      </c>
      <c r="S101" s="6">
        <f t="shared" si="7"/>
        <v>5454.545454545455</v>
      </c>
      <c r="U101" s="6">
        <v>15</v>
      </c>
      <c r="V101" s="6">
        <f t="shared" si="8"/>
        <v>15000</v>
      </c>
      <c r="W101" s="6">
        <f t="shared" si="9"/>
        <v>13636.363636363636</v>
      </c>
      <c r="X101" s="6">
        <f t="shared" si="10"/>
        <v>1363.6363636363637</v>
      </c>
    </row>
    <row r="102" spans="1:24" ht="19.5" customHeight="1">
      <c r="A102" s="6" t="str">
        <f t="shared" si="3"/>
        <v/>
      </c>
      <c r="B102" s="3"/>
      <c r="C102" s="3"/>
      <c r="D102" s="4"/>
      <c r="E102" s="20"/>
      <c r="F102" s="5"/>
      <c r="G102" s="312"/>
      <c r="H102" s="5"/>
      <c r="I102" s="26"/>
      <c r="J102" s="19"/>
      <c r="K102" s="5"/>
      <c r="L102" s="4">
        <f t="shared" ref="L102" si="11">IF(F102&lt;&gt;"",L101+J102-K102,0)</f>
        <v>0</v>
      </c>
      <c r="M102" s="40"/>
      <c r="N102" s="288"/>
      <c r="O102" s="6">
        <v>1000</v>
      </c>
      <c r="P102" s="6">
        <v>40</v>
      </c>
      <c r="Q102" s="6">
        <f t="shared" ref="Q102:Q130" si="12">P102*O102</f>
        <v>40000</v>
      </c>
      <c r="R102" s="6">
        <f t="shared" ref="R102:R131" si="13">Q102/1.1</f>
        <v>36363.63636363636</v>
      </c>
      <c r="S102" s="6">
        <f t="shared" ref="S102:S132" si="14">R102*0.1</f>
        <v>3636.363636363636</v>
      </c>
      <c r="U102" s="6">
        <v>40</v>
      </c>
      <c r="V102" s="6">
        <f t="shared" ref="V102:V104" si="15">U102*O102</f>
        <v>40000</v>
      </c>
      <c r="W102" s="6">
        <f t="shared" ref="W102:W105" si="16">V102/1.1</f>
        <v>36363.63636363636</v>
      </c>
      <c r="X102" s="6">
        <f t="shared" ref="X102:X105" si="17">W102*0.1</f>
        <v>3636.363636363636</v>
      </c>
    </row>
    <row r="103" spans="1:24" ht="19.5" customHeight="1">
      <c r="A103" s="6" t="str">
        <f t="shared" si="3"/>
        <v/>
      </c>
      <c r="B103" s="3"/>
      <c r="C103" s="3"/>
      <c r="D103" s="20"/>
      <c r="E103" s="4"/>
      <c r="F103" s="5"/>
      <c r="G103" s="312"/>
      <c r="H103" s="5"/>
      <c r="I103" s="26"/>
      <c r="J103" s="19"/>
      <c r="K103" s="5"/>
      <c r="L103" s="4"/>
      <c r="M103" s="18"/>
      <c r="N103" s="288"/>
      <c r="O103" s="6">
        <v>1000</v>
      </c>
      <c r="P103" s="6">
        <v>56</v>
      </c>
      <c r="Q103" s="6">
        <f t="shared" si="12"/>
        <v>56000</v>
      </c>
      <c r="R103" s="6">
        <f t="shared" si="13"/>
        <v>50909.090909090904</v>
      </c>
      <c r="S103" s="6">
        <f t="shared" si="14"/>
        <v>5090.909090909091</v>
      </c>
      <c r="U103" s="6">
        <v>450</v>
      </c>
      <c r="V103" s="6">
        <f t="shared" si="15"/>
        <v>450000</v>
      </c>
      <c r="W103" s="6">
        <f t="shared" si="16"/>
        <v>409090.90909090906</v>
      </c>
      <c r="X103" s="6">
        <f t="shared" si="17"/>
        <v>40909.090909090912</v>
      </c>
    </row>
    <row r="104" spans="1:24" s="34" customFormat="1" ht="19.5" customHeight="1">
      <c r="A104" s="6" t="str">
        <f t="shared" si="3"/>
        <v/>
      </c>
      <c r="B104" s="32"/>
      <c r="C104" s="32"/>
      <c r="D104" s="32"/>
      <c r="E104" s="32"/>
      <c r="F104" s="32" t="s">
        <v>29</v>
      </c>
      <c r="G104" s="313"/>
      <c r="H104" s="32"/>
      <c r="I104" s="33" t="s">
        <v>30</v>
      </c>
      <c r="J104" s="32">
        <f>SUM(J13:J102)</f>
        <v>1700000000</v>
      </c>
      <c r="K104" s="32">
        <f>SUM(K13:K102)</f>
        <v>2732812185</v>
      </c>
      <c r="L104" s="33" t="s">
        <v>30</v>
      </c>
      <c r="M104" s="33" t="s">
        <v>30</v>
      </c>
      <c r="N104" s="289"/>
      <c r="O104" s="6">
        <v>1000</v>
      </c>
      <c r="P104" s="6">
        <v>56</v>
      </c>
      <c r="Q104" s="6">
        <f t="shared" si="12"/>
        <v>56000</v>
      </c>
      <c r="R104" s="6">
        <f t="shared" si="13"/>
        <v>50909.090909090904</v>
      </c>
      <c r="S104" s="6">
        <f t="shared" si="14"/>
        <v>5090.909090909091</v>
      </c>
      <c r="U104" s="6">
        <v>450</v>
      </c>
      <c r="V104" s="6">
        <f t="shared" si="15"/>
        <v>450000</v>
      </c>
      <c r="W104" s="6">
        <f t="shared" si="16"/>
        <v>409090.90909090906</v>
      </c>
      <c r="X104" s="6">
        <f t="shared" si="17"/>
        <v>40909.090909090912</v>
      </c>
    </row>
    <row r="105" spans="1:24" s="34" customFormat="1" ht="19.5" customHeight="1">
      <c r="A105" s="6" t="str">
        <f t="shared" si="3"/>
        <v/>
      </c>
      <c r="B105" s="35"/>
      <c r="C105" s="35"/>
      <c r="D105" s="35"/>
      <c r="E105" s="35"/>
      <c r="F105" s="35" t="s">
        <v>31</v>
      </c>
      <c r="G105" s="314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634216048</v>
      </c>
      <c r="M105" s="36" t="s">
        <v>30</v>
      </c>
      <c r="N105" s="289"/>
      <c r="O105" s="6">
        <v>1000</v>
      </c>
      <c r="P105" s="6">
        <v>56</v>
      </c>
      <c r="Q105" s="6">
        <f t="shared" si="12"/>
        <v>56000</v>
      </c>
      <c r="R105" s="6">
        <f t="shared" si="13"/>
        <v>50909.090909090904</v>
      </c>
      <c r="S105" s="6">
        <f t="shared" si="14"/>
        <v>5090.909090909091</v>
      </c>
      <c r="U105" s="6"/>
      <c r="V105" s="34">
        <f>SUM(V87:V104)</f>
        <v>1105000</v>
      </c>
      <c r="W105" s="34">
        <f t="shared" si="16"/>
        <v>1004545.4545454545</v>
      </c>
      <c r="X105" s="34">
        <f t="shared" si="17"/>
        <v>100454.54545454546</v>
      </c>
    </row>
    <row r="106" spans="1:24">
      <c r="O106" s="6">
        <v>1000</v>
      </c>
      <c r="P106" s="6">
        <v>56</v>
      </c>
      <c r="Q106" s="6">
        <f t="shared" si="12"/>
        <v>56000</v>
      </c>
      <c r="R106" s="6">
        <f t="shared" si="13"/>
        <v>50909.090909090904</v>
      </c>
      <c r="S106" s="6">
        <f t="shared" si="14"/>
        <v>5090.909090909091</v>
      </c>
    </row>
    <row r="107" spans="1:24">
      <c r="B107" s="25" t="s">
        <v>32</v>
      </c>
      <c r="O107" s="6">
        <v>1000</v>
      </c>
      <c r="P107" s="6">
        <v>56</v>
      </c>
      <c r="Q107" s="6">
        <f t="shared" si="12"/>
        <v>56000</v>
      </c>
      <c r="R107" s="6">
        <f t="shared" si="13"/>
        <v>50909.090909090904</v>
      </c>
      <c r="S107" s="6">
        <f t="shared" si="14"/>
        <v>5090.909090909091</v>
      </c>
    </row>
    <row r="108" spans="1:24">
      <c r="B108" s="25" t="s">
        <v>929</v>
      </c>
      <c r="O108" s="6">
        <v>1000</v>
      </c>
      <c r="P108" s="6">
        <v>30</v>
      </c>
      <c r="Q108" s="6">
        <f t="shared" si="12"/>
        <v>30000</v>
      </c>
      <c r="R108" s="6">
        <f t="shared" si="13"/>
        <v>27272.727272727272</v>
      </c>
      <c r="S108" s="6">
        <f t="shared" si="14"/>
        <v>2727.2727272727275</v>
      </c>
    </row>
    <row r="109" spans="1:24">
      <c r="L109" s="8" t="s">
        <v>930</v>
      </c>
      <c r="O109" s="6">
        <v>1000</v>
      </c>
      <c r="P109" s="6">
        <v>30</v>
      </c>
      <c r="Q109" s="6">
        <f t="shared" si="12"/>
        <v>30000</v>
      </c>
      <c r="R109" s="6">
        <f t="shared" si="13"/>
        <v>27272.727272727272</v>
      </c>
      <c r="S109" s="6">
        <f t="shared" si="14"/>
        <v>2727.2727272727275</v>
      </c>
    </row>
    <row r="110" spans="1:24" s="7" customFormat="1">
      <c r="C110" s="7" t="s">
        <v>33</v>
      </c>
      <c r="F110" s="7" t="s">
        <v>13</v>
      </c>
      <c r="L110" s="7" t="s">
        <v>14</v>
      </c>
      <c r="O110" s="6">
        <v>1000</v>
      </c>
      <c r="P110" s="6">
        <v>30</v>
      </c>
      <c r="Q110" s="6">
        <f t="shared" si="12"/>
        <v>30000</v>
      </c>
      <c r="R110" s="6">
        <f t="shared" si="13"/>
        <v>27272.727272727272</v>
      </c>
      <c r="S110" s="6">
        <f t="shared" si="14"/>
        <v>2727.2727272727275</v>
      </c>
      <c r="U110" s="6"/>
    </row>
    <row r="111" spans="1:24" s="2" customFormat="1">
      <c r="C111" s="2" t="s">
        <v>15</v>
      </c>
      <c r="F111" s="2" t="s">
        <v>15</v>
      </c>
      <c r="L111" s="2" t="s">
        <v>16</v>
      </c>
      <c r="O111" s="6">
        <v>1000</v>
      </c>
      <c r="P111" s="6">
        <v>30</v>
      </c>
      <c r="Q111" s="6">
        <f t="shared" si="12"/>
        <v>30000</v>
      </c>
      <c r="R111" s="6">
        <f t="shared" si="13"/>
        <v>27272.727272727272</v>
      </c>
      <c r="S111" s="6">
        <f t="shared" si="14"/>
        <v>2727.2727272727275</v>
      </c>
      <c r="U111" s="6"/>
    </row>
    <row r="112" spans="1:24" s="2" customFormat="1">
      <c r="O112" s="6">
        <v>1000</v>
      </c>
      <c r="P112" s="6">
        <v>30</v>
      </c>
      <c r="Q112" s="6">
        <f t="shared" si="12"/>
        <v>30000</v>
      </c>
      <c r="R112" s="6">
        <f t="shared" si="13"/>
        <v>27272.727272727272</v>
      </c>
      <c r="S112" s="6">
        <f t="shared" si="14"/>
        <v>2727.2727272727275</v>
      </c>
      <c r="U112" s="6"/>
    </row>
    <row r="113" spans="3:21" s="2" customFormat="1">
      <c r="O113" s="6"/>
      <c r="P113" s="6"/>
      <c r="Q113" s="6"/>
      <c r="R113" s="6"/>
      <c r="S113" s="6"/>
      <c r="U113" s="6"/>
    </row>
    <row r="114" spans="3:21" s="2" customFormat="1">
      <c r="O114" s="6"/>
      <c r="P114" s="6"/>
      <c r="Q114" s="6"/>
      <c r="R114" s="6"/>
      <c r="S114" s="6"/>
      <c r="U114" s="6"/>
    </row>
    <row r="115" spans="3:21" s="2" customFormat="1">
      <c r="O115" s="6"/>
      <c r="P115" s="6"/>
      <c r="Q115" s="6"/>
      <c r="R115" s="6"/>
      <c r="S115" s="6"/>
      <c r="U115" s="6"/>
    </row>
    <row r="116" spans="3:21" s="2" customFormat="1">
      <c r="O116" s="6"/>
      <c r="P116" s="6"/>
      <c r="Q116" s="6"/>
      <c r="R116" s="6"/>
      <c r="S116" s="6"/>
      <c r="U116" s="6"/>
    </row>
    <row r="117" spans="3:21" s="419" customFormat="1">
      <c r="C117" s="420" t="s">
        <v>1388</v>
      </c>
      <c r="L117" s="420" t="s">
        <v>1389</v>
      </c>
      <c r="O117" s="6">
        <v>1000</v>
      </c>
      <c r="P117" s="6">
        <v>30</v>
      </c>
      <c r="Q117" s="6">
        <f t="shared" ref="Q117" si="18">P117*O117</f>
        <v>30000</v>
      </c>
      <c r="R117" s="6">
        <f t="shared" ref="R117" si="19">Q117/1.1</f>
        <v>27272.727272727272</v>
      </c>
      <c r="S117" s="6">
        <f t="shared" ref="S117" si="20">R117*0.1</f>
        <v>2727.2727272727275</v>
      </c>
    </row>
    <row r="118" spans="3:21">
      <c r="O118" s="6">
        <v>1000</v>
      </c>
      <c r="P118" s="6">
        <v>30</v>
      </c>
      <c r="Q118" s="6">
        <f t="shared" si="12"/>
        <v>30000</v>
      </c>
      <c r="R118" s="6">
        <f t="shared" si="13"/>
        <v>27272.727272727272</v>
      </c>
      <c r="S118" s="6">
        <f t="shared" si="14"/>
        <v>2727.2727272727275</v>
      </c>
    </row>
    <row r="119" spans="3:21">
      <c r="O119" s="6">
        <v>1000</v>
      </c>
      <c r="P119" s="6">
        <v>30</v>
      </c>
      <c r="Q119" s="6">
        <f t="shared" si="12"/>
        <v>30000</v>
      </c>
      <c r="R119" s="6">
        <f t="shared" si="13"/>
        <v>27272.727272727272</v>
      </c>
      <c r="S119" s="6">
        <f t="shared" si="14"/>
        <v>2727.2727272727275</v>
      </c>
    </row>
    <row r="120" spans="3:21">
      <c r="O120" s="6">
        <v>1000</v>
      </c>
      <c r="P120" s="6">
        <v>30</v>
      </c>
      <c r="Q120" s="6">
        <f t="shared" si="12"/>
        <v>30000</v>
      </c>
      <c r="R120" s="6">
        <f t="shared" si="13"/>
        <v>27272.727272727272</v>
      </c>
      <c r="S120" s="6">
        <f t="shared" si="14"/>
        <v>2727.2727272727275</v>
      </c>
    </row>
    <row r="121" spans="3:21">
      <c r="O121" s="6">
        <v>1000</v>
      </c>
      <c r="P121" s="6">
        <v>30</v>
      </c>
      <c r="Q121" s="6">
        <f t="shared" si="12"/>
        <v>30000</v>
      </c>
      <c r="R121" s="6">
        <f t="shared" si="13"/>
        <v>27272.727272727272</v>
      </c>
      <c r="S121" s="6">
        <f t="shared" si="14"/>
        <v>2727.2727272727275</v>
      </c>
    </row>
    <row r="122" spans="3:21">
      <c r="O122" s="6">
        <v>1000</v>
      </c>
      <c r="P122" s="6">
        <v>30</v>
      </c>
      <c r="Q122" s="6">
        <f t="shared" si="12"/>
        <v>30000</v>
      </c>
      <c r="R122" s="6">
        <f t="shared" si="13"/>
        <v>27272.727272727272</v>
      </c>
      <c r="S122" s="6">
        <f t="shared" si="14"/>
        <v>2727.2727272727275</v>
      </c>
    </row>
    <row r="123" spans="3:21">
      <c r="O123" s="6">
        <v>1000</v>
      </c>
      <c r="P123" s="6">
        <v>30</v>
      </c>
      <c r="Q123" s="6">
        <f t="shared" si="12"/>
        <v>30000</v>
      </c>
      <c r="R123" s="6">
        <f t="shared" si="13"/>
        <v>27272.727272727272</v>
      </c>
      <c r="S123" s="6">
        <f t="shared" si="14"/>
        <v>2727.2727272727275</v>
      </c>
    </row>
    <row r="124" spans="3:21">
      <c r="O124" s="6">
        <v>1000</v>
      </c>
      <c r="P124" s="6">
        <v>30</v>
      </c>
      <c r="Q124" s="6">
        <f t="shared" si="12"/>
        <v>30000</v>
      </c>
      <c r="R124" s="6">
        <f t="shared" si="13"/>
        <v>27272.727272727272</v>
      </c>
      <c r="S124" s="6">
        <f t="shared" si="14"/>
        <v>2727.2727272727275</v>
      </c>
    </row>
    <row r="125" spans="3:21">
      <c r="O125" s="6">
        <v>1000</v>
      </c>
      <c r="P125" s="6">
        <v>30</v>
      </c>
      <c r="Q125" s="6">
        <f t="shared" si="12"/>
        <v>30000</v>
      </c>
      <c r="R125" s="6">
        <f t="shared" si="13"/>
        <v>27272.727272727272</v>
      </c>
      <c r="S125" s="6">
        <f t="shared" si="14"/>
        <v>2727.2727272727275</v>
      </c>
    </row>
    <row r="126" spans="3:21">
      <c r="O126" s="6">
        <v>1000</v>
      </c>
      <c r="P126" s="6">
        <v>30</v>
      </c>
      <c r="Q126" s="6">
        <f t="shared" si="12"/>
        <v>30000</v>
      </c>
      <c r="R126" s="6">
        <f t="shared" si="13"/>
        <v>27272.727272727272</v>
      </c>
      <c r="S126" s="6">
        <f t="shared" si="14"/>
        <v>2727.2727272727275</v>
      </c>
    </row>
    <row r="127" spans="3:21">
      <c r="O127" s="6">
        <v>1000</v>
      </c>
      <c r="P127" s="6">
        <v>30</v>
      </c>
      <c r="Q127" s="6">
        <f t="shared" si="12"/>
        <v>30000</v>
      </c>
      <c r="R127" s="6">
        <f t="shared" si="13"/>
        <v>27272.727272727272</v>
      </c>
      <c r="S127" s="6">
        <f t="shared" si="14"/>
        <v>2727.2727272727275</v>
      </c>
    </row>
    <row r="128" spans="3:21">
      <c r="O128" s="6">
        <v>1000</v>
      </c>
      <c r="P128" s="6">
        <v>30</v>
      </c>
      <c r="Q128" s="6">
        <f t="shared" si="12"/>
        <v>30000</v>
      </c>
      <c r="R128" s="6">
        <f t="shared" si="13"/>
        <v>27272.727272727272</v>
      </c>
      <c r="S128" s="6">
        <f t="shared" si="14"/>
        <v>2727.2727272727275</v>
      </c>
    </row>
    <row r="129" spans="11:19">
      <c r="O129" s="6">
        <v>1000</v>
      </c>
      <c r="P129" s="6">
        <v>30</v>
      </c>
      <c r="Q129" s="6">
        <f t="shared" si="12"/>
        <v>30000</v>
      </c>
      <c r="R129" s="6">
        <f t="shared" si="13"/>
        <v>27272.727272727272</v>
      </c>
      <c r="S129" s="6">
        <f t="shared" si="14"/>
        <v>2727.2727272727275</v>
      </c>
    </row>
    <row r="130" spans="11:19">
      <c r="O130" s="6">
        <v>1000</v>
      </c>
      <c r="P130" s="6">
        <v>30</v>
      </c>
      <c r="Q130" s="6">
        <f t="shared" si="12"/>
        <v>30000</v>
      </c>
      <c r="R130" s="6">
        <f t="shared" si="13"/>
        <v>27272.727272727272</v>
      </c>
      <c r="S130" s="6">
        <f t="shared" si="14"/>
        <v>2727.2727272727275</v>
      </c>
    </row>
    <row r="131" spans="11:19">
      <c r="R131" s="6">
        <f t="shared" si="13"/>
        <v>0</v>
      </c>
      <c r="S131" s="6">
        <f t="shared" si="14"/>
        <v>0</v>
      </c>
    </row>
    <row r="132" spans="11:19">
      <c r="Q132" s="6">
        <f>SUM(Q87:Q131)</f>
        <v>1150000</v>
      </c>
      <c r="R132" s="6">
        <f>SUM(R87:R131)</f>
        <v>1045454.5454545458</v>
      </c>
      <c r="S132" s="6">
        <f t="shared" si="14"/>
        <v>104545.45454545459</v>
      </c>
    </row>
    <row r="138" spans="11:19">
      <c r="K138" s="6">
        <v>101069256</v>
      </c>
    </row>
    <row r="142" spans="11:19">
      <c r="K142" s="6">
        <v>100833620</v>
      </c>
    </row>
    <row r="143" spans="11:19">
      <c r="K143" s="6">
        <f>K138-K142</f>
        <v>235636</v>
      </c>
    </row>
  </sheetData>
  <autoFilter ref="A11:X132"/>
  <sortState ref="A13:X101">
    <sortCondition ref="B13:B101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1 H79 H102">
    <cfRule type="expression" dxfId="24" priority="1" stopIfTrue="1">
      <formula>$C31&lt;&gt;""</formula>
    </cfRule>
  </conditionalFormatting>
  <printOptions horizontalCentered="1"/>
  <pageMargins left="0.9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tabColor indexed="31"/>
  </sheetPr>
  <dimension ref="A1:S98"/>
  <sheetViews>
    <sheetView topLeftCell="B8" zoomScale="90" workbookViewId="0">
      <pane ySplit="5" topLeftCell="A79" activePane="bottomLeft" state="frozen"/>
      <selection activeCell="B8" sqref="B8"/>
      <selection pane="bottomLeft" activeCell="B98" sqref="A98:XFD98"/>
    </sheetView>
  </sheetViews>
  <sheetFormatPr defaultRowHeight="15"/>
  <cols>
    <col min="1" max="1" width="4.42578125" style="6" hidden="1" customWidth="1"/>
    <col min="2" max="3" width="9.5703125" style="6" customWidth="1"/>
    <col min="4" max="5" width="6.7109375" style="6" customWidth="1"/>
    <col min="6" max="6" width="33.28515625" style="6" customWidth="1"/>
    <col min="7" max="7" width="8.7109375" style="6" hidden="1" customWidth="1"/>
    <col min="8" max="8" width="39.42578125" style="6" hidden="1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07"/>
      <c r="H1" s="10"/>
      <c r="J1" s="460" t="s">
        <v>132</v>
      </c>
      <c r="K1" s="460"/>
      <c r="L1" s="460"/>
      <c r="M1" s="460"/>
    </row>
    <row r="2" spans="1:13" s="11" customFormat="1" ht="16.5" customHeight="1">
      <c r="B2" s="1" t="str">
        <f>'01'!B2</f>
        <v>Địa chỉ: Lô A14, Đường 4A - KCN Hải Sơn, Đức Hòa, Long An</v>
      </c>
      <c r="C2" s="317"/>
      <c r="D2" s="317"/>
      <c r="E2" s="317"/>
      <c r="F2" s="317"/>
      <c r="G2" s="308"/>
      <c r="H2" s="317"/>
      <c r="J2" s="461" t="s">
        <v>133</v>
      </c>
      <c r="K2" s="461"/>
      <c r="L2" s="461"/>
      <c r="M2" s="461"/>
    </row>
    <row r="3" spans="1:13" s="11" customFormat="1" ht="14.25" customHeight="1">
      <c r="B3" s="9"/>
      <c r="C3" s="317"/>
      <c r="D3" s="14"/>
      <c r="E3" s="14"/>
      <c r="F3" s="317"/>
      <c r="G3" s="308"/>
      <c r="H3" s="317"/>
      <c r="J3" s="461"/>
      <c r="K3" s="461"/>
      <c r="L3" s="461"/>
      <c r="M3" s="461"/>
    </row>
    <row r="4" spans="1:13" s="11" customFormat="1" ht="6.75" customHeight="1">
      <c r="B4" s="317"/>
      <c r="C4" s="317"/>
      <c r="D4" s="317"/>
      <c r="E4" s="317"/>
      <c r="F4" s="317"/>
      <c r="G4" s="308"/>
      <c r="H4" s="317"/>
      <c r="J4" s="318"/>
      <c r="K4" s="318"/>
      <c r="L4" s="318"/>
      <c r="M4" s="318"/>
    </row>
    <row r="5" spans="1:13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</row>
    <row r="6" spans="1:13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</row>
    <row r="7" spans="1:13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</row>
    <row r="8" spans="1:13">
      <c r="B8" s="15"/>
      <c r="L8" s="15" t="s">
        <v>19</v>
      </c>
    </row>
    <row r="9" spans="1:13" ht="24.75" customHeight="1">
      <c r="B9" s="463" t="s">
        <v>20</v>
      </c>
      <c r="C9" s="463" t="s">
        <v>21</v>
      </c>
      <c r="D9" s="463" t="s">
        <v>2</v>
      </c>
      <c r="E9" s="463"/>
      <c r="F9" s="463" t="s">
        <v>3</v>
      </c>
      <c r="G9" s="464" t="s">
        <v>134</v>
      </c>
      <c r="H9" s="464" t="s">
        <v>135</v>
      </c>
      <c r="I9" s="463" t="s">
        <v>22</v>
      </c>
      <c r="J9" s="463" t="s">
        <v>23</v>
      </c>
      <c r="K9" s="463"/>
      <c r="L9" s="463" t="s">
        <v>24</v>
      </c>
      <c r="M9" s="463" t="s">
        <v>4</v>
      </c>
    </row>
    <row r="10" spans="1:13" ht="20.25" customHeight="1">
      <c r="B10" s="463"/>
      <c r="C10" s="463"/>
      <c r="D10" s="320" t="s">
        <v>5</v>
      </c>
      <c r="E10" s="320" t="s">
        <v>6</v>
      </c>
      <c r="F10" s="463"/>
      <c r="G10" s="465"/>
      <c r="H10" s="465"/>
      <c r="I10" s="463"/>
      <c r="J10" s="320" t="s">
        <v>25</v>
      </c>
      <c r="K10" s="320" t="s">
        <v>26</v>
      </c>
      <c r="L10" s="463"/>
      <c r="M10" s="46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09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10"/>
      <c r="H12" s="29"/>
      <c r="I12" s="30"/>
      <c r="J12" s="31"/>
      <c r="K12" s="29"/>
      <c r="L12" s="31">
        <f>'04'!L105</f>
        <v>634216048</v>
      </c>
      <c r="M12" s="29"/>
    </row>
    <row r="13" spans="1:13" ht="18.75" customHeight="1">
      <c r="A13" s="6" t="str">
        <f t="shared" ref="A13:A77" si="0">D13&amp;E13</f>
        <v>C01</v>
      </c>
      <c r="B13" s="3">
        <v>42126</v>
      </c>
      <c r="C13" s="3">
        <v>42107</v>
      </c>
      <c r="D13" s="4"/>
      <c r="E13" s="20" t="s">
        <v>136</v>
      </c>
      <c r="F13" s="5" t="s">
        <v>634</v>
      </c>
      <c r="G13" s="311" t="s">
        <v>635</v>
      </c>
      <c r="H13" s="5" t="s">
        <v>636</v>
      </c>
      <c r="I13" s="26" t="s">
        <v>94</v>
      </c>
      <c r="J13" s="19"/>
      <c r="K13" s="5">
        <v>85135</v>
      </c>
      <c r="L13" s="4">
        <f t="shared" ref="L13:L45" si="1">IF(F13&lt;&gt;"",L12+J13-K13,0)</f>
        <v>634130913</v>
      </c>
      <c r="M13" s="18"/>
    </row>
    <row r="14" spans="1:13" ht="18.75" customHeight="1">
      <c r="A14" s="6" t="str">
        <f t="shared" si="0"/>
        <v>C01</v>
      </c>
      <c r="B14" s="3">
        <v>42126</v>
      </c>
      <c r="C14" s="3">
        <v>42107</v>
      </c>
      <c r="D14" s="4"/>
      <c r="E14" s="20" t="s">
        <v>136</v>
      </c>
      <c r="F14" s="5" t="s">
        <v>637</v>
      </c>
      <c r="G14" s="311" t="s">
        <v>635</v>
      </c>
      <c r="H14" s="5" t="s">
        <v>636</v>
      </c>
      <c r="I14" s="26" t="s">
        <v>35</v>
      </c>
      <c r="J14" s="19"/>
      <c r="K14" s="5">
        <v>8514</v>
      </c>
      <c r="L14" s="4">
        <f t="shared" si="1"/>
        <v>634122399</v>
      </c>
      <c r="M14" s="18"/>
    </row>
    <row r="15" spans="1:13" ht="18.75" customHeight="1">
      <c r="A15" s="6" t="str">
        <f t="shared" si="0"/>
        <v>C02</v>
      </c>
      <c r="B15" s="3">
        <v>42128</v>
      </c>
      <c r="C15" s="3">
        <v>42128</v>
      </c>
      <c r="D15" s="4"/>
      <c r="E15" s="20" t="s">
        <v>137</v>
      </c>
      <c r="F15" s="5" t="s">
        <v>638</v>
      </c>
      <c r="G15" s="311" t="s">
        <v>730</v>
      </c>
      <c r="H15" s="5" t="s">
        <v>639</v>
      </c>
      <c r="I15" s="26" t="s">
        <v>34</v>
      </c>
      <c r="J15" s="19"/>
      <c r="K15" s="5">
        <v>18859940</v>
      </c>
      <c r="L15" s="4">
        <f t="shared" si="1"/>
        <v>615262459</v>
      </c>
      <c r="M15" s="18"/>
    </row>
    <row r="16" spans="1:13" ht="18.75" customHeight="1">
      <c r="A16" s="6" t="str">
        <f t="shared" si="0"/>
        <v>C03</v>
      </c>
      <c r="B16" s="3">
        <v>42128</v>
      </c>
      <c r="C16" s="3">
        <v>42128</v>
      </c>
      <c r="D16" s="4"/>
      <c r="E16" s="20" t="s">
        <v>138</v>
      </c>
      <c r="F16" s="5" t="s">
        <v>507</v>
      </c>
      <c r="G16" s="311" t="s">
        <v>640</v>
      </c>
      <c r="H16" s="5" t="s">
        <v>641</v>
      </c>
      <c r="I16" s="26" t="s">
        <v>94</v>
      </c>
      <c r="J16" s="19"/>
      <c r="K16" s="5">
        <v>812727</v>
      </c>
      <c r="L16" s="4">
        <f t="shared" si="1"/>
        <v>614449732</v>
      </c>
      <c r="M16" s="18"/>
    </row>
    <row r="17" spans="1:13" ht="18.75" customHeight="1">
      <c r="A17" s="6" t="str">
        <f t="shared" si="0"/>
        <v>C03</v>
      </c>
      <c r="B17" s="3">
        <v>42128</v>
      </c>
      <c r="C17" s="3">
        <v>42128</v>
      </c>
      <c r="D17" s="4"/>
      <c r="E17" s="20" t="s">
        <v>138</v>
      </c>
      <c r="F17" s="5" t="s">
        <v>508</v>
      </c>
      <c r="G17" s="311" t="s">
        <v>640</v>
      </c>
      <c r="H17" s="5" t="s">
        <v>641</v>
      </c>
      <c r="I17" s="26" t="s">
        <v>35</v>
      </c>
      <c r="J17" s="19"/>
      <c r="K17" s="5">
        <v>81273</v>
      </c>
      <c r="L17" s="4">
        <f t="shared" si="1"/>
        <v>614368459</v>
      </c>
      <c r="M17" s="18"/>
    </row>
    <row r="18" spans="1:13" ht="18.75" customHeight="1">
      <c r="A18" s="6" t="str">
        <f t="shared" ref="A18" si="2">D18&amp;E18</f>
        <v>T01</v>
      </c>
      <c r="B18" s="3">
        <v>42130</v>
      </c>
      <c r="C18" s="3">
        <v>42130</v>
      </c>
      <c r="D18" s="4" t="s">
        <v>39</v>
      </c>
      <c r="E18" s="378"/>
      <c r="F18" s="5" t="s">
        <v>111</v>
      </c>
      <c r="G18" s="5"/>
      <c r="H18" s="5" t="s">
        <v>260</v>
      </c>
      <c r="I18" s="26" t="s">
        <v>58</v>
      </c>
      <c r="J18" s="19">
        <v>1500000000</v>
      </c>
      <c r="K18" s="5"/>
      <c r="L18" s="4">
        <f t="shared" si="1"/>
        <v>2114368459</v>
      </c>
      <c r="M18" s="18"/>
    </row>
    <row r="19" spans="1:13" ht="18.75" customHeight="1">
      <c r="A19" s="6" t="str">
        <f t="shared" si="0"/>
        <v>C04</v>
      </c>
      <c r="B19" s="3">
        <v>42130</v>
      </c>
      <c r="C19" s="3">
        <v>42130</v>
      </c>
      <c r="D19" s="4"/>
      <c r="E19" s="20" t="s">
        <v>139</v>
      </c>
      <c r="F19" s="5" t="s">
        <v>535</v>
      </c>
      <c r="G19" s="311" t="s">
        <v>642</v>
      </c>
      <c r="H19" s="5" t="s">
        <v>643</v>
      </c>
      <c r="I19" s="26" t="s">
        <v>94</v>
      </c>
      <c r="J19" s="19"/>
      <c r="K19" s="5">
        <v>809091</v>
      </c>
      <c r="L19" s="4">
        <f t="shared" si="1"/>
        <v>2113559368</v>
      </c>
      <c r="M19" s="18"/>
    </row>
    <row r="20" spans="1:13" ht="18.75" customHeight="1">
      <c r="A20" s="6" t="str">
        <f t="shared" si="0"/>
        <v>C04</v>
      </c>
      <c r="B20" s="3">
        <v>42130</v>
      </c>
      <c r="C20" s="3">
        <v>42130</v>
      </c>
      <c r="D20" s="4"/>
      <c r="E20" s="20" t="s">
        <v>139</v>
      </c>
      <c r="F20" s="5" t="s">
        <v>536</v>
      </c>
      <c r="G20" s="311" t="s">
        <v>642</v>
      </c>
      <c r="H20" s="5" t="s">
        <v>643</v>
      </c>
      <c r="I20" s="26" t="s">
        <v>35</v>
      </c>
      <c r="J20" s="19"/>
      <c r="K20" s="5">
        <v>80909</v>
      </c>
      <c r="L20" s="4">
        <f t="shared" si="1"/>
        <v>2113478459</v>
      </c>
      <c r="M20" s="18"/>
    </row>
    <row r="21" spans="1:13" ht="18.75" customHeight="1">
      <c r="A21" s="6" t="str">
        <f t="shared" si="0"/>
        <v>C05</v>
      </c>
      <c r="B21" s="3">
        <v>42130</v>
      </c>
      <c r="C21" s="3">
        <v>42130</v>
      </c>
      <c r="D21" s="4"/>
      <c r="E21" s="20" t="s">
        <v>140</v>
      </c>
      <c r="F21" s="5" t="s">
        <v>332</v>
      </c>
      <c r="G21" s="5"/>
      <c r="H21" s="5" t="s">
        <v>333</v>
      </c>
      <c r="I21" s="26" t="s">
        <v>334</v>
      </c>
      <c r="J21" s="19"/>
      <c r="K21" s="5">
        <v>500000000</v>
      </c>
      <c r="L21" s="4">
        <f t="shared" si="1"/>
        <v>1613478459</v>
      </c>
      <c r="M21" s="18"/>
    </row>
    <row r="22" spans="1:13" ht="18.75" customHeight="1">
      <c r="A22" s="6" t="str">
        <f t="shared" si="0"/>
        <v>C06</v>
      </c>
      <c r="B22" s="3">
        <v>42130</v>
      </c>
      <c r="C22" s="3">
        <v>42130</v>
      </c>
      <c r="D22" s="4"/>
      <c r="E22" s="20" t="s">
        <v>141</v>
      </c>
      <c r="F22" s="5" t="s">
        <v>332</v>
      </c>
      <c r="G22" s="5"/>
      <c r="H22" s="5" t="s">
        <v>335</v>
      </c>
      <c r="I22" s="26" t="s">
        <v>334</v>
      </c>
      <c r="J22" s="19"/>
      <c r="K22" s="5">
        <v>550000000</v>
      </c>
      <c r="L22" s="4">
        <f t="shared" si="1"/>
        <v>1063478459</v>
      </c>
      <c r="M22" s="18"/>
    </row>
    <row r="23" spans="1:13" ht="18.75" customHeight="1">
      <c r="A23" s="6" t="str">
        <f t="shared" si="0"/>
        <v>C07</v>
      </c>
      <c r="B23" s="3">
        <v>42132</v>
      </c>
      <c r="C23" s="3">
        <v>42132</v>
      </c>
      <c r="D23" s="4"/>
      <c r="E23" s="20" t="s">
        <v>142</v>
      </c>
      <c r="F23" s="5" t="s">
        <v>644</v>
      </c>
      <c r="G23" s="312"/>
      <c r="H23" s="5" t="s">
        <v>187</v>
      </c>
      <c r="I23" s="26" t="s">
        <v>36</v>
      </c>
      <c r="J23" s="19"/>
      <c r="K23" s="5">
        <v>16000000</v>
      </c>
      <c r="L23" s="4">
        <f t="shared" si="1"/>
        <v>1047478459</v>
      </c>
      <c r="M23" s="18"/>
    </row>
    <row r="24" spans="1:13" ht="18.75" customHeight="1">
      <c r="A24" s="6" t="str">
        <f t="shared" si="0"/>
        <v>C08</v>
      </c>
      <c r="B24" s="3">
        <v>42132</v>
      </c>
      <c r="C24" s="3">
        <v>42132</v>
      </c>
      <c r="D24" s="4"/>
      <c r="E24" s="20" t="s">
        <v>143</v>
      </c>
      <c r="F24" s="5" t="s">
        <v>645</v>
      </c>
      <c r="G24" s="312"/>
      <c r="H24" s="5" t="s">
        <v>187</v>
      </c>
      <c r="I24" s="26" t="s">
        <v>36</v>
      </c>
      <c r="J24" s="19"/>
      <c r="K24" s="5">
        <v>23000000</v>
      </c>
      <c r="L24" s="4">
        <f t="shared" si="1"/>
        <v>1024478459</v>
      </c>
      <c r="M24" s="18"/>
    </row>
    <row r="25" spans="1:13" ht="18.75" customHeight="1">
      <c r="A25" s="6" t="str">
        <f t="shared" si="0"/>
        <v>C09</v>
      </c>
      <c r="B25" s="3">
        <v>42132</v>
      </c>
      <c r="C25" s="3">
        <v>42132</v>
      </c>
      <c r="D25" s="4"/>
      <c r="E25" s="20" t="s">
        <v>144</v>
      </c>
      <c r="F25" s="5" t="s">
        <v>646</v>
      </c>
      <c r="G25" s="311" t="s">
        <v>647</v>
      </c>
      <c r="H25" s="5" t="s">
        <v>636</v>
      </c>
      <c r="I25" s="26" t="s">
        <v>94</v>
      </c>
      <c r="J25" s="19"/>
      <c r="K25" s="5">
        <v>75625</v>
      </c>
      <c r="L25" s="4">
        <f t="shared" si="1"/>
        <v>1024402834</v>
      </c>
      <c r="M25" s="18"/>
    </row>
    <row r="26" spans="1:13" ht="18.75" customHeight="1">
      <c r="A26" s="6" t="str">
        <f t="shared" si="0"/>
        <v>C09</v>
      </c>
      <c r="B26" s="3">
        <v>42132</v>
      </c>
      <c r="C26" s="3">
        <v>42132</v>
      </c>
      <c r="D26" s="4"/>
      <c r="E26" s="20" t="s">
        <v>144</v>
      </c>
      <c r="F26" s="5" t="s">
        <v>648</v>
      </c>
      <c r="G26" s="311" t="s">
        <v>647</v>
      </c>
      <c r="H26" s="5" t="s">
        <v>636</v>
      </c>
      <c r="I26" s="26" t="s">
        <v>35</v>
      </c>
      <c r="J26" s="19"/>
      <c r="K26" s="5">
        <v>7563</v>
      </c>
      <c r="L26" s="4">
        <f t="shared" si="1"/>
        <v>1024395271</v>
      </c>
      <c r="M26" s="18"/>
    </row>
    <row r="27" spans="1:13" ht="18.75" customHeight="1">
      <c r="A27" s="6" t="str">
        <f t="shared" si="0"/>
        <v>C10</v>
      </c>
      <c r="B27" s="3">
        <v>42133</v>
      </c>
      <c r="C27" s="3">
        <v>42133</v>
      </c>
      <c r="D27" s="4"/>
      <c r="E27" s="20" t="s">
        <v>145</v>
      </c>
      <c r="F27" s="5" t="s">
        <v>53</v>
      </c>
      <c r="G27" s="311" t="s">
        <v>649</v>
      </c>
      <c r="H27" s="5" t="s">
        <v>641</v>
      </c>
      <c r="I27" s="26" t="s">
        <v>54</v>
      </c>
      <c r="J27" s="19"/>
      <c r="K27" s="5">
        <v>591891</v>
      </c>
      <c r="L27" s="4">
        <f t="shared" si="1"/>
        <v>1023803380</v>
      </c>
      <c r="M27" s="18"/>
    </row>
    <row r="28" spans="1:13" ht="18.75" customHeight="1">
      <c r="A28" s="6" t="str">
        <f t="shared" si="0"/>
        <v>C10</v>
      </c>
      <c r="B28" s="3">
        <v>42133</v>
      </c>
      <c r="C28" s="3">
        <v>42133</v>
      </c>
      <c r="D28" s="4"/>
      <c r="E28" s="20" t="s">
        <v>145</v>
      </c>
      <c r="F28" s="5" t="s">
        <v>507</v>
      </c>
      <c r="G28" s="311" t="s">
        <v>649</v>
      </c>
      <c r="H28" s="5" t="s">
        <v>641</v>
      </c>
      <c r="I28" s="26" t="s">
        <v>94</v>
      </c>
      <c r="J28" s="19"/>
      <c r="K28" s="5">
        <v>829255</v>
      </c>
      <c r="L28" s="4">
        <f t="shared" si="1"/>
        <v>1022974125</v>
      </c>
      <c r="M28" s="18"/>
    </row>
    <row r="29" spans="1:13" ht="18.75" customHeight="1">
      <c r="A29" s="6" t="str">
        <f t="shared" si="0"/>
        <v>C10</v>
      </c>
      <c r="B29" s="3">
        <v>42133</v>
      </c>
      <c r="C29" s="3">
        <v>42133</v>
      </c>
      <c r="D29" s="4"/>
      <c r="E29" s="20" t="s">
        <v>145</v>
      </c>
      <c r="F29" s="5" t="s">
        <v>304</v>
      </c>
      <c r="G29" s="311" t="s">
        <v>649</v>
      </c>
      <c r="H29" s="5" t="s">
        <v>641</v>
      </c>
      <c r="I29" s="26" t="s">
        <v>35</v>
      </c>
      <c r="J29" s="19"/>
      <c r="K29" s="5">
        <v>142114</v>
      </c>
      <c r="L29" s="4">
        <f t="shared" si="1"/>
        <v>1022832011</v>
      </c>
      <c r="M29" s="18"/>
    </row>
    <row r="30" spans="1:13" ht="18.75" customHeight="1">
      <c r="A30" s="6" t="str">
        <f t="shared" si="0"/>
        <v>C11</v>
      </c>
      <c r="B30" s="3">
        <v>42133</v>
      </c>
      <c r="C30" s="3">
        <v>42133</v>
      </c>
      <c r="D30" s="4"/>
      <c r="E30" s="20" t="s">
        <v>146</v>
      </c>
      <c r="F30" s="5" t="s">
        <v>650</v>
      </c>
      <c r="G30" s="311" t="s">
        <v>653</v>
      </c>
      <c r="H30" s="5" t="s">
        <v>652</v>
      </c>
      <c r="I30" s="26" t="s">
        <v>94</v>
      </c>
      <c r="J30" s="19"/>
      <c r="K30" s="5">
        <f>409091+463636</f>
        <v>872727</v>
      </c>
      <c r="L30" s="4">
        <f t="shared" si="1"/>
        <v>1021959284</v>
      </c>
      <c r="M30" s="18"/>
    </row>
    <row r="31" spans="1:13" ht="18.75" customHeight="1">
      <c r="A31" s="6" t="str">
        <f t="shared" si="0"/>
        <v>C11</v>
      </c>
      <c r="B31" s="3">
        <v>42133</v>
      </c>
      <c r="C31" s="3">
        <v>42133</v>
      </c>
      <c r="D31" s="4"/>
      <c r="E31" s="20" t="s">
        <v>146</v>
      </c>
      <c r="F31" s="5" t="s">
        <v>651</v>
      </c>
      <c r="G31" s="311" t="s">
        <v>653</v>
      </c>
      <c r="H31" s="5" t="s">
        <v>652</v>
      </c>
      <c r="I31" s="26" t="s">
        <v>35</v>
      </c>
      <c r="J31" s="19"/>
      <c r="K31" s="5">
        <f>40909+46364</f>
        <v>87273</v>
      </c>
      <c r="L31" s="4">
        <f t="shared" si="1"/>
        <v>1021872011</v>
      </c>
      <c r="M31" s="18"/>
    </row>
    <row r="32" spans="1:13" ht="18.75" customHeight="1">
      <c r="A32" s="6" t="str">
        <f t="shared" si="0"/>
        <v>C12</v>
      </c>
      <c r="B32" s="3">
        <v>42133</v>
      </c>
      <c r="C32" s="3">
        <v>42133</v>
      </c>
      <c r="D32" s="4"/>
      <c r="E32" s="20" t="s">
        <v>147</v>
      </c>
      <c r="F32" s="5" t="s">
        <v>60</v>
      </c>
      <c r="G32" s="311" t="s">
        <v>682</v>
      </c>
      <c r="H32" s="5" t="s">
        <v>684</v>
      </c>
      <c r="I32" s="26" t="s">
        <v>94</v>
      </c>
      <c r="J32" s="19"/>
      <c r="K32" s="5">
        <v>16192000</v>
      </c>
      <c r="L32" s="4">
        <f t="shared" si="1"/>
        <v>1005680011</v>
      </c>
      <c r="M32" s="18"/>
    </row>
    <row r="33" spans="1:13" ht="18.75" customHeight="1">
      <c r="A33" s="6" t="str">
        <f t="shared" si="0"/>
        <v>C12</v>
      </c>
      <c r="B33" s="3">
        <v>42133</v>
      </c>
      <c r="C33" s="3">
        <v>42133</v>
      </c>
      <c r="D33" s="4"/>
      <c r="E33" s="20" t="s">
        <v>147</v>
      </c>
      <c r="F33" s="5" t="s">
        <v>55</v>
      </c>
      <c r="G33" s="311" t="s">
        <v>682</v>
      </c>
      <c r="H33" s="5" t="s">
        <v>684</v>
      </c>
      <c r="I33" s="26" t="s">
        <v>35</v>
      </c>
      <c r="J33" s="19"/>
      <c r="K33" s="5">
        <v>809600</v>
      </c>
      <c r="L33" s="4">
        <f t="shared" si="1"/>
        <v>1004870411</v>
      </c>
      <c r="M33" s="18"/>
    </row>
    <row r="34" spans="1:13" ht="18.75" customHeight="1">
      <c r="A34" s="6" t="str">
        <f t="shared" si="0"/>
        <v>C12</v>
      </c>
      <c r="B34" s="3">
        <v>42133</v>
      </c>
      <c r="C34" s="3">
        <v>42133</v>
      </c>
      <c r="D34" s="4"/>
      <c r="E34" s="20" t="s">
        <v>147</v>
      </c>
      <c r="F34" s="5" t="s">
        <v>685</v>
      </c>
      <c r="G34" s="311" t="s">
        <v>682</v>
      </c>
      <c r="H34" s="5" t="s">
        <v>684</v>
      </c>
      <c r="I34" s="26" t="s">
        <v>94</v>
      </c>
      <c r="J34" s="19"/>
      <c r="K34" s="5">
        <v>2587200</v>
      </c>
      <c r="L34" s="4">
        <f t="shared" si="1"/>
        <v>1002283211</v>
      </c>
      <c r="M34" s="18"/>
    </row>
    <row r="35" spans="1:13" ht="18.75" customHeight="1">
      <c r="A35" s="6" t="str">
        <f t="shared" si="0"/>
        <v>C12</v>
      </c>
      <c r="B35" s="3">
        <v>42133</v>
      </c>
      <c r="C35" s="3">
        <v>42133</v>
      </c>
      <c r="D35" s="4"/>
      <c r="E35" s="20" t="s">
        <v>147</v>
      </c>
      <c r="F35" s="5" t="s">
        <v>686</v>
      </c>
      <c r="G35" s="311" t="s">
        <v>682</v>
      </c>
      <c r="H35" s="5" t="s">
        <v>684</v>
      </c>
      <c r="I35" s="26" t="s">
        <v>35</v>
      </c>
      <c r="J35" s="19"/>
      <c r="K35" s="5">
        <v>258720</v>
      </c>
      <c r="L35" s="4">
        <f t="shared" si="1"/>
        <v>1002024491</v>
      </c>
      <c r="M35" s="18"/>
    </row>
    <row r="36" spans="1:13" ht="18.75" customHeight="1">
      <c r="A36" s="6" t="str">
        <f t="shared" si="0"/>
        <v>C13</v>
      </c>
      <c r="B36" s="3">
        <v>42134</v>
      </c>
      <c r="C36" s="3">
        <v>42134</v>
      </c>
      <c r="D36" s="4"/>
      <c r="E36" s="20" t="s">
        <v>148</v>
      </c>
      <c r="F36" s="5" t="s">
        <v>291</v>
      </c>
      <c r="G36" s="311" t="s">
        <v>683</v>
      </c>
      <c r="H36" s="5" t="s">
        <v>684</v>
      </c>
      <c r="I36" s="26" t="s">
        <v>94</v>
      </c>
      <c r="J36" s="19"/>
      <c r="K36" s="5">
        <v>2489750</v>
      </c>
      <c r="L36" s="4">
        <f t="shared" si="1"/>
        <v>999534741</v>
      </c>
      <c r="M36" s="18"/>
    </row>
    <row r="37" spans="1:13" ht="18.75" customHeight="1">
      <c r="A37" s="6" t="str">
        <f t="shared" si="0"/>
        <v>C13</v>
      </c>
      <c r="B37" s="3">
        <v>42134</v>
      </c>
      <c r="C37" s="3">
        <v>42134</v>
      </c>
      <c r="D37" s="4"/>
      <c r="E37" s="20" t="s">
        <v>148</v>
      </c>
      <c r="F37" s="5" t="s">
        <v>292</v>
      </c>
      <c r="G37" s="311" t="s">
        <v>683</v>
      </c>
      <c r="H37" s="5" t="s">
        <v>684</v>
      </c>
      <c r="I37" s="26" t="s">
        <v>35</v>
      </c>
      <c r="J37" s="19"/>
      <c r="K37" s="5">
        <v>248975</v>
      </c>
      <c r="L37" s="4">
        <f t="shared" si="1"/>
        <v>999285766</v>
      </c>
      <c r="M37" s="18"/>
    </row>
    <row r="38" spans="1:13" ht="18.75" customHeight="1">
      <c r="A38" s="6" t="str">
        <f t="shared" si="0"/>
        <v>C14</v>
      </c>
      <c r="B38" s="3">
        <v>42134</v>
      </c>
      <c r="C38" s="3">
        <v>42134</v>
      </c>
      <c r="D38" s="4"/>
      <c r="E38" s="20" t="s">
        <v>149</v>
      </c>
      <c r="F38" s="5" t="s">
        <v>332</v>
      </c>
      <c r="G38" s="5"/>
      <c r="H38" s="5" t="s">
        <v>333</v>
      </c>
      <c r="I38" s="26" t="s">
        <v>334</v>
      </c>
      <c r="J38" s="19"/>
      <c r="K38" s="5">
        <v>400000000</v>
      </c>
      <c r="L38" s="4">
        <f t="shared" si="1"/>
        <v>599285766</v>
      </c>
      <c r="M38" s="18"/>
    </row>
    <row r="39" spans="1:13" ht="18.75" customHeight="1">
      <c r="A39" s="6" t="str">
        <f t="shared" si="0"/>
        <v>C15</v>
      </c>
      <c r="B39" s="3">
        <v>42136</v>
      </c>
      <c r="C39" s="3">
        <v>42136</v>
      </c>
      <c r="D39" s="4"/>
      <c r="E39" s="20" t="s">
        <v>150</v>
      </c>
      <c r="F39" s="5" t="s">
        <v>644</v>
      </c>
      <c r="G39" s="311"/>
      <c r="H39" s="5" t="s">
        <v>187</v>
      </c>
      <c r="I39" s="26" t="s">
        <v>36</v>
      </c>
      <c r="J39" s="19"/>
      <c r="K39" s="5">
        <v>25000000</v>
      </c>
      <c r="L39" s="4">
        <f t="shared" si="1"/>
        <v>574285766</v>
      </c>
      <c r="M39" s="18"/>
    </row>
    <row r="40" spans="1:13" ht="18.75" customHeight="1">
      <c r="A40" s="6" t="str">
        <f t="shared" si="0"/>
        <v>C16</v>
      </c>
      <c r="B40" s="3">
        <v>42138</v>
      </c>
      <c r="C40" s="3">
        <v>42138</v>
      </c>
      <c r="D40" s="4"/>
      <c r="E40" s="20" t="s">
        <v>151</v>
      </c>
      <c r="F40" s="5" t="s">
        <v>507</v>
      </c>
      <c r="G40" s="311" t="s">
        <v>654</v>
      </c>
      <c r="H40" s="5" t="s">
        <v>641</v>
      </c>
      <c r="I40" s="26" t="s">
        <v>94</v>
      </c>
      <c r="J40" s="19"/>
      <c r="K40" s="5">
        <v>793200</v>
      </c>
      <c r="L40" s="4">
        <f t="shared" si="1"/>
        <v>573492566</v>
      </c>
      <c r="M40" s="18"/>
    </row>
    <row r="41" spans="1:13" ht="18.75" customHeight="1">
      <c r="A41" s="6" t="str">
        <f t="shared" si="0"/>
        <v>C16</v>
      </c>
      <c r="B41" s="3">
        <v>42138</v>
      </c>
      <c r="C41" s="3">
        <v>42138</v>
      </c>
      <c r="D41" s="4"/>
      <c r="E41" s="20" t="s">
        <v>151</v>
      </c>
      <c r="F41" s="5" t="s">
        <v>508</v>
      </c>
      <c r="G41" s="311" t="s">
        <v>654</v>
      </c>
      <c r="H41" s="5" t="s">
        <v>641</v>
      </c>
      <c r="I41" s="26" t="s">
        <v>35</v>
      </c>
      <c r="J41" s="19"/>
      <c r="K41" s="5">
        <v>79320</v>
      </c>
      <c r="L41" s="4">
        <f t="shared" si="1"/>
        <v>573413246</v>
      </c>
      <c r="M41" s="18"/>
    </row>
    <row r="42" spans="1:13" ht="18.75" customHeight="1">
      <c r="A42" s="6" t="str">
        <f t="shared" si="0"/>
        <v>C17</v>
      </c>
      <c r="B42" s="3">
        <v>42139</v>
      </c>
      <c r="C42" s="3">
        <v>42139</v>
      </c>
      <c r="D42" s="4"/>
      <c r="E42" s="20" t="s">
        <v>152</v>
      </c>
      <c r="F42" s="5" t="s">
        <v>507</v>
      </c>
      <c r="G42" s="311" t="s">
        <v>655</v>
      </c>
      <c r="H42" s="5" t="s">
        <v>641</v>
      </c>
      <c r="I42" s="26" t="s">
        <v>94</v>
      </c>
      <c r="J42" s="19"/>
      <c r="K42" s="5">
        <v>955445</v>
      </c>
      <c r="L42" s="4">
        <f t="shared" si="1"/>
        <v>572457801</v>
      </c>
      <c r="M42" s="18"/>
    </row>
    <row r="43" spans="1:13" ht="18.75" customHeight="1">
      <c r="A43" s="6" t="str">
        <f t="shared" si="0"/>
        <v>C17</v>
      </c>
      <c r="B43" s="3">
        <v>42139</v>
      </c>
      <c r="C43" s="3">
        <v>42139</v>
      </c>
      <c r="D43" s="4"/>
      <c r="E43" s="20" t="s">
        <v>152</v>
      </c>
      <c r="F43" s="5" t="s">
        <v>508</v>
      </c>
      <c r="G43" s="311" t="s">
        <v>655</v>
      </c>
      <c r="H43" s="5" t="s">
        <v>641</v>
      </c>
      <c r="I43" s="26" t="s">
        <v>35</v>
      </c>
      <c r="J43" s="19"/>
      <c r="K43" s="5">
        <v>95545</v>
      </c>
      <c r="L43" s="4">
        <f t="shared" si="1"/>
        <v>572362256</v>
      </c>
      <c r="M43" s="18"/>
    </row>
    <row r="44" spans="1:13" ht="18.75" customHeight="1">
      <c r="A44" s="6" t="str">
        <f t="shared" si="0"/>
        <v>C17</v>
      </c>
      <c r="B44" s="3">
        <v>42139</v>
      </c>
      <c r="C44" s="3">
        <v>42139</v>
      </c>
      <c r="D44" s="4"/>
      <c r="E44" s="20" t="s">
        <v>152</v>
      </c>
      <c r="F44" s="5" t="s">
        <v>53</v>
      </c>
      <c r="G44" s="311" t="s">
        <v>656</v>
      </c>
      <c r="H44" s="5" t="s">
        <v>192</v>
      </c>
      <c r="I44" s="26" t="s">
        <v>54</v>
      </c>
      <c r="J44" s="19"/>
      <c r="K44" s="5">
        <v>157336</v>
      </c>
      <c r="L44" s="4">
        <f t="shared" si="1"/>
        <v>572204920</v>
      </c>
      <c r="M44" s="18"/>
    </row>
    <row r="45" spans="1:13" ht="18.75" customHeight="1">
      <c r="A45" s="6" t="str">
        <f t="shared" si="0"/>
        <v>C17</v>
      </c>
      <c r="B45" s="3">
        <v>42139</v>
      </c>
      <c r="C45" s="3">
        <v>42139</v>
      </c>
      <c r="D45" s="4"/>
      <c r="E45" s="20" t="s">
        <v>152</v>
      </c>
      <c r="F45" s="5" t="s">
        <v>507</v>
      </c>
      <c r="G45" s="311" t="s">
        <v>656</v>
      </c>
      <c r="H45" s="5" t="s">
        <v>192</v>
      </c>
      <c r="I45" s="26" t="s">
        <v>94</v>
      </c>
      <c r="J45" s="19"/>
      <c r="K45" s="5">
        <v>1223227</v>
      </c>
      <c r="L45" s="4">
        <f t="shared" si="1"/>
        <v>570981693</v>
      </c>
      <c r="M45" s="18"/>
    </row>
    <row r="46" spans="1:13" ht="18.75" customHeight="1">
      <c r="A46" s="6" t="str">
        <f t="shared" si="0"/>
        <v>C17</v>
      </c>
      <c r="B46" s="3">
        <v>42139</v>
      </c>
      <c r="C46" s="3">
        <v>42139</v>
      </c>
      <c r="D46" s="4"/>
      <c r="E46" s="20" t="s">
        <v>152</v>
      </c>
      <c r="F46" s="5" t="s">
        <v>304</v>
      </c>
      <c r="G46" s="311" t="s">
        <v>656</v>
      </c>
      <c r="H46" s="5" t="s">
        <v>192</v>
      </c>
      <c r="I46" s="26" t="s">
        <v>35</v>
      </c>
      <c r="J46" s="19"/>
      <c r="K46" s="5">
        <v>138057</v>
      </c>
      <c r="L46" s="4">
        <f t="shared" ref="L46:L77" si="3">IF(F46&lt;&gt;"",L45+J46-K46,0)</f>
        <v>570843636</v>
      </c>
      <c r="M46" s="18"/>
    </row>
    <row r="47" spans="1:13" ht="18.75" customHeight="1">
      <c r="A47" s="6" t="str">
        <f t="shared" si="0"/>
        <v>C18</v>
      </c>
      <c r="B47" s="3">
        <v>42142</v>
      </c>
      <c r="C47" s="3">
        <v>42142</v>
      </c>
      <c r="D47" s="4"/>
      <c r="E47" s="20" t="s">
        <v>153</v>
      </c>
      <c r="F47" s="5" t="s">
        <v>507</v>
      </c>
      <c r="G47" s="311" t="s">
        <v>657</v>
      </c>
      <c r="H47" s="5" t="s">
        <v>641</v>
      </c>
      <c r="I47" s="26" t="s">
        <v>94</v>
      </c>
      <c r="J47" s="19"/>
      <c r="K47" s="5">
        <v>865309</v>
      </c>
      <c r="L47" s="4">
        <f t="shared" si="3"/>
        <v>569978327</v>
      </c>
      <c r="M47" s="18"/>
    </row>
    <row r="48" spans="1:13" ht="18.75" customHeight="1">
      <c r="A48" s="6" t="str">
        <f t="shared" si="0"/>
        <v>C18</v>
      </c>
      <c r="B48" s="3">
        <v>42142</v>
      </c>
      <c r="C48" s="3">
        <v>42142</v>
      </c>
      <c r="D48" s="4"/>
      <c r="E48" s="20" t="s">
        <v>153</v>
      </c>
      <c r="F48" s="5" t="s">
        <v>508</v>
      </c>
      <c r="G48" s="311" t="s">
        <v>657</v>
      </c>
      <c r="H48" s="5" t="s">
        <v>641</v>
      </c>
      <c r="I48" s="26" t="s">
        <v>35</v>
      </c>
      <c r="J48" s="19"/>
      <c r="K48" s="5">
        <v>86531</v>
      </c>
      <c r="L48" s="4">
        <f t="shared" si="3"/>
        <v>569891796</v>
      </c>
      <c r="M48" s="18"/>
    </row>
    <row r="49" spans="1:13" ht="18.75" customHeight="1">
      <c r="A49" s="6" t="str">
        <f t="shared" si="0"/>
        <v>C19</v>
      </c>
      <c r="B49" s="3">
        <v>42143</v>
      </c>
      <c r="C49" s="3">
        <v>42143</v>
      </c>
      <c r="D49" s="4"/>
      <c r="E49" s="20" t="s">
        <v>154</v>
      </c>
      <c r="F49" s="5" t="s">
        <v>644</v>
      </c>
      <c r="G49" s="312"/>
      <c r="H49" s="5" t="s">
        <v>187</v>
      </c>
      <c r="I49" s="26" t="s">
        <v>36</v>
      </c>
      <c r="J49" s="19"/>
      <c r="K49" s="5">
        <v>6000000</v>
      </c>
      <c r="L49" s="4">
        <f t="shared" si="3"/>
        <v>563891796</v>
      </c>
      <c r="M49" s="18"/>
    </row>
    <row r="50" spans="1:13" ht="18.75" customHeight="1">
      <c r="A50" s="6" t="str">
        <f t="shared" si="0"/>
        <v>C20</v>
      </c>
      <c r="B50" s="3">
        <v>42144</v>
      </c>
      <c r="C50" s="3">
        <v>42144</v>
      </c>
      <c r="D50" s="4"/>
      <c r="E50" s="20" t="s">
        <v>155</v>
      </c>
      <c r="F50" s="5" t="s">
        <v>507</v>
      </c>
      <c r="G50" s="311" t="s">
        <v>658</v>
      </c>
      <c r="H50" s="5" t="s">
        <v>641</v>
      </c>
      <c r="I50" s="26" t="s">
        <v>94</v>
      </c>
      <c r="J50" s="19"/>
      <c r="K50" s="5">
        <v>865309</v>
      </c>
      <c r="L50" s="4">
        <f t="shared" si="3"/>
        <v>563026487</v>
      </c>
      <c r="M50" s="18"/>
    </row>
    <row r="51" spans="1:13" ht="18.75" customHeight="1">
      <c r="A51" s="6" t="str">
        <f t="shared" si="0"/>
        <v>C20</v>
      </c>
      <c r="B51" s="3">
        <v>42144</v>
      </c>
      <c r="C51" s="3">
        <v>42144</v>
      </c>
      <c r="D51" s="4"/>
      <c r="E51" s="20" t="s">
        <v>155</v>
      </c>
      <c r="F51" s="5" t="s">
        <v>508</v>
      </c>
      <c r="G51" s="311" t="s">
        <v>658</v>
      </c>
      <c r="H51" s="5" t="s">
        <v>641</v>
      </c>
      <c r="I51" s="26" t="s">
        <v>35</v>
      </c>
      <c r="J51" s="19"/>
      <c r="K51" s="5">
        <v>86531</v>
      </c>
      <c r="L51" s="4">
        <f t="shared" si="3"/>
        <v>562939956</v>
      </c>
      <c r="M51" s="18"/>
    </row>
    <row r="52" spans="1:13" ht="18.75" customHeight="1">
      <c r="A52" s="6" t="str">
        <f t="shared" si="0"/>
        <v>C20</v>
      </c>
      <c r="B52" s="3">
        <v>42144</v>
      </c>
      <c r="C52" s="3">
        <v>42144</v>
      </c>
      <c r="D52" s="4"/>
      <c r="E52" s="20" t="s">
        <v>155</v>
      </c>
      <c r="F52" s="5" t="s">
        <v>53</v>
      </c>
      <c r="G52" s="311" t="s">
        <v>692</v>
      </c>
      <c r="H52" s="5" t="s">
        <v>192</v>
      </c>
      <c r="I52" s="26" t="s">
        <v>54</v>
      </c>
      <c r="J52" s="19"/>
      <c r="K52" s="5">
        <v>719545</v>
      </c>
      <c r="L52" s="4">
        <f t="shared" si="3"/>
        <v>562220411</v>
      </c>
      <c r="M52" s="18"/>
    </row>
    <row r="53" spans="1:13" ht="18.75" customHeight="1">
      <c r="A53" s="6" t="str">
        <f t="shared" si="0"/>
        <v>C20</v>
      </c>
      <c r="B53" s="3">
        <v>42144</v>
      </c>
      <c r="C53" s="3">
        <v>42144</v>
      </c>
      <c r="D53" s="4"/>
      <c r="E53" s="20" t="s">
        <v>155</v>
      </c>
      <c r="F53" s="5" t="s">
        <v>691</v>
      </c>
      <c r="G53" s="311" t="s">
        <v>692</v>
      </c>
      <c r="H53" s="5" t="s">
        <v>192</v>
      </c>
      <c r="I53" s="26" t="s">
        <v>94</v>
      </c>
      <c r="J53" s="19"/>
      <c r="K53" s="5">
        <v>52445</v>
      </c>
      <c r="L53" s="4">
        <f t="shared" si="3"/>
        <v>562167966</v>
      </c>
      <c r="M53" s="18"/>
    </row>
    <row r="54" spans="1:13" ht="18.75" customHeight="1">
      <c r="A54" s="6" t="str">
        <f t="shared" si="0"/>
        <v>C20</v>
      </c>
      <c r="B54" s="3">
        <v>42144</v>
      </c>
      <c r="C54" s="3">
        <v>42144</v>
      </c>
      <c r="D54" s="4"/>
      <c r="E54" s="20" t="s">
        <v>155</v>
      </c>
      <c r="F54" s="5" t="s">
        <v>304</v>
      </c>
      <c r="G54" s="311" t="s">
        <v>692</v>
      </c>
      <c r="H54" s="5" t="s">
        <v>192</v>
      </c>
      <c r="I54" s="26" t="s">
        <v>35</v>
      </c>
      <c r="J54" s="19"/>
      <c r="K54" s="5">
        <v>77200</v>
      </c>
      <c r="L54" s="4">
        <f t="shared" si="3"/>
        <v>562090766</v>
      </c>
      <c r="M54" s="18"/>
    </row>
    <row r="55" spans="1:13" ht="18.75" customHeight="1">
      <c r="A55" s="6" t="str">
        <f t="shared" si="0"/>
        <v>T02</v>
      </c>
      <c r="B55" s="3">
        <v>42145</v>
      </c>
      <c r="C55" s="3">
        <v>42145</v>
      </c>
      <c r="D55" s="4" t="s">
        <v>40</v>
      </c>
      <c r="E55" s="20"/>
      <c r="F55" s="5" t="s">
        <v>659</v>
      </c>
      <c r="G55" s="312"/>
      <c r="H55" s="5" t="s">
        <v>187</v>
      </c>
      <c r="I55" s="26" t="s">
        <v>36</v>
      </c>
      <c r="J55" s="19">
        <v>1350000000</v>
      </c>
      <c r="K55" s="5"/>
      <c r="L55" s="4">
        <f t="shared" si="3"/>
        <v>1912090766</v>
      </c>
      <c r="M55" s="18"/>
    </row>
    <row r="56" spans="1:13" ht="18.75" customHeight="1">
      <c r="A56" s="6" t="str">
        <f t="shared" si="0"/>
        <v>C21</v>
      </c>
      <c r="B56" s="3">
        <v>42145</v>
      </c>
      <c r="C56" s="3">
        <v>42145</v>
      </c>
      <c r="D56" s="4"/>
      <c r="E56" s="20" t="s">
        <v>156</v>
      </c>
      <c r="F56" s="5" t="s">
        <v>644</v>
      </c>
      <c r="G56" s="312"/>
      <c r="H56" s="5" t="s">
        <v>187</v>
      </c>
      <c r="I56" s="26" t="s">
        <v>36</v>
      </c>
      <c r="J56" s="19"/>
      <c r="K56" s="5">
        <v>470000000</v>
      </c>
      <c r="L56" s="4">
        <f t="shared" si="3"/>
        <v>1442090766</v>
      </c>
      <c r="M56" s="18"/>
    </row>
    <row r="57" spans="1:13" ht="18.75" customHeight="1">
      <c r="A57" s="6" t="str">
        <f t="shared" si="0"/>
        <v>C22</v>
      </c>
      <c r="B57" s="3">
        <v>42145</v>
      </c>
      <c r="C57" s="3">
        <v>42145</v>
      </c>
      <c r="D57" s="4"/>
      <c r="E57" s="20" t="s">
        <v>157</v>
      </c>
      <c r="F57" s="5" t="s">
        <v>644</v>
      </c>
      <c r="G57" s="312"/>
      <c r="H57" s="5" t="s">
        <v>187</v>
      </c>
      <c r="I57" s="26" t="s">
        <v>36</v>
      </c>
      <c r="J57" s="19"/>
      <c r="K57" s="5">
        <v>330000000</v>
      </c>
      <c r="L57" s="4">
        <f t="shared" si="3"/>
        <v>1112090766</v>
      </c>
      <c r="M57" s="18"/>
    </row>
    <row r="58" spans="1:13" ht="18.75" customHeight="1">
      <c r="A58" s="6" t="str">
        <f t="shared" si="0"/>
        <v>C23</v>
      </c>
      <c r="B58" s="3">
        <v>42146</v>
      </c>
      <c r="C58" s="3">
        <v>42146</v>
      </c>
      <c r="D58" s="4"/>
      <c r="E58" s="20" t="s">
        <v>158</v>
      </c>
      <c r="F58" s="5" t="s">
        <v>69</v>
      </c>
      <c r="G58" s="311" t="s">
        <v>670</v>
      </c>
      <c r="H58" s="5" t="s">
        <v>671</v>
      </c>
      <c r="I58" s="26" t="s">
        <v>94</v>
      </c>
      <c r="J58" s="19"/>
      <c r="K58" s="5">
        <v>3325000</v>
      </c>
      <c r="L58" s="4">
        <f t="shared" si="3"/>
        <v>1108765766</v>
      </c>
      <c r="M58" s="18"/>
    </row>
    <row r="59" spans="1:13" ht="18.75" customHeight="1">
      <c r="A59" s="6" t="str">
        <f t="shared" si="0"/>
        <v>C23</v>
      </c>
      <c r="B59" s="3">
        <v>42146</v>
      </c>
      <c r="C59" s="3">
        <v>42146</v>
      </c>
      <c r="D59" s="4"/>
      <c r="E59" s="20" t="s">
        <v>158</v>
      </c>
      <c r="F59" s="5" t="s">
        <v>70</v>
      </c>
      <c r="G59" s="311" t="s">
        <v>670</v>
      </c>
      <c r="H59" s="5" t="s">
        <v>671</v>
      </c>
      <c r="I59" s="26" t="s">
        <v>35</v>
      </c>
      <c r="J59" s="19"/>
      <c r="K59" s="5">
        <v>332500</v>
      </c>
      <c r="L59" s="4">
        <f t="shared" si="3"/>
        <v>1108433266</v>
      </c>
      <c r="M59" s="18"/>
    </row>
    <row r="60" spans="1:13" ht="18.75" customHeight="1">
      <c r="A60" s="6" t="str">
        <f t="shared" si="0"/>
        <v>C24</v>
      </c>
      <c r="B60" s="3">
        <v>42147</v>
      </c>
      <c r="C60" s="3">
        <v>42147</v>
      </c>
      <c r="D60" s="4"/>
      <c r="E60" s="20" t="s">
        <v>159</v>
      </c>
      <c r="F60" s="5" t="s">
        <v>507</v>
      </c>
      <c r="G60" s="311" t="s">
        <v>660</v>
      </c>
      <c r="H60" s="5" t="s">
        <v>641</v>
      </c>
      <c r="I60" s="26" t="s">
        <v>94</v>
      </c>
      <c r="J60" s="19"/>
      <c r="K60" s="5">
        <v>1051500</v>
      </c>
      <c r="L60" s="4">
        <f t="shared" si="3"/>
        <v>1107381766</v>
      </c>
      <c r="M60" s="18"/>
    </row>
    <row r="61" spans="1:13" ht="18.75" customHeight="1">
      <c r="A61" s="6" t="str">
        <f t="shared" si="0"/>
        <v>C24</v>
      </c>
      <c r="B61" s="3">
        <v>42147</v>
      </c>
      <c r="C61" s="3">
        <v>42147</v>
      </c>
      <c r="D61" s="4"/>
      <c r="E61" s="20" t="s">
        <v>159</v>
      </c>
      <c r="F61" s="5" t="s">
        <v>508</v>
      </c>
      <c r="G61" s="311" t="s">
        <v>660</v>
      </c>
      <c r="H61" s="5" t="s">
        <v>641</v>
      </c>
      <c r="I61" s="26" t="s">
        <v>35</v>
      </c>
      <c r="J61" s="19"/>
      <c r="K61" s="5">
        <v>105150</v>
      </c>
      <c r="L61" s="4">
        <f t="shared" si="3"/>
        <v>1107276616</v>
      </c>
      <c r="M61" s="18"/>
    </row>
    <row r="62" spans="1:13" ht="18.75" customHeight="1">
      <c r="A62" s="6" t="str">
        <f t="shared" si="0"/>
        <v>C25</v>
      </c>
      <c r="B62" s="3">
        <v>42149</v>
      </c>
      <c r="C62" s="3">
        <v>42149</v>
      </c>
      <c r="D62" s="4"/>
      <c r="E62" s="20" t="s">
        <v>160</v>
      </c>
      <c r="F62" s="5" t="s">
        <v>507</v>
      </c>
      <c r="G62" s="311" t="s">
        <v>661</v>
      </c>
      <c r="H62" s="5" t="s">
        <v>641</v>
      </c>
      <c r="I62" s="26" t="s">
        <v>94</v>
      </c>
      <c r="J62" s="19"/>
      <c r="K62" s="5">
        <v>955909</v>
      </c>
      <c r="L62" s="4">
        <f t="shared" si="3"/>
        <v>1106320707</v>
      </c>
      <c r="M62" s="18"/>
    </row>
    <row r="63" spans="1:13" ht="18.75" customHeight="1">
      <c r="A63" s="6" t="str">
        <f t="shared" si="0"/>
        <v>C25</v>
      </c>
      <c r="B63" s="3">
        <v>42149</v>
      </c>
      <c r="C63" s="3">
        <v>42149</v>
      </c>
      <c r="D63" s="4"/>
      <c r="E63" s="20" t="s">
        <v>160</v>
      </c>
      <c r="F63" s="5" t="s">
        <v>508</v>
      </c>
      <c r="G63" s="311" t="s">
        <v>661</v>
      </c>
      <c r="H63" s="5" t="s">
        <v>641</v>
      </c>
      <c r="I63" s="26" t="s">
        <v>35</v>
      </c>
      <c r="J63" s="19"/>
      <c r="K63" s="5">
        <v>95591</v>
      </c>
      <c r="L63" s="4">
        <f t="shared" si="3"/>
        <v>1106225116</v>
      </c>
      <c r="M63" s="18"/>
    </row>
    <row r="64" spans="1:13" ht="18.75" customHeight="1">
      <c r="A64" s="6" t="str">
        <f t="shared" si="0"/>
        <v>C26</v>
      </c>
      <c r="B64" s="3">
        <v>42150</v>
      </c>
      <c r="C64" s="3">
        <v>42150</v>
      </c>
      <c r="D64" s="4"/>
      <c r="E64" s="20" t="s">
        <v>161</v>
      </c>
      <c r="F64" s="5" t="s">
        <v>645</v>
      </c>
      <c r="G64" s="312"/>
      <c r="H64" s="5" t="s">
        <v>228</v>
      </c>
      <c r="I64" s="26" t="s">
        <v>36</v>
      </c>
      <c r="J64" s="19"/>
      <c r="K64" s="5">
        <v>650000000</v>
      </c>
      <c r="L64" s="4">
        <f t="shared" si="3"/>
        <v>456225116</v>
      </c>
      <c r="M64" s="18"/>
    </row>
    <row r="65" spans="1:13" s="42" customFormat="1" ht="18.75" customHeight="1">
      <c r="A65" s="6" t="str">
        <f t="shared" si="0"/>
        <v>T03</v>
      </c>
      <c r="B65" s="3">
        <v>42151</v>
      </c>
      <c r="C65" s="3">
        <v>42151</v>
      </c>
      <c r="D65" s="4" t="s">
        <v>41</v>
      </c>
      <c r="E65" s="20"/>
      <c r="F65" s="5" t="s">
        <v>673</v>
      </c>
      <c r="G65" s="312"/>
      <c r="H65" s="5" t="s">
        <v>187</v>
      </c>
      <c r="I65" s="26" t="s">
        <v>36</v>
      </c>
      <c r="J65" s="19">
        <v>1700000000</v>
      </c>
      <c r="K65" s="5"/>
      <c r="L65" s="4">
        <f t="shared" si="3"/>
        <v>2156225116</v>
      </c>
      <c r="M65" s="18"/>
    </row>
    <row r="66" spans="1:13" ht="18.75" customHeight="1">
      <c r="A66" s="6" t="str">
        <f t="shared" si="0"/>
        <v>C27</v>
      </c>
      <c r="B66" s="3">
        <v>42151</v>
      </c>
      <c r="C66" s="3">
        <v>42151</v>
      </c>
      <c r="D66" s="4"/>
      <c r="E66" s="20" t="s">
        <v>162</v>
      </c>
      <c r="F66" s="5" t="s">
        <v>662</v>
      </c>
      <c r="G66" s="311" t="s">
        <v>668</v>
      </c>
      <c r="H66" s="5" t="s">
        <v>664</v>
      </c>
      <c r="I66" s="26" t="s">
        <v>94</v>
      </c>
      <c r="J66" s="19"/>
      <c r="K66" s="5">
        <v>14400000</v>
      </c>
      <c r="L66" s="4">
        <f t="shared" si="3"/>
        <v>2141825116</v>
      </c>
      <c r="M66" s="18"/>
    </row>
    <row r="67" spans="1:13" ht="18.75" customHeight="1">
      <c r="A67" s="6" t="str">
        <f t="shared" si="0"/>
        <v>C27</v>
      </c>
      <c r="B67" s="3">
        <v>42151</v>
      </c>
      <c r="C67" s="3">
        <v>42151</v>
      </c>
      <c r="D67" s="4"/>
      <c r="E67" s="20" t="s">
        <v>162</v>
      </c>
      <c r="F67" s="5" t="s">
        <v>663</v>
      </c>
      <c r="G67" s="311" t="s">
        <v>668</v>
      </c>
      <c r="H67" s="5" t="s">
        <v>664</v>
      </c>
      <c r="I67" s="26" t="s">
        <v>35</v>
      </c>
      <c r="J67" s="19"/>
      <c r="K67" s="5">
        <v>1440000</v>
      </c>
      <c r="L67" s="4">
        <f t="shared" si="3"/>
        <v>2140385116</v>
      </c>
      <c r="M67" s="18"/>
    </row>
    <row r="68" spans="1:13" ht="18.75" customHeight="1">
      <c r="A68" s="6" t="str">
        <f t="shared" si="0"/>
        <v>C28</v>
      </c>
      <c r="B68" s="3">
        <v>42151</v>
      </c>
      <c r="C68" s="3">
        <v>42151</v>
      </c>
      <c r="D68" s="4"/>
      <c r="E68" s="20" t="s">
        <v>163</v>
      </c>
      <c r="F68" s="5" t="s">
        <v>332</v>
      </c>
      <c r="G68" s="5"/>
      <c r="H68" s="5" t="s">
        <v>333</v>
      </c>
      <c r="I68" s="26" t="s">
        <v>334</v>
      </c>
      <c r="J68" s="19"/>
      <c r="K68" s="5">
        <v>350000000</v>
      </c>
      <c r="L68" s="4">
        <f t="shared" si="3"/>
        <v>1790385116</v>
      </c>
      <c r="M68" s="18"/>
    </row>
    <row r="69" spans="1:13" ht="18.75" customHeight="1">
      <c r="A69" s="6" t="str">
        <f t="shared" si="0"/>
        <v>C29</v>
      </c>
      <c r="B69" s="3">
        <v>42151</v>
      </c>
      <c r="C69" s="3">
        <v>42151</v>
      </c>
      <c r="D69" s="4"/>
      <c r="E69" s="20" t="s">
        <v>164</v>
      </c>
      <c r="F69" s="5" t="s">
        <v>332</v>
      </c>
      <c r="G69" s="5"/>
      <c r="H69" s="5" t="s">
        <v>335</v>
      </c>
      <c r="I69" s="26" t="s">
        <v>334</v>
      </c>
      <c r="J69" s="19"/>
      <c r="K69" s="5">
        <v>530000000</v>
      </c>
      <c r="L69" s="4">
        <f t="shared" si="3"/>
        <v>1260385116</v>
      </c>
      <c r="M69" s="18"/>
    </row>
    <row r="70" spans="1:13" ht="18.75" customHeight="1">
      <c r="A70" s="6" t="str">
        <f t="shared" si="0"/>
        <v>C30</v>
      </c>
      <c r="B70" s="3">
        <v>42152</v>
      </c>
      <c r="C70" s="3">
        <v>42152</v>
      </c>
      <c r="D70" s="4"/>
      <c r="E70" s="20" t="s">
        <v>165</v>
      </c>
      <c r="F70" s="5" t="s">
        <v>507</v>
      </c>
      <c r="G70" s="311" t="s">
        <v>665</v>
      </c>
      <c r="H70" s="5" t="s">
        <v>641</v>
      </c>
      <c r="I70" s="26" t="s">
        <v>94</v>
      </c>
      <c r="J70" s="19"/>
      <c r="K70" s="5">
        <v>802964</v>
      </c>
      <c r="L70" s="4">
        <f t="shared" si="3"/>
        <v>1259582152</v>
      </c>
      <c r="M70" s="18"/>
    </row>
    <row r="71" spans="1:13" ht="18.75" customHeight="1">
      <c r="A71" s="6" t="str">
        <f t="shared" si="0"/>
        <v>C30</v>
      </c>
      <c r="B71" s="3">
        <v>42152</v>
      </c>
      <c r="C71" s="3">
        <v>42152</v>
      </c>
      <c r="D71" s="4"/>
      <c r="E71" s="20" t="s">
        <v>165</v>
      </c>
      <c r="F71" s="5" t="s">
        <v>508</v>
      </c>
      <c r="G71" s="311" t="s">
        <v>665</v>
      </c>
      <c r="H71" s="5" t="s">
        <v>641</v>
      </c>
      <c r="I71" s="26" t="s">
        <v>35</v>
      </c>
      <c r="J71" s="19"/>
      <c r="K71" s="5">
        <v>80296</v>
      </c>
      <c r="L71" s="4">
        <f t="shared" si="3"/>
        <v>1259501856</v>
      </c>
      <c r="M71" s="18"/>
    </row>
    <row r="72" spans="1:13" ht="18.75" customHeight="1">
      <c r="A72" s="6" t="str">
        <f t="shared" si="0"/>
        <v>T04</v>
      </c>
      <c r="B72" s="3">
        <v>42154</v>
      </c>
      <c r="C72" s="3">
        <v>42154</v>
      </c>
      <c r="D72" s="4" t="s">
        <v>42</v>
      </c>
      <c r="E72" s="20"/>
      <c r="F72" s="5" t="s">
        <v>120</v>
      </c>
      <c r="G72" s="311"/>
      <c r="H72" s="5" t="s">
        <v>187</v>
      </c>
      <c r="I72" s="26" t="s">
        <v>36</v>
      </c>
      <c r="J72" s="19">
        <v>220000000</v>
      </c>
      <c r="K72" s="5"/>
      <c r="L72" s="4">
        <f t="shared" si="3"/>
        <v>1479501856</v>
      </c>
      <c r="M72" s="18"/>
    </row>
    <row r="73" spans="1:13" ht="18.75" customHeight="1">
      <c r="A73" s="6" t="str">
        <f t="shared" si="0"/>
        <v>C31</v>
      </c>
      <c r="B73" s="3">
        <v>42154</v>
      </c>
      <c r="C73" s="3">
        <v>42154</v>
      </c>
      <c r="D73" s="4"/>
      <c r="E73" s="20" t="s">
        <v>166</v>
      </c>
      <c r="F73" s="5" t="s">
        <v>687</v>
      </c>
      <c r="G73" s="311" t="s">
        <v>689</v>
      </c>
      <c r="H73" s="5" t="s">
        <v>690</v>
      </c>
      <c r="I73" s="26" t="s">
        <v>94</v>
      </c>
      <c r="J73" s="19"/>
      <c r="K73" s="5">
        <v>343634</v>
      </c>
      <c r="L73" s="4">
        <f t="shared" si="3"/>
        <v>1479158222</v>
      </c>
      <c r="M73" s="18"/>
    </row>
    <row r="74" spans="1:13" ht="18.75" customHeight="1">
      <c r="A74" s="6" t="str">
        <f t="shared" si="0"/>
        <v>C31</v>
      </c>
      <c r="B74" s="3">
        <v>42154</v>
      </c>
      <c r="C74" s="3">
        <v>42154</v>
      </c>
      <c r="D74" s="4"/>
      <c r="E74" s="20" t="s">
        <v>166</v>
      </c>
      <c r="F74" s="5" t="s">
        <v>688</v>
      </c>
      <c r="G74" s="311" t="s">
        <v>689</v>
      </c>
      <c r="H74" s="5" t="s">
        <v>690</v>
      </c>
      <c r="I74" s="26" t="s">
        <v>35</v>
      </c>
      <c r="J74" s="19"/>
      <c r="K74" s="5">
        <v>34363</v>
      </c>
      <c r="L74" s="4">
        <f t="shared" si="3"/>
        <v>1479123859</v>
      </c>
      <c r="M74" s="18"/>
    </row>
    <row r="75" spans="1:13" ht="18.75" customHeight="1">
      <c r="A75" s="6" t="str">
        <f t="shared" si="0"/>
        <v>C32</v>
      </c>
      <c r="B75" s="3">
        <v>42155</v>
      </c>
      <c r="C75" s="3">
        <v>42155</v>
      </c>
      <c r="D75" s="4"/>
      <c r="E75" s="20" t="s">
        <v>167</v>
      </c>
      <c r="F75" s="5" t="s">
        <v>50</v>
      </c>
      <c r="G75" s="311" t="s">
        <v>728</v>
      </c>
      <c r="H75" s="5" t="s">
        <v>192</v>
      </c>
      <c r="I75" s="26" t="s">
        <v>94</v>
      </c>
      <c r="J75" s="19"/>
      <c r="K75" s="5">
        <v>278591</v>
      </c>
      <c r="L75" s="4">
        <f t="shared" si="3"/>
        <v>1478845268</v>
      </c>
      <c r="M75" s="18"/>
    </row>
    <row r="76" spans="1:13" ht="18.75" customHeight="1">
      <c r="A76" s="6" t="str">
        <f t="shared" si="0"/>
        <v>C32</v>
      </c>
      <c r="B76" s="3">
        <v>42155</v>
      </c>
      <c r="C76" s="3">
        <v>42155</v>
      </c>
      <c r="D76" s="4"/>
      <c r="E76" s="20" t="s">
        <v>167</v>
      </c>
      <c r="F76" s="5" t="s">
        <v>53</v>
      </c>
      <c r="G76" s="311" t="s">
        <v>728</v>
      </c>
      <c r="H76" s="5" t="s">
        <v>192</v>
      </c>
      <c r="I76" s="26" t="s">
        <v>54</v>
      </c>
      <c r="J76" s="19"/>
      <c r="K76" s="5">
        <v>1484545</v>
      </c>
      <c r="L76" s="4">
        <f t="shared" si="3"/>
        <v>1477360723</v>
      </c>
      <c r="M76" s="18"/>
    </row>
    <row r="77" spans="1:13" ht="18.75" customHeight="1">
      <c r="A77" s="6" t="str">
        <f t="shared" si="0"/>
        <v>C32</v>
      </c>
      <c r="B77" s="3">
        <v>42155</v>
      </c>
      <c r="C77" s="3">
        <v>42155</v>
      </c>
      <c r="D77" s="4"/>
      <c r="E77" s="20" t="s">
        <v>167</v>
      </c>
      <c r="F77" s="5" t="s">
        <v>693</v>
      </c>
      <c r="G77" s="311" t="s">
        <v>728</v>
      </c>
      <c r="H77" s="5" t="s">
        <v>192</v>
      </c>
      <c r="I77" s="26" t="s">
        <v>35</v>
      </c>
      <c r="J77" s="19"/>
      <c r="K77" s="5">
        <v>176314</v>
      </c>
      <c r="L77" s="4">
        <f t="shared" si="3"/>
        <v>1477184409</v>
      </c>
      <c r="M77" s="18"/>
    </row>
    <row r="78" spans="1:13" ht="18.75" customHeight="1">
      <c r="A78" s="6" t="str">
        <f t="shared" ref="A78:A83" si="4">D78&amp;E78</f>
        <v>C33</v>
      </c>
      <c r="B78" s="3">
        <v>42155</v>
      </c>
      <c r="C78" s="3">
        <v>42155</v>
      </c>
      <c r="D78" s="4"/>
      <c r="E78" s="20" t="s">
        <v>168</v>
      </c>
      <c r="F78" s="5" t="s">
        <v>724</v>
      </c>
      <c r="G78" s="311" t="s">
        <v>727</v>
      </c>
      <c r="H78" s="5" t="s">
        <v>725</v>
      </c>
      <c r="I78" s="26" t="s">
        <v>94</v>
      </c>
      <c r="J78" s="19"/>
      <c r="K78" s="5">
        <v>87675</v>
      </c>
      <c r="L78" s="4">
        <f t="shared" ref="L78:L79" si="5">IF(F78&lt;&gt;"",L77+J78-K78,0)</f>
        <v>1477096734</v>
      </c>
      <c r="M78" s="18"/>
    </row>
    <row r="79" spans="1:13" ht="18.75" customHeight="1">
      <c r="A79" s="6" t="str">
        <f t="shared" si="4"/>
        <v>C33</v>
      </c>
      <c r="B79" s="3">
        <v>42155</v>
      </c>
      <c r="C79" s="3">
        <v>42155</v>
      </c>
      <c r="D79" s="4"/>
      <c r="E79" s="20" t="s">
        <v>168</v>
      </c>
      <c r="F79" s="5" t="s">
        <v>726</v>
      </c>
      <c r="G79" s="311" t="s">
        <v>727</v>
      </c>
      <c r="H79" s="5" t="s">
        <v>725</v>
      </c>
      <c r="I79" s="26" t="s">
        <v>35</v>
      </c>
      <c r="J79" s="19"/>
      <c r="K79" s="5">
        <v>8768</v>
      </c>
      <c r="L79" s="4">
        <f t="shared" si="5"/>
        <v>1477087966</v>
      </c>
      <c r="M79" s="18"/>
    </row>
    <row r="80" spans="1:13" ht="18.75" customHeight="1">
      <c r="A80" s="6" t="str">
        <f t="shared" si="4"/>
        <v>C34</v>
      </c>
      <c r="B80" s="3">
        <v>42155</v>
      </c>
      <c r="C80" s="3">
        <v>42155</v>
      </c>
      <c r="D80" s="4"/>
      <c r="E80" s="20" t="s">
        <v>169</v>
      </c>
      <c r="F80" s="5" t="s">
        <v>731</v>
      </c>
      <c r="G80" s="311" t="s">
        <v>733</v>
      </c>
      <c r="H80" s="5" t="s">
        <v>270</v>
      </c>
      <c r="I80" s="26" t="s">
        <v>94</v>
      </c>
      <c r="J80" s="19"/>
      <c r="K80" s="5">
        <v>1955089</v>
      </c>
      <c r="L80" s="4">
        <f t="shared" ref="L80:L83" si="6">IF(F80&lt;&gt;"",L79+J80-K80,0)</f>
        <v>1475132877</v>
      </c>
      <c r="M80" s="18"/>
    </row>
    <row r="81" spans="1:13" ht="18.75" customHeight="1">
      <c r="A81" s="6" t="str">
        <f t="shared" si="4"/>
        <v>C34</v>
      </c>
      <c r="B81" s="3">
        <v>42155</v>
      </c>
      <c r="C81" s="3">
        <v>42155</v>
      </c>
      <c r="D81" s="4"/>
      <c r="E81" s="20" t="s">
        <v>169</v>
      </c>
      <c r="F81" s="5" t="s">
        <v>732</v>
      </c>
      <c r="G81" s="311" t="s">
        <v>733</v>
      </c>
      <c r="H81" s="5" t="s">
        <v>270</v>
      </c>
      <c r="I81" s="26" t="s">
        <v>35</v>
      </c>
      <c r="J81" s="19"/>
      <c r="K81" s="5">
        <v>195509</v>
      </c>
      <c r="L81" s="4">
        <f t="shared" si="6"/>
        <v>1474937368</v>
      </c>
      <c r="M81" s="18"/>
    </row>
    <row r="82" spans="1:13" ht="18.75" customHeight="1">
      <c r="A82" s="6" t="str">
        <f t="shared" si="4"/>
        <v>C35</v>
      </c>
      <c r="B82" s="3">
        <v>42155</v>
      </c>
      <c r="C82" s="3">
        <v>42155</v>
      </c>
      <c r="D82" s="4"/>
      <c r="E82" s="20" t="s">
        <v>170</v>
      </c>
      <c r="F82" s="5" t="s">
        <v>623</v>
      </c>
      <c r="G82" s="311"/>
      <c r="H82" s="5" t="s">
        <v>501</v>
      </c>
      <c r="I82" s="26" t="s">
        <v>94</v>
      </c>
      <c r="J82" s="19"/>
      <c r="K82" s="5">
        <f>1350000+900000</f>
        <v>2250000</v>
      </c>
      <c r="L82" s="4">
        <f t="shared" si="6"/>
        <v>1472687368</v>
      </c>
      <c r="M82" s="18"/>
    </row>
    <row r="83" spans="1:13" ht="18.75" customHeight="1">
      <c r="A83" s="6" t="str">
        <f t="shared" si="4"/>
        <v>C36</v>
      </c>
      <c r="B83" s="3">
        <v>42155</v>
      </c>
      <c r="C83" s="3">
        <v>42155</v>
      </c>
      <c r="D83" s="4"/>
      <c r="E83" s="20" t="s">
        <v>171</v>
      </c>
      <c r="F83" s="5" t="s">
        <v>672</v>
      </c>
      <c r="G83" s="315"/>
      <c r="H83" s="5" t="s">
        <v>261</v>
      </c>
      <c r="I83" s="26" t="s">
        <v>37</v>
      </c>
      <c r="J83" s="19"/>
      <c r="K83" s="5">
        <v>130725095</v>
      </c>
      <c r="L83" s="4">
        <f t="shared" si="6"/>
        <v>1341962273</v>
      </c>
      <c r="M83" s="18"/>
    </row>
    <row r="84" spans="1:13" ht="19.5" customHeight="1">
      <c r="B84" s="3"/>
      <c r="C84" s="3"/>
      <c r="D84" s="20"/>
      <c r="E84" s="4"/>
      <c r="F84" s="5"/>
      <c r="G84" s="312"/>
      <c r="H84" s="5"/>
      <c r="I84" s="4"/>
      <c r="J84" s="19"/>
      <c r="K84" s="5"/>
      <c r="L84" s="4"/>
      <c r="M84" s="18"/>
    </row>
    <row r="85" spans="1:13" s="34" customFormat="1" ht="19.5" customHeight="1">
      <c r="B85" s="32"/>
      <c r="C85" s="32"/>
      <c r="D85" s="32"/>
      <c r="E85" s="32"/>
      <c r="F85" s="32" t="s">
        <v>29</v>
      </c>
      <c r="G85" s="313"/>
      <c r="H85" s="32"/>
      <c r="I85" s="33" t="s">
        <v>30</v>
      </c>
      <c r="J85" s="32">
        <f>SUM(J13:J83)</f>
        <v>4770000000</v>
      </c>
      <c r="K85" s="32">
        <f>SUM(K13:K83)</f>
        <v>4062253775</v>
      </c>
      <c r="L85" s="33" t="s">
        <v>30</v>
      </c>
      <c r="M85" s="33" t="s">
        <v>30</v>
      </c>
    </row>
    <row r="86" spans="1:13" s="34" customFormat="1" ht="19.5" customHeight="1">
      <c r="B86" s="35"/>
      <c r="C86" s="35"/>
      <c r="D86" s="35"/>
      <c r="E86" s="35"/>
      <c r="F86" s="35" t="s">
        <v>31</v>
      </c>
      <c r="G86" s="314"/>
      <c r="H86" s="35"/>
      <c r="I86" s="36" t="s">
        <v>30</v>
      </c>
      <c r="J86" s="36" t="s">
        <v>30</v>
      </c>
      <c r="K86" s="36" t="s">
        <v>30</v>
      </c>
      <c r="L86" s="35">
        <f>L12+J85-K85</f>
        <v>1341962273</v>
      </c>
      <c r="M86" s="36" t="s">
        <v>30</v>
      </c>
    </row>
    <row r="87" spans="1:13" ht="7.5" hidden="1" customHeight="1"/>
    <row r="88" spans="1:13">
      <c r="B88" s="25" t="s">
        <v>47</v>
      </c>
    </row>
    <row r="89" spans="1:13">
      <c r="B89" s="25" t="s">
        <v>932</v>
      </c>
    </row>
    <row r="90" spans="1:13">
      <c r="L90" s="8" t="s">
        <v>933</v>
      </c>
    </row>
    <row r="91" spans="1:13" s="7" customFormat="1" ht="14.25">
      <c r="C91" s="7" t="s">
        <v>33</v>
      </c>
      <c r="F91" s="7" t="s">
        <v>13</v>
      </c>
      <c r="L91" s="7" t="s">
        <v>14</v>
      </c>
    </row>
    <row r="92" spans="1:13" s="2" customFormat="1">
      <c r="C92" s="2" t="s">
        <v>15</v>
      </c>
      <c r="F92" s="2" t="s">
        <v>15</v>
      </c>
      <c r="L92" s="2" t="s">
        <v>16</v>
      </c>
    </row>
    <row r="93" spans="1:13" s="2" customFormat="1"/>
    <row r="98" spans="3:19" s="419" customFormat="1">
      <c r="C98" s="420" t="s">
        <v>1388</v>
      </c>
      <c r="L98" s="420" t="s">
        <v>1389</v>
      </c>
      <c r="O98" s="6"/>
      <c r="P98" s="6"/>
      <c r="Q98" s="6"/>
      <c r="R98" s="6"/>
      <c r="S98" s="6"/>
    </row>
  </sheetData>
  <autoFilter ref="A11:N83"/>
  <sortState ref="A13:N80">
    <sortCondition ref="B13:B80"/>
  </sortState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22 H69">
    <cfRule type="expression" dxfId="23" priority="1" stopIfTrue="1">
      <formula>$C22&lt;&gt;""</formula>
    </cfRule>
  </conditionalFormatting>
  <printOptions horizontalCentered="1"/>
  <pageMargins left="0.9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tabColor indexed="31"/>
  </sheetPr>
  <dimension ref="A1:S109"/>
  <sheetViews>
    <sheetView topLeftCell="B8" zoomScale="90" workbookViewId="0">
      <pane ySplit="5" topLeftCell="A91" activePane="bottomLeft" state="frozen"/>
      <selection activeCell="B8" sqref="B8"/>
      <selection pane="bottomLeft" activeCell="B109" sqref="A109:XFD109"/>
    </sheetView>
  </sheetViews>
  <sheetFormatPr defaultRowHeight="15"/>
  <cols>
    <col min="1" max="1" width="5.28515625" style="6" hidden="1" customWidth="1"/>
    <col min="2" max="3" width="8.85546875" style="6" customWidth="1"/>
    <col min="4" max="5" width="6.7109375" style="6" customWidth="1"/>
    <col min="6" max="6" width="37.140625" style="6" customWidth="1"/>
    <col min="7" max="7" width="8.28515625" style="6" hidden="1" customWidth="1"/>
    <col min="8" max="8" width="32.28515625" style="6" hidden="1" customWidth="1"/>
    <col min="9" max="9" width="6.85546875" style="6" customWidth="1"/>
    <col min="10" max="11" width="15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60" t="s">
        <v>132</v>
      </c>
      <c r="K1" s="460"/>
      <c r="L1" s="460"/>
      <c r="M1" s="460"/>
    </row>
    <row r="2" spans="1:13" s="11" customFormat="1" ht="16.5" customHeight="1">
      <c r="B2" s="1" t="str">
        <f>'01'!B2</f>
        <v>Địa chỉ: Lô A14, Đường 4A - KCN Hải Sơn, Đức Hòa, Long An</v>
      </c>
      <c r="C2" s="322"/>
      <c r="D2" s="322"/>
      <c r="E2" s="322"/>
      <c r="F2" s="322"/>
      <c r="G2" s="322"/>
      <c r="H2" s="322"/>
      <c r="J2" s="461" t="s">
        <v>133</v>
      </c>
      <c r="K2" s="461"/>
      <c r="L2" s="461"/>
      <c r="M2" s="461"/>
    </row>
    <row r="3" spans="1:13" s="11" customFormat="1" ht="16.5" customHeight="1">
      <c r="B3" s="9"/>
      <c r="C3" s="322"/>
      <c r="D3" s="14"/>
      <c r="E3" s="14"/>
      <c r="F3" s="322"/>
      <c r="G3" s="322"/>
      <c r="H3" s="322"/>
      <c r="J3" s="461"/>
      <c r="K3" s="461"/>
      <c r="L3" s="461"/>
      <c r="M3" s="461"/>
    </row>
    <row r="4" spans="1:13" s="11" customFormat="1" ht="6.75" customHeight="1">
      <c r="B4" s="322"/>
      <c r="C4" s="322"/>
      <c r="D4" s="322"/>
      <c r="E4" s="322"/>
      <c r="F4" s="322"/>
      <c r="G4" s="322"/>
      <c r="H4" s="322"/>
      <c r="J4" s="323"/>
      <c r="K4" s="323"/>
      <c r="L4" s="323"/>
      <c r="M4" s="323"/>
    </row>
    <row r="5" spans="1:13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</row>
    <row r="6" spans="1:13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</row>
    <row r="7" spans="1:13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</row>
    <row r="8" spans="1:13">
      <c r="B8" s="15"/>
      <c r="L8" s="15" t="s">
        <v>19</v>
      </c>
    </row>
    <row r="9" spans="1:13" ht="30" customHeight="1">
      <c r="B9" s="463" t="s">
        <v>20</v>
      </c>
      <c r="C9" s="463" t="s">
        <v>21</v>
      </c>
      <c r="D9" s="463" t="s">
        <v>2</v>
      </c>
      <c r="E9" s="463"/>
      <c r="F9" s="463" t="s">
        <v>3</v>
      </c>
      <c r="G9" s="464" t="s">
        <v>134</v>
      </c>
      <c r="H9" s="464" t="s">
        <v>135</v>
      </c>
      <c r="I9" s="463" t="s">
        <v>22</v>
      </c>
      <c r="J9" s="463" t="s">
        <v>23</v>
      </c>
      <c r="K9" s="463"/>
      <c r="L9" s="463" t="s">
        <v>24</v>
      </c>
      <c r="M9" s="463" t="s">
        <v>4</v>
      </c>
    </row>
    <row r="10" spans="1:13" ht="20.25" customHeight="1">
      <c r="B10" s="463"/>
      <c r="C10" s="463"/>
      <c r="D10" s="324" t="s">
        <v>5</v>
      </c>
      <c r="E10" s="324" t="s">
        <v>6</v>
      </c>
      <c r="F10" s="463"/>
      <c r="G10" s="465"/>
      <c r="H10" s="465"/>
      <c r="I10" s="463"/>
      <c r="J10" s="324" t="s">
        <v>25</v>
      </c>
      <c r="K10" s="324" t="s">
        <v>26</v>
      </c>
      <c r="L10" s="463"/>
      <c r="M10" s="46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'05'!L86</f>
        <v>1341962273</v>
      </c>
      <c r="M12" s="29"/>
    </row>
    <row r="13" spans="1:13" ht="19.5" customHeight="1">
      <c r="A13" s="6" t="str">
        <f t="shared" ref="A13:A76" si="0">D13&amp;E13</f>
        <v>T01</v>
      </c>
      <c r="B13" s="3">
        <v>42156</v>
      </c>
      <c r="C13" s="3">
        <v>42156</v>
      </c>
      <c r="D13" s="4" t="s">
        <v>39</v>
      </c>
      <c r="E13" s="20"/>
      <c r="F13" s="5" t="s">
        <v>743</v>
      </c>
      <c r="G13" s="5"/>
      <c r="H13" s="5" t="s">
        <v>187</v>
      </c>
      <c r="I13" s="26" t="s">
        <v>36</v>
      </c>
      <c r="J13" s="19">
        <v>1950000000</v>
      </c>
      <c r="K13" s="5"/>
      <c r="L13" s="4">
        <f t="shared" ref="L13:L81" si="1">IF(F13&lt;&gt;"",L12+J13-K13,0)</f>
        <v>3291962273</v>
      </c>
      <c r="M13" s="18"/>
    </row>
    <row r="14" spans="1:13" ht="19.5" customHeight="1">
      <c r="A14" s="6" t="str">
        <f t="shared" si="0"/>
        <v>C01</v>
      </c>
      <c r="B14" s="3">
        <v>42156</v>
      </c>
      <c r="C14" s="3">
        <v>42156</v>
      </c>
      <c r="D14" s="4"/>
      <c r="E14" s="20" t="s">
        <v>136</v>
      </c>
      <c r="F14" s="5" t="s">
        <v>332</v>
      </c>
      <c r="G14" s="5"/>
      <c r="H14" s="5" t="s">
        <v>333</v>
      </c>
      <c r="I14" s="26" t="s">
        <v>334</v>
      </c>
      <c r="J14" s="19"/>
      <c r="K14" s="5">
        <v>550000000</v>
      </c>
      <c r="L14" s="4">
        <f t="shared" si="1"/>
        <v>2741962273</v>
      </c>
      <c r="M14" s="18"/>
    </row>
    <row r="15" spans="1:13" ht="19.5" customHeight="1">
      <c r="A15" s="6" t="str">
        <f t="shared" si="0"/>
        <v>C02</v>
      </c>
      <c r="B15" s="3">
        <v>42156</v>
      </c>
      <c r="C15" s="3">
        <v>42156</v>
      </c>
      <c r="D15" s="4"/>
      <c r="E15" s="20" t="s">
        <v>137</v>
      </c>
      <c r="F15" s="5" t="s">
        <v>332</v>
      </c>
      <c r="G15" s="5"/>
      <c r="H15" s="5" t="s">
        <v>335</v>
      </c>
      <c r="I15" s="26" t="s">
        <v>334</v>
      </c>
      <c r="J15" s="19"/>
      <c r="K15" s="5">
        <v>650000000</v>
      </c>
      <c r="L15" s="4">
        <f t="shared" si="1"/>
        <v>2091962273</v>
      </c>
      <c r="M15" s="18"/>
    </row>
    <row r="16" spans="1:13" ht="19.5" customHeight="1">
      <c r="A16" s="6" t="str">
        <f t="shared" si="0"/>
        <v>C03</v>
      </c>
      <c r="B16" s="3">
        <v>42156</v>
      </c>
      <c r="C16" s="3">
        <v>42154</v>
      </c>
      <c r="D16" s="4"/>
      <c r="E16" s="20" t="s">
        <v>138</v>
      </c>
      <c r="F16" s="5" t="s">
        <v>60</v>
      </c>
      <c r="G16" s="105" t="s">
        <v>735</v>
      </c>
      <c r="H16" s="5" t="s">
        <v>684</v>
      </c>
      <c r="I16" s="26" t="s">
        <v>94</v>
      </c>
      <c r="J16" s="19"/>
      <c r="K16" s="5">
        <v>12464000</v>
      </c>
      <c r="L16" s="4">
        <f t="shared" si="1"/>
        <v>2079498273</v>
      </c>
      <c r="M16" s="18"/>
    </row>
    <row r="17" spans="1:13" ht="19.5" customHeight="1">
      <c r="A17" s="6" t="str">
        <f t="shared" si="0"/>
        <v>C03</v>
      </c>
      <c r="B17" s="3">
        <v>42156</v>
      </c>
      <c r="C17" s="3">
        <v>42154</v>
      </c>
      <c r="D17" s="4"/>
      <c r="E17" s="20" t="s">
        <v>138</v>
      </c>
      <c r="F17" s="5" t="s">
        <v>685</v>
      </c>
      <c r="G17" s="105" t="s">
        <v>735</v>
      </c>
      <c r="H17" s="5" t="s">
        <v>684</v>
      </c>
      <c r="I17" s="26" t="s">
        <v>94</v>
      </c>
      <c r="J17" s="19"/>
      <c r="K17" s="5">
        <v>1569600</v>
      </c>
      <c r="L17" s="4">
        <f t="shared" si="1"/>
        <v>2077928673</v>
      </c>
      <c r="M17" s="18"/>
    </row>
    <row r="18" spans="1:13" ht="19.5" customHeight="1">
      <c r="A18" s="6" t="str">
        <f t="shared" si="0"/>
        <v>C03</v>
      </c>
      <c r="B18" s="3">
        <v>42156</v>
      </c>
      <c r="C18" s="3">
        <v>42154</v>
      </c>
      <c r="D18" s="4"/>
      <c r="E18" s="20" t="s">
        <v>138</v>
      </c>
      <c r="F18" s="5" t="s">
        <v>734</v>
      </c>
      <c r="G18" s="105" t="s">
        <v>735</v>
      </c>
      <c r="H18" s="5" t="s">
        <v>684</v>
      </c>
      <c r="I18" s="26" t="s">
        <v>35</v>
      </c>
      <c r="J18" s="19"/>
      <c r="K18" s="5">
        <v>780160</v>
      </c>
      <c r="L18" s="4">
        <f t="shared" si="1"/>
        <v>2077148513</v>
      </c>
      <c r="M18" s="18"/>
    </row>
    <row r="19" spans="1:13" ht="19.5" customHeight="1">
      <c r="A19" s="6" t="str">
        <f t="shared" si="0"/>
        <v>C04</v>
      </c>
      <c r="B19" s="3">
        <v>42156</v>
      </c>
      <c r="C19" s="3">
        <v>42156</v>
      </c>
      <c r="D19" s="4"/>
      <c r="E19" s="20" t="s">
        <v>139</v>
      </c>
      <c r="F19" s="5" t="s">
        <v>291</v>
      </c>
      <c r="G19" s="105" t="s">
        <v>736</v>
      </c>
      <c r="H19" s="5" t="s">
        <v>684</v>
      </c>
      <c r="I19" s="26" t="s">
        <v>94</v>
      </c>
      <c r="J19" s="19"/>
      <c r="K19" s="5">
        <v>2512750</v>
      </c>
      <c r="L19" s="4">
        <f t="shared" si="1"/>
        <v>2074635763</v>
      </c>
      <c r="M19" s="18"/>
    </row>
    <row r="20" spans="1:13" ht="19.5" customHeight="1">
      <c r="A20" s="6" t="str">
        <f t="shared" si="0"/>
        <v>C04</v>
      </c>
      <c r="B20" s="3">
        <v>42156</v>
      </c>
      <c r="C20" s="3">
        <v>42156</v>
      </c>
      <c r="D20" s="4"/>
      <c r="E20" s="20" t="s">
        <v>139</v>
      </c>
      <c r="F20" s="5" t="s">
        <v>292</v>
      </c>
      <c r="G20" s="105" t="s">
        <v>736</v>
      </c>
      <c r="H20" s="5" t="s">
        <v>684</v>
      </c>
      <c r="I20" s="26" t="s">
        <v>35</v>
      </c>
      <c r="J20" s="19"/>
      <c r="K20" s="5">
        <v>251275</v>
      </c>
      <c r="L20" s="4">
        <f t="shared" si="1"/>
        <v>2074384488</v>
      </c>
      <c r="M20" s="18"/>
    </row>
    <row r="21" spans="1:13" ht="19.5" customHeight="1">
      <c r="A21" s="6" t="str">
        <f t="shared" si="0"/>
        <v>C05</v>
      </c>
      <c r="B21" s="3">
        <v>42156</v>
      </c>
      <c r="C21" s="3">
        <v>42156</v>
      </c>
      <c r="D21" s="4"/>
      <c r="E21" s="20" t="s">
        <v>140</v>
      </c>
      <c r="F21" s="5" t="s">
        <v>72</v>
      </c>
      <c r="G21" s="105" t="s">
        <v>737</v>
      </c>
      <c r="H21" s="5" t="s">
        <v>794</v>
      </c>
      <c r="I21" s="26" t="s">
        <v>94</v>
      </c>
      <c r="J21" s="19"/>
      <c r="K21" s="5">
        <v>745609</v>
      </c>
      <c r="L21" s="4">
        <f t="shared" si="1"/>
        <v>2073638879</v>
      </c>
      <c r="M21" s="18"/>
    </row>
    <row r="22" spans="1:13" ht="19.5" customHeight="1">
      <c r="A22" s="6" t="str">
        <f t="shared" si="0"/>
        <v>C05</v>
      </c>
      <c r="B22" s="3">
        <v>42156</v>
      </c>
      <c r="C22" s="3">
        <v>42156</v>
      </c>
      <c r="D22" s="4"/>
      <c r="E22" s="20" t="s">
        <v>140</v>
      </c>
      <c r="F22" s="5" t="s">
        <v>73</v>
      </c>
      <c r="G22" s="105" t="s">
        <v>737</v>
      </c>
      <c r="H22" s="5" t="s">
        <v>794</v>
      </c>
      <c r="I22" s="26" t="s">
        <v>35</v>
      </c>
      <c r="J22" s="19"/>
      <c r="K22" s="5">
        <v>74561</v>
      </c>
      <c r="L22" s="4">
        <f t="shared" si="1"/>
        <v>2073564318</v>
      </c>
      <c r="M22" s="18"/>
    </row>
    <row r="23" spans="1:13" ht="19.5" customHeight="1">
      <c r="A23" s="6" t="str">
        <f t="shared" si="0"/>
        <v>C06</v>
      </c>
      <c r="B23" s="3">
        <v>42156</v>
      </c>
      <c r="C23" s="3">
        <v>42156</v>
      </c>
      <c r="D23" s="4"/>
      <c r="E23" s="20" t="s">
        <v>141</v>
      </c>
      <c r="F23" s="5" t="s">
        <v>744</v>
      </c>
      <c r="G23" s="105"/>
      <c r="H23" s="5" t="s">
        <v>187</v>
      </c>
      <c r="I23" s="26" t="s">
        <v>36</v>
      </c>
      <c r="J23" s="19"/>
      <c r="K23" s="5">
        <v>1950000000</v>
      </c>
      <c r="L23" s="4">
        <f t="shared" si="1"/>
        <v>123564318</v>
      </c>
      <c r="M23" s="18"/>
    </row>
    <row r="24" spans="1:13" ht="19.5" customHeight="1">
      <c r="A24" s="6" t="str">
        <f t="shared" si="0"/>
        <v>C07</v>
      </c>
      <c r="B24" s="3">
        <v>42156</v>
      </c>
      <c r="C24" s="3">
        <v>42156</v>
      </c>
      <c r="D24" s="4"/>
      <c r="E24" s="20" t="s">
        <v>142</v>
      </c>
      <c r="F24" s="5" t="s">
        <v>738</v>
      </c>
      <c r="G24" s="105" t="s">
        <v>740</v>
      </c>
      <c r="H24" s="5" t="s">
        <v>741</v>
      </c>
      <c r="I24" s="26" t="s">
        <v>94</v>
      </c>
      <c r="J24" s="19"/>
      <c r="K24" s="5">
        <v>4546000</v>
      </c>
      <c r="L24" s="4">
        <f t="shared" si="1"/>
        <v>119018318</v>
      </c>
      <c r="M24" s="18"/>
    </row>
    <row r="25" spans="1:13" ht="19.5" customHeight="1">
      <c r="A25" s="6" t="str">
        <f t="shared" si="0"/>
        <v>C07</v>
      </c>
      <c r="B25" s="3">
        <v>42156</v>
      </c>
      <c r="C25" s="3">
        <v>42156</v>
      </c>
      <c r="D25" s="4"/>
      <c r="E25" s="20" t="s">
        <v>142</v>
      </c>
      <c r="F25" s="5" t="s">
        <v>739</v>
      </c>
      <c r="G25" s="105" t="s">
        <v>740</v>
      </c>
      <c r="H25" s="5" t="s">
        <v>741</v>
      </c>
      <c r="I25" s="26" t="s">
        <v>35</v>
      </c>
      <c r="J25" s="19"/>
      <c r="K25" s="5">
        <v>454600</v>
      </c>
      <c r="L25" s="4">
        <f t="shared" si="1"/>
        <v>118563718</v>
      </c>
      <c r="M25" s="18"/>
    </row>
    <row r="26" spans="1:13" ht="19.5" customHeight="1">
      <c r="A26" s="6" t="str">
        <f t="shared" si="0"/>
        <v>C08</v>
      </c>
      <c r="B26" s="3">
        <v>42158</v>
      </c>
      <c r="C26" s="3">
        <v>42158</v>
      </c>
      <c r="D26" s="4"/>
      <c r="E26" s="20" t="s">
        <v>143</v>
      </c>
      <c r="F26" s="5" t="s">
        <v>72</v>
      </c>
      <c r="G26" s="105" t="s">
        <v>742</v>
      </c>
      <c r="H26" s="5" t="s">
        <v>794</v>
      </c>
      <c r="I26" s="26" t="s">
        <v>94</v>
      </c>
      <c r="J26" s="19"/>
      <c r="K26" s="5">
        <v>860318</v>
      </c>
      <c r="L26" s="4">
        <f t="shared" si="1"/>
        <v>117703400</v>
      </c>
      <c r="M26" s="18"/>
    </row>
    <row r="27" spans="1:13" ht="19.5" customHeight="1">
      <c r="A27" s="6" t="str">
        <f t="shared" si="0"/>
        <v>C08</v>
      </c>
      <c r="B27" s="3">
        <v>42158</v>
      </c>
      <c r="C27" s="3">
        <v>42158</v>
      </c>
      <c r="D27" s="4"/>
      <c r="E27" s="20" t="s">
        <v>143</v>
      </c>
      <c r="F27" s="5" t="s">
        <v>73</v>
      </c>
      <c r="G27" s="105" t="s">
        <v>742</v>
      </c>
      <c r="H27" s="5" t="s">
        <v>794</v>
      </c>
      <c r="I27" s="26" t="s">
        <v>35</v>
      </c>
      <c r="J27" s="19"/>
      <c r="K27" s="5">
        <v>86032</v>
      </c>
      <c r="L27" s="4">
        <f t="shared" si="1"/>
        <v>117617368</v>
      </c>
      <c r="M27" s="18"/>
    </row>
    <row r="28" spans="1:13" ht="19.5" customHeight="1">
      <c r="A28" s="6" t="str">
        <f t="shared" si="0"/>
        <v>T02</v>
      </c>
      <c r="B28" s="3">
        <v>42158</v>
      </c>
      <c r="C28" s="3">
        <v>42158</v>
      </c>
      <c r="D28" s="4" t="s">
        <v>40</v>
      </c>
      <c r="E28" s="20"/>
      <c r="F28" s="5" t="s">
        <v>267</v>
      </c>
      <c r="G28" s="5"/>
      <c r="H28" s="5" t="s">
        <v>187</v>
      </c>
      <c r="I28" s="26" t="s">
        <v>36</v>
      </c>
      <c r="J28" s="19">
        <v>2070000000</v>
      </c>
      <c r="K28" s="5"/>
      <c r="L28" s="4">
        <f t="shared" si="1"/>
        <v>2187617368</v>
      </c>
      <c r="M28" s="18"/>
    </row>
    <row r="29" spans="1:13" ht="19.5" customHeight="1">
      <c r="A29" s="6" t="str">
        <f t="shared" si="0"/>
        <v>C09</v>
      </c>
      <c r="B29" s="3">
        <v>42158</v>
      </c>
      <c r="C29" s="3">
        <v>42158</v>
      </c>
      <c r="D29" s="4"/>
      <c r="E29" s="20" t="s">
        <v>144</v>
      </c>
      <c r="F29" s="5" t="s">
        <v>332</v>
      </c>
      <c r="G29" s="5"/>
      <c r="H29" s="5" t="s">
        <v>335</v>
      </c>
      <c r="I29" s="26" t="s">
        <v>334</v>
      </c>
      <c r="J29" s="19"/>
      <c r="K29" s="5">
        <v>650000000</v>
      </c>
      <c r="L29" s="4">
        <f t="shared" si="1"/>
        <v>1537617368</v>
      </c>
      <c r="M29" s="18"/>
    </row>
    <row r="30" spans="1:13" ht="19.5" customHeight="1">
      <c r="A30" s="6" t="str">
        <f t="shared" si="0"/>
        <v>C10</v>
      </c>
      <c r="B30" s="3">
        <v>42158</v>
      </c>
      <c r="C30" s="3">
        <v>42158</v>
      </c>
      <c r="D30" s="4"/>
      <c r="E30" s="20" t="s">
        <v>145</v>
      </c>
      <c r="F30" s="5" t="s">
        <v>745</v>
      </c>
      <c r="G30" s="5"/>
      <c r="H30" s="5" t="s">
        <v>187</v>
      </c>
      <c r="I30" s="26" t="s">
        <v>36</v>
      </c>
      <c r="J30" s="19"/>
      <c r="K30" s="5">
        <v>270000000</v>
      </c>
      <c r="L30" s="4">
        <f t="shared" si="1"/>
        <v>1267617368</v>
      </c>
      <c r="M30" s="18"/>
    </row>
    <row r="31" spans="1:13" ht="19.5" customHeight="1">
      <c r="A31" s="6" t="str">
        <f t="shared" si="0"/>
        <v>C10</v>
      </c>
      <c r="B31" s="3">
        <v>42158</v>
      </c>
      <c r="C31" s="3">
        <v>42158</v>
      </c>
      <c r="D31" s="4"/>
      <c r="E31" s="20" t="s">
        <v>145</v>
      </c>
      <c r="F31" s="5" t="s">
        <v>744</v>
      </c>
      <c r="G31" s="5"/>
      <c r="H31" s="5" t="s">
        <v>228</v>
      </c>
      <c r="I31" s="26" t="s">
        <v>36</v>
      </c>
      <c r="J31" s="19"/>
      <c r="K31" s="5">
        <v>60000000</v>
      </c>
      <c r="L31" s="4">
        <f t="shared" si="1"/>
        <v>1207617368</v>
      </c>
      <c r="M31" s="18"/>
    </row>
    <row r="32" spans="1:13" ht="19.5" customHeight="1">
      <c r="A32" s="6" t="str">
        <f t="shared" si="0"/>
        <v>C11</v>
      </c>
      <c r="B32" s="3">
        <v>42160</v>
      </c>
      <c r="C32" s="3">
        <v>42160</v>
      </c>
      <c r="D32" s="4"/>
      <c r="E32" s="20" t="s">
        <v>146</v>
      </c>
      <c r="F32" s="5" t="s">
        <v>746</v>
      </c>
      <c r="G32" s="105" t="s">
        <v>747</v>
      </c>
      <c r="H32" s="5" t="s">
        <v>748</v>
      </c>
      <c r="I32" s="26" t="s">
        <v>94</v>
      </c>
      <c r="J32" s="19"/>
      <c r="K32" s="5">
        <v>3031060</v>
      </c>
      <c r="L32" s="4">
        <f t="shared" si="1"/>
        <v>1204586308</v>
      </c>
      <c r="M32" s="18"/>
    </row>
    <row r="33" spans="1:13" ht="19.5" customHeight="1">
      <c r="A33" s="6" t="str">
        <f t="shared" si="0"/>
        <v>C11</v>
      </c>
      <c r="B33" s="3">
        <v>42160</v>
      </c>
      <c r="C33" s="3">
        <v>42160</v>
      </c>
      <c r="D33" s="4"/>
      <c r="E33" s="20" t="s">
        <v>146</v>
      </c>
      <c r="F33" s="5" t="s">
        <v>749</v>
      </c>
      <c r="G33" s="105" t="s">
        <v>747</v>
      </c>
      <c r="H33" s="5" t="s">
        <v>748</v>
      </c>
      <c r="I33" s="26" t="s">
        <v>35</v>
      </c>
      <c r="J33" s="19"/>
      <c r="K33" s="5">
        <v>303106</v>
      </c>
      <c r="L33" s="4">
        <f t="shared" si="1"/>
        <v>1204283202</v>
      </c>
      <c r="M33" s="18"/>
    </row>
    <row r="34" spans="1:13" ht="19.5" customHeight="1">
      <c r="A34" s="6" t="str">
        <f t="shared" si="0"/>
        <v>C12</v>
      </c>
      <c r="B34" s="3">
        <v>42160</v>
      </c>
      <c r="C34" s="3">
        <v>42160</v>
      </c>
      <c r="D34" s="4"/>
      <c r="E34" s="20" t="s">
        <v>147</v>
      </c>
      <c r="F34" s="5" t="s">
        <v>842</v>
      </c>
      <c r="G34" s="105" t="s">
        <v>843</v>
      </c>
      <c r="H34" s="5" t="s">
        <v>186</v>
      </c>
      <c r="I34" s="26" t="s">
        <v>93</v>
      </c>
      <c r="J34" s="19"/>
      <c r="K34" s="5">
        <v>160000</v>
      </c>
      <c r="L34" s="4">
        <f t="shared" si="1"/>
        <v>1204123202</v>
      </c>
      <c r="M34" s="18"/>
    </row>
    <row r="35" spans="1:13" ht="19.5" customHeight="1">
      <c r="A35" s="6" t="str">
        <f t="shared" si="0"/>
        <v>C13</v>
      </c>
      <c r="B35" s="3">
        <v>42161</v>
      </c>
      <c r="C35" s="3">
        <v>42161</v>
      </c>
      <c r="D35" s="4"/>
      <c r="E35" s="20" t="s">
        <v>148</v>
      </c>
      <c r="F35" s="5" t="s">
        <v>72</v>
      </c>
      <c r="G35" s="105" t="s">
        <v>750</v>
      </c>
      <c r="H35" s="5" t="s">
        <v>794</v>
      </c>
      <c r="I35" s="26" t="s">
        <v>94</v>
      </c>
      <c r="J35" s="19"/>
      <c r="K35" s="5">
        <v>955909</v>
      </c>
      <c r="L35" s="4">
        <f t="shared" si="1"/>
        <v>1203167293</v>
      </c>
      <c r="M35" s="18"/>
    </row>
    <row r="36" spans="1:13" ht="19.5" customHeight="1">
      <c r="A36" s="6" t="str">
        <f t="shared" si="0"/>
        <v>C13</v>
      </c>
      <c r="B36" s="3">
        <v>42161</v>
      </c>
      <c r="C36" s="3">
        <v>42161</v>
      </c>
      <c r="D36" s="4"/>
      <c r="E36" s="20" t="s">
        <v>148</v>
      </c>
      <c r="F36" s="5" t="s">
        <v>73</v>
      </c>
      <c r="G36" s="105" t="s">
        <v>750</v>
      </c>
      <c r="H36" s="5" t="s">
        <v>794</v>
      </c>
      <c r="I36" s="26" t="s">
        <v>35</v>
      </c>
      <c r="J36" s="19"/>
      <c r="K36" s="5">
        <v>95591</v>
      </c>
      <c r="L36" s="4">
        <f t="shared" si="1"/>
        <v>1203071702</v>
      </c>
      <c r="M36" s="18"/>
    </row>
    <row r="37" spans="1:13" ht="19.5" customHeight="1">
      <c r="A37" s="6" t="str">
        <f t="shared" si="0"/>
        <v>C14</v>
      </c>
      <c r="B37" s="3">
        <v>42165</v>
      </c>
      <c r="C37" s="3">
        <v>42165</v>
      </c>
      <c r="D37" s="4"/>
      <c r="E37" s="20" t="s">
        <v>149</v>
      </c>
      <c r="F37" s="5" t="s">
        <v>72</v>
      </c>
      <c r="G37" s="105" t="s">
        <v>751</v>
      </c>
      <c r="H37" s="5" t="s">
        <v>794</v>
      </c>
      <c r="I37" s="26" t="s">
        <v>94</v>
      </c>
      <c r="J37" s="19"/>
      <c r="K37" s="5">
        <v>917673</v>
      </c>
      <c r="L37" s="4">
        <f t="shared" si="1"/>
        <v>1202154029</v>
      </c>
      <c r="M37" s="18"/>
    </row>
    <row r="38" spans="1:13" ht="19.5" customHeight="1">
      <c r="A38" s="6" t="str">
        <f t="shared" si="0"/>
        <v>C14</v>
      </c>
      <c r="B38" s="3">
        <v>42165</v>
      </c>
      <c r="C38" s="3">
        <v>42165</v>
      </c>
      <c r="D38" s="4"/>
      <c r="E38" s="20" t="s">
        <v>149</v>
      </c>
      <c r="F38" s="5" t="s">
        <v>73</v>
      </c>
      <c r="G38" s="105" t="s">
        <v>751</v>
      </c>
      <c r="H38" s="5" t="s">
        <v>794</v>
      </c>
      <c r="I38" s="26" t="s">
        <v>35</v>
      </c>
      <c r="J38" s="19"/>
      <c r="K38" s="5">
        <v>91767</v>
      </c>
      <c r="L38" s="4">
        <f t="shared" si="1"/>
        <v>1202062262</v>
      </c>
      <c r="M38" s="18"/>
    </row>
    <row r="39" spans="1:13" ht="19.5" customHeight="1">
      <c r="A39" s="6" t="str">
        <f t="shared" si="0"/>
        <v>C15</v>
      </c>
      <c r="B39" s="3">
        <v>42165</v>
      </c>
      <c r="C39" s="3">
        <v>42165</v>
      </c>
      <c r="D39" s="4"/>
      <c r="E39" s="20" t="s">
        <v>150</v>
      </c>
      <c r="F39" s="5" t="s">
        <v>535</v>
      </c>
      <c r="G39" s="105" t="s">
        <v>752</v>
      </c>
      <c r="H39" s="5" t="s">
        <v>753</v>
      </c>
      <c r="I39" s="26" t="s">
        <v>94</v>
      </c>
      <c r="J39" s="19"/>
      <c r="K39" s="5">
        <v>672727</v>
      </c>
      <c r="L39" s="4">
        <f t="shared" si="1"/>
        <v>1201389535</v>
      </c>
      <c r="M39" s="18"/>
    </row>
    <row r="40" spans="1:13" ht="19.5" customHeight="1">
      <c r="A40" s="6" t="str">
        <f t="shared" si="0"/>
        <v>C15</v>
      </c>
      <c r="B40" s="3">
        <v>42165</v>
      </c>
      <c r="C40" s="3">
        <v>42165</v>
      </c>
      <c r="D40" s="4"/>
      <c r="E40" s="20" t="s">
        <v>150</v>
      </c>
      <c r="F40" s="5" t="s">
        <v>536</v>
      </c>
      <c r="G40" s="105" t="s">
        <v>752</v>
      </c>
      <c r="H40" s="5" t="s">
        <v>753</v>
      </c>
      <c r="I40" s="26" t="s">
        <v>35</v>
      </c>
      <c r="J40" s="19"/>
      <c r="K40" s="5">
        <v>67273</v>
      </c>
      <c r="L40" s="4">
        <f t="shared" si="1"/>
        <v>1201322262</v>
      </c>
      <c r="M40" s="18"/>
    </row>
    <row r="41" spans="1:13" ht="19.5" customHeight="1">
      <c r="A41" s="6" t="str">
        <f t="shared" si="0"/>
        <v>C16</v>
      </c>
      <c r="B41" s="3">
        <v>42167</v>
      </c>
      <c r="C41" s="3">
        <v>42167</v>
      </c>
      <c r="D41" s="4"/>
      <c r="E41" s="20" t="s">
        <v>151</v>
      </c>
      <c r="F41" s="5" t="s">
        <v>53</v>
      </c>
      <c r="G41" s="105" t="s">
        <v>754</v>
      </c>
      <c r="H41" s="5" t="s">
        <v>794</v>
      </c>
      <c r="I41" s="26" t="s">
        <v>54</v>
      </c>
      <c r="J41" s="19"/>
      <c r="K41" s="5">
        <v>699018</v>
      </c>
      <c r="L41" s="4">
        <f t="shared" si="1"/>
        <v>1200623244</v>
      </c>
      <c r="M41" s="18"/>
    </row>
    <row r="42" spans="1:13" ht="19.5" customHeight="1">
      <c r="A42" s="6" t="str">
        <f t="shared" si="0"/>
        <v>C16</v>
      </c>
      <c r="B42" s="3">
        <v>42167</v>
      </c>
      <c r="C42" s="3">
        <v>42167</v>
      </c>
      <c r="D42" s="4"/>
      <c r="E42" s="20" t="s">
        <v>151</v>
      </c>
      <c r="F42" s="5" t="s">
        <v>72</v>
      </c>
      <c r="G42" s="105" t="s">
        <v>754</v>
      </c>
      <c r="H42" s="5" t="s">
        <v>794</v>
      </c>
      <c r="I42" s="26" t="s">
        <v>94</v>
      </c>
      <c r="J42" s="19"/>
      <c r="K42" s="5">
        <v>917673</v>
      </c>
      <c r="L42" s="4">
        <f t="shared" si="1"/>
        <v>1199705571</v>
      </c>
      <c r="M42" s="18"/>
    </row>
    <row r="43" spans="1:13" ht="19.5" customHeight="1">
      <c r="A43" s="6" t="str">
        <f t="shared" si="0"/>
        <v>C16</v>
      </c>
      <c r="B43" s="3">
        <v>42167</v>
      </c>
      <c r="C43" s="3">
        <v>42167</v>
      </c>
      <c r="D43" s="4"/>
      <c r="E43" s="20" t="s">
        <v>151</v>
      </c>
      <c r="F43" s="5" t="s">
        <v>755</v>
      </c>
      <c r="G43" s="105" t="s">
        <v>754</v>
      </c>
      <c r="H43" s="5" t="s">
        <v>794</v>
      </c>
      <c r="I43" s="26" t="s">
        <v>35</v>
      </c>
      <c r="J43" s="19"/>
      <c r="K43" s="5">
        <v>161669</v>
      </c>
      <c r="L43" s="4">
        <f t="shared" si="1"/>
        <v>1199543902</v>
      </c>
      <c r="M43" s="18"/>
    </row>
    <row r="44" spans="1:13" ht="19.5" customHeight="1">
      <c r="A44" s="6" t="str">
        <f t="shared" si="0"/>
        <v>C17</v>
      </c>
      <c r="B44" s="3">
        <v>42170</v>
      </c>
      <c r="C44" s="3">
        <v>42170</v>
      </c>
      <c r="D44" s="4"/>
      <c r="E44" s="20" t="s">
        <v>152</v>
      </c>
      <c r="F44" s="28" t="s">
        <v>756</v>
      </c>
      <c r="G44" s="106" t="s">
        <v>757</v>
      </c>
      <c r="H44" s="38" t="s">
        <v>758</v>
      </c>
      <c r="I44" s="26" t="s">
        <v>94</v>
      </c>
      <c r="J44" s="19"/>
      <c r="K44" s="5">
        <v>92864</v>
      </c>
      <c r="L44" s="4">
        <f t="shared" si="1"/>
        <v>1199451038</v>
      </c>
      <c r="M44" s="18"/>
    </row>
    <row r="45" spans="1:13" ht="19.5" customHeight="1">
      <c r="A45" s="6" t="str">
        <f t="shared" si="0"/>
        <v>C17</v>
      </c>
      <c r="B45" s="3">
        <v>42170</v>
      </c>
      <c r="C45" s="3">
        <v>42170</v>
      </c>
      <c r="D45" s="4"/>
      <c r="E45" s="20" t="s">
        <v>152</v>
      </c>
      <c r="F45" s="5" t="s">
        <v>53</v>
      </c>
      <c r="G45" s="106" t="s">
        <v>757</v>
      </c>
      <c r="H45" s="38" t="s">
        <v>758</v>
      </c>
      <c r="I45" s="26" t="s">
        <v>54</v>
      </c>
      <c r="J45" s="19"/>
      <c r="K45" s="5">
        <v>741364</v>
      </c>
      <c r="L45" s="4">
        <f t="shared" si="1"/>
        <v>1198709674</v>
      </c>
      <c r="M45" s="18"/>
    </row>
    <row r="46" spans="1:13" ht="19.5" customHeight="1">
      <c r="A46" s="6" t="str">
        <f t="shared" si="0"/>
        <v>C17</v>
      </c>
      <c r="B46" s="3">
        <v>42170</v>
      </c>
      <c r="C46" s="3">
        <v>42170</v>
      </c>
      <c r="D46" s="4"/>
      <c r="E46" s="20" t="s">
        <v>152</v>
      </c>
      <c r="F46" s="5" t="s">
        <v>304</v>
      </c>
      <c r="G46" s="106" t="s">
        <v>757</v>
      </c>
      <c r="H46" s="38" t="s">
        <v>758</v>
      </c>
      <c r="I46" s="26" t="s">
        <v>35</v>
      </c>
      <c r="J46" s="19"/>
      <c r="K46" s="5">
        <v>83422</v>
      </c>
      <c r="L46" s="4">
        <f t="shared" si="1"/>
        <v>1198626252</v>
      </c>
      <c r="M46" s="18"/>
    </row>
    <row r="47" spans="1:13" ht="19.5" customHeight="1">
      <c r="A47" s="6" t="str">
        <f t="shared" si="0"/>
        <v>T03</v>
      </c>
      <c r="B47" s="3">
        <v>42171</v>
      </c>
      <c r="C47" s="3">
        <v>42171</v>
      </c>
      <c r="D47" s="4" t="s">
        <v>41</v>
      </c>
      <c r="E47" s="20"/>
      <c r="F47" s="5" t="s">
        <v>743</v>
      </c>
      <c r="G47" s="5"/>
      <c r="H47" s="5" t="s">
        <v>187</v>
      </c>
      <c r="I47" s="26" t="s">
        <v>36</v>
      </c>
      <c r="J47" s="19">
        <v>290000000</v>
      </c>
      <c r="K47" s="5"/>
      <c r="L47" s="4">
        <f t="shared" si="1"/>
        <v>1488626252</v>
      </c>
      <c r="M47" s="18"/>
    </row>
    <row r="48" spans="1:13" ht="19.5" customHeight="1">
      <c r="A48" s="6" t="str">
        <f t="shared" si="0"/>
        <v>C18</v>
      </c>
      <c r="B48" s="3">
        <v>42172</v>
      </c>
      <c r="C48" s="3">
        <v>42172</v>
      </c>
      <c r="D48" s="4"/>
      <c r="E48" s="20" t="s">
        <v>153</v>
      </c>
      <c r="F48" s="5" t="s">
        <v>72</v>
      </c>
      <c r="G48" s="105" t="s">
        <v>793</v>
      </c>
      <c r="H48" s="5" t="s">
        <v>794</v>
      </c>
      <c r="I48" s="26" t="s">
        <v>94</v>
      </c>
      <c r="J48" s="19"/>
      <c r="K48" s="5">
        <v>1319155</v>
      </c>
      <c r="L48" s="4">
        <f t="shared" si="1"/>
        <v>1487307097</v>
      </c>
      <c r="M48" s="18"/>
    </row>
    <row r="49" spans="1:13" ht="19.5" customHeight="1">
      <c r="A49" s="6" t="str">
        <f t="shared" si="0"/>
        <v>C18</v>
      </c>
      <c r="B49" s="3">
        <v>42172</v>
      </c>
      <c r="C49" s="3">
        <v>42172</v>
      </c>
      <c r="D49" s="4"/>
      <c r="E49" s="20" t="s">
        <v>153</v>
      </c>
      <c r="F49" s="5" t="s">
        <v>73</v>
      </c>
      <c r="G49" s="105" t="s">
        <v>793</v>
      </c>
      <c r="H49" s="5" t="s">
        <v>794</v>
      </c>
      <c r="I49" s="26" t="s">
        <v>35</v>
      </c>
      <c r="J49" s="19"/>
      <c r="K49" s="5">
        <v>131915</v>
      </c>
      <c r="L49" s="4">
        <f t="shared" si="1"/>
        <v>1487175182</v>
      </c>
      <c r="M49" s="18"/>
    </row>
    <row r="50" spans="1:13" ht="19.5" customHeight="1">
      <c r="A50" s="6" t="str">
        <f t="shared" si="0"/>
        <v>C19</v>
      </c>
      <c r="B50" s="3">
        <v>42174</v>
      </c>
      <c r="C50" s="3">
        <v>42174</v>
      </c>
      <c r="D50" s="4"/>
      <c r="E50" s="20" t="s">
        <v>154</v>
      </c>
      <c r="F50" s="5" t="s">
        <v>45</v>
      </c>
      <c r="G50" s="105" t="s">
        <v>759</v>
      </c>
      <c r="H50" s="5" t="s">
        <v>760</v>
      </c>
      <c r="I50" s="26" t="s">
        <v>93</v>
      </c>
      <c r="J50" s="19"/>
      <c r="K50" s="5">
        <v>4000000</v>
      </c>
      <c r="L50" s="4">
        <f t="shared" si="1"/>
        <v>1483175182</v>
      </c>
      <c r="M50" s="18"/>
    </row>
    <row r="51" spans="1:13" ht="19.5" customHeight="1">
      <c r="A51" s="6" t="str">
        <f t="shared" si="0"/>
        <v>C19</v>
      </c>
      <c r="B51" s="3">
        <v>42174</v>
      </c>
      <c r="C51" s="3">
        <v>42174</v>
      </c>
      <c r="D51" s="4"/>
      <c r="E51" s="20" t="s">
        <v>154</v>
      </c>
      <c r="F51" s="5" t="s">
        <v>46</v>
      </c>
      <c r="G51" s="105" t="s">
        <v>759</v>
      </c>
      <c r="H51" s="5" t="s">
        <v>760</v>
      </c>
      <c r="I51" s="26" t="s">
        <v>35</v>
      </c>
      <c r="J51" s="19"/>
      <c r="K51" s="5">
        <v>400000</v>
      </c>
      <c r="L51" s="4">
        <f t="shared" si="1"/>
        <v>1482775182</v>
      </c>
      <c r="M51" s="18"/>
    </row>
    <row r="52" spans="1:13" ht="19.5" customHeight="1">
      <c r="A52" s="6" t="str">
        <f t="shared" si="0"/>
        <v>C20</v>
      </c>
      <c r="B52" s="3">
        <v>42174</v>
      </c>
      <c r="C52" s="3">
        <v>42174</v>
      </c>
      <c r="D52" s="4"/>
      <c r="E52" s="20" t="s">
        <v>155</v>
      </c>
      <c r="F52" s="5" t="s">
        <v>756</v>
      </c>
      <c r="G52" s="105" t="s">
        <v>826</v>
      </c>
      <c r="H52" s="5" t="s">
        <v>758</v>
      </c>
      <c r="I52" s="26" t="s">
        <v>94</v>
      </c>
      <c r="J52" s="19"/>
      <c r="K52" s="5">
        <v>55718</v>
      </c>
      <c r="L52" s="4">
        <f t="shared" si="1"/>
        <v>1482719464</v>
      </c>
      <c r="M52" s="18"/>
    </row>
    <row r="53" spans="1:13" ht="19.5" customHeight="1">
      <c r="A53" s="6" t="str">
        <f t="shared" si="0"/>
        <v>C20</v>
      </c>
      <c r="B53" s="3">
        <v>42174</v>
      </c>
      <c r="C53" s="3">
        <v>42174</v>
      </c>
      <c r="D53" s="4"/>
      <c r="E53" s="20" t="s">
        <v>155</v>
      </c>
      <c r="F53" s="5" t="s">
        <v>53</v>
      </c>
      <c r="G53" s="105" t="s">
        <v>826</v>
      </c>
      <c r="H53" s="5" t="s">
        <v>758</v>
      </c>
      <c r="I53" s="26" t="s">
        <v>54</v>
      </c>
      <c r="J53" s="19"/>
      <c r="K53" s="5">
        <v>548609</v>
      </c>
      <c r="L53" s="4">
        <f t="shared" si="1"/>
        <v>1482170855</v>
      </c>
      <c r="M53" s="18"/>
    </row>
    <row r="54" spans="1:13" ht="19.5" customHeight="1">
      <c r="A54" s="6" t="str">
        <f t="shared" si="0"/>
        <v>C20</v>
      </c>
      <c r="B54" s="3">
        <v>42174</v>
      </c>
      <c r="C54" s="3">
        <v>42174</v>
      </c>
      <c r="D54" s="4"/>
      <c r="E54" s="20" t="s">
        <v>155</v>
      </c>
      <c r="F54" s="5" t="s">
        <v>693</v>
      </c>
      <c r="G54" s="105" t="s">
        <v>826</v>
      </c>
      <c r="H54" s="5" t="s">
        <v>758</v>
      </c>
      <c r="I54" s="26" t="s">
        <v>35</v>
      </c>
      <c r="J54" s="19"/>
      <c r="K54" s="5">
        <v>60433</v>
      </c>
      <c r="L54" s="4">
        <f t="shared" si="1"/>
        <v>1482110422</v>
      </c>
      <c r="M54" s="18"/>
    </row>
    <row r="55" spans="1:13" ht="19.5" customHeight="1">
      <c r="A55" s="6" t="str">
        <f t="shared" si="0"/>
        <v>C21</v>
      </c>
      <c r="B55" s="3">
        <v>42175</v>
      </c>
      <c r="C55" s="3">
        <v>42175</v>
      </c>
      <c r="D55" s="4"/>
      <c r="E55" s="20" t="s">
        <v>156</v>
      </c>
      <c r="F55" s="5" t="s">
        <v>761</v>
      </c>
      <c r="G55" s="105" t="s">
        <v>762</v>
      </c>
      <c r="H55" s="5" t="s">
        <v>763</v>
      </c>
      <c r="I55" s="26" t="s">
        <v>94</v>
      </c>
      <c r="J55" s="19"/>
      <c r="K55" s="5">
        <v>5700000</v>
      </c>
      <c r="L55" s="4">
        <f t="shared" si="1"/>
        <v>1476410422</v>
      </c>
      <c r="M55" s="18"/>
    </row>
    <row r="56" spans="1:13" ht="19.5" customHeight="1">
      <c r="A56" s="6" t="str">
        <f t="shared" si="0"/>
        <v>C22</v>
      </c>
      <c r="B56" s="3">
        <v>42177</v>
      </c>
      <c r="C56" s="3">
        <v>42177</v>
      </c>
      <c r="D56" s="4"/>
      <c r="E56" s="20" t="s">
        <v>157</v>
      </c>
      <c r="F56" s="5" t="s">
        <v>764</v>
      </c>
      <c r="G56" s="105" t="s">
        <v>765</v>
      </c>
      <c r="H56" s="5" t="s">
        <v>766</v>
      </c>
      <c r="I56" s="26" t="s">
        <v>94</v>
      </c>
      <c r="J56" s="19"/>
      <c r="K56" s="5">
        <v>3350000</v>
      </c>
      <c r="L56" s="4">
        <f t="shared" si="1"/>
        <v>1473060422</v>
      </c>
      <c r="M56" s="18"/>
    </row>
    <row r="57" spans="1:13" ht="19.5" customHeight="1">
      <c r="A57" s="6" t="str">
        <f t="shared" si="0"/>
        <v>C23</v>
      </c>
      <c r="B57" s="3">
        <v>42177</v>
      </c>
      <c r="C57" s="3">
        <v>42177</v>
      </c>
      <c r="D57" s="4"/>
      <c r="E57" s="20" t="s">
        <v>158</v>
      </c>
      <c r="F57" s="28" t="s">
        <v>767</v>
      </c>
      <c r="G57" s="106" t="s">
        <v>768</v>
      </c>
      <c r="H57" s="38" t="s">
        <v>769</v>
      </c>
      <c r="I57" s="26" t="s">
        <v>94</v>
      </c>
      <c r="J57" s="19"/>
      <c r="K57" s="5">
        <v>300000</v>
      </c>
      <c r="L57" s="4">
        <f t="shared" si="1"/>
        <v>1472760422</v>
      </c>
      <c r="M57" s="18"/>
    </row>
    <row r="58" spans="1:13" ht="19.5" customHeight="1">
      <c r="A58" s="6" t="str">
        <f t="shared" si="0"/>
        <v>C23</v>
      </c>
      <c r="B58" s="3">
        <v>42177</v>
      </c>
      <c r="C58" s="3">
        <v>42177</v>
      </c>
      <c r="D58" s="4"/>
      <c r="E58" s="20" t="s">
        <v>158</v>
      </c>
      <c r="F58" s="28" t="s">
        <v>770</v>
      </c>
      <c r="G58" s="106" t="s">
        <v>768</v>
      </c>
      <c r="H58" s="38" t="s">
        <v>769</v>
      </c>
      <c r="I58" s="26" t="s">
        <v>35</v>
      </c>
      <c r="J58" s="19"/>
      <c r="K58" s="5">
        <v>15000</v>
      </c>
      <c r="L58" s="4">
        <f t="shared" si="1"/>
        <v>1472745422</v>
      </c>
      <c r="M58" s="18"/>
    </row>
    <row r="59" spans="1:13" ht="19.5" customHeight="1">
      <c r="A59" s="6" t="str">
        <f t="shared" si="0"/>
        <v>C24</v>
      </c>
      <c r="B59" s="3">
        <v>42177</v>
      </c>
      <c r="C59" s="3">
        <v>42177</v>
      </c>
      <c r="D59" s="4"/>
      <c r="E59" s="20" t="s">
        <v>159</v>
      </c>
      <c r="F59" s="5" t="s">
        <v>771</v>
      </c>
      <c r="G59" s="105" t="s">
        <v>772</v>
      </c>
      <c r="H59" s="5" t="s">
        <v>773</v>
      </c>
      <c r="I59" s="26" t="s">
        <v>93</v>
      </c>
      <c r="J59" s="19"/>
      <c r="K59" s="5">
        <v>4147700</v>
      </c>
      <c r="L59" s="4">
        <f t="shared" si="1"/>
        <v>1468597722</v>
      </c>
      <c r="M59" s="18"/>
    </row>
    <row r="60" spans="1:13" ht="19.5" customHeight="1">
      <c r="A60" s="6" t="str">
        <f t="shared" si="0"/>
        <v>C25</v>
      </c>
      <c r="B60" s="3">
        <v>42177</v>
      </c>
      <c r="C60" s="3">
        <v>42177</v>
      </c>
      <c r="D60" s="4"/>
      <c r="E60" s="20" t="s">
        <v>160</v>
      </c>
      <c r="F60" s="5" t="s">
        <v>775</v>
      </c>
      <c r="G60" s="105" t="s">
        <v>776</v>
      </c>
      <c r="H60" s="5" t="s">
        <v>773</v>
      </c>
      <c r="I60" s="26" t="s">
        <v>94</v>
      </c>
      <c r="J60" s="19"/>
      <c r="K60" s="5">
        <v>2705550</v>
      </c>
      <c r="L60" s="4">
        <f t="shared" si="1"/>
        <v>1465892172</v>
      </c>
      <c r="M60" s="18"/>
    </row>
    <row r="61" spans="1:13" ht="19.5" customHeight="1">
      <c r="A61" s="6" t="str">
        <f t="shared" si="0"/>
        <v>C25</v>
      </c>
      <c r="B61" s="3">
        <v>42177</v>
      </c>
      <c r="C61" s="3">
        <v>42177</v>
      </c>
      <c r="D61" s="4"/>
      <c r="E61" s="20" t="s">
        <v>160</v>
      </c>
      <c r="F61" s="5" t="s">
        <v>774</v>
      </c>
      <c r="G61" s="105" t="s">
        <v>776</v>
      </c>
      <c r="H61" s="5" t="s">
        <v>773</v>
      </c>
      <c r="I61" s="26" t="s">
        <v>35</v>
      </c>
      <c r="J61" s="19"/>
      <c r="K61" s="5">
        <v>270555</v>
      </c>
      <c r="L61" s="4">
        <f t="shared" si="1"/>
        <v>1465621617</v>
      </c>
      <c r="M61" s="18"/>
    </row>
    <row r="62" spans="1:13" ht="19.5" customHeight="1">
      <c r="A62" s="6" t="str">
        <f t="shared" si="0"/>
        <v>C26</v>
      </c>
      <c r="B62" s="3">
        <v>42177</v>
      </c>
      <c r="C62" s="3">
        <v>42177</v>
      </c>
      <c r="D62" s="4"/>
      <c r="E62" s="20" t="s">
        <v>161</v>
      </c>
      <c r="F62" s="5" t="s">
        <v>72</v>
      </c>
      <c r="G62" s="105" t="s">
        <v>795</v>
      </c>
      <c r="H62" s="5" t="s">
        <v>794</v>
      </c>
      <c r="I62" s="26" t="s">
        <v>94</v>
      </c>
      <c r="J62" s="19"/>
      <c r="K62" s="5">
        <v>1414209</v>
      </c>
      <c r="L62" s="4">
        <f t="shared" si="1"/>
        <v>1464207408</v>
      </c>
      <c r="M62" s="18"/>
    </row>
    <row r="63" spans="1:13" ht="19.5" customHeight="1">
      <c r="A63" s="6" t="str">
        <f t="shared" si="0"/>
        <v>C26</v>
      </c>
      <c r="B63" s="3">
        <v>42177</v>
      </c>
      <c r="C63" s="3">
        <v>42177</v>
      </c>
      <c r="D63" s="4"/>
      <c r="E63" s="20" t="s">
        <v>161</v>
      </c>
      <c r="F63" s="5" t="s">
        <v>73</v>
      </c>
      <c r="G63" s="105" t="s">
        <v>795</v>
      </c>
      <c r="H63" s="5" t="s">
        <v>794</v>
      </c>
      <c r="I63" s="26" t="s">
        <v>35</v>
      </c>
      <c r="J63" s="19"/>
      <c r="K63" s="5">
        <v>141421</v>
      </c>
      <c r="L63" s="4">
        <f t="shared" si="1"/>
        <v>1464065987</v>
      </c>
      <c r="M63" s="18"/>
    </row>
    <row r="64" spans="1:13" ht="19.5" customHeight="1">
      <c r="A64" s="6" t="str">
        <f t="shared" si="0"/>
        <v>C27</v>
      </c>
      <c r="B64" s="3">
        <v>42178</v>
      </c>
      <c r="C64" s="3">
        <v>42178</v>
      </c>
      <c r="D64" s="4"/>
      <c r="E64" s="20" t="s">
        <v>162</v>
      </c>
      <c r="F64" s="5" t="s">
        <v>777</v>
      </c>
      <c r="G64" s="105" t="s">
        <v>778</v>
      </c>
      <c r="H64" s="5" t="s">
        <v>779</v>
      </c>
      <c r="I64" s="26" t="s">
        <v>34</v>
      </c>
      <c r="J64" s="19"/>
      <c r="K64" s="5">
        <v>16740108</v>
      </c>
      <c r="L64" s="4">
        <f t="shared" si="1"/>
        <v>1447325879</v>
      </c>
      <c r="M64" s="18"/>
    </row>
    <row r="65" spans="1:13" ht="19.5" customHeight="1">
      <c r="A65" s="6" t="str">
        <f t="shared" si="0"/>
        <v>C28</v>
      </c>
      <c r="B65" s="3">
        <v>42179</v>
      </c>
      <c r="C65" s="3">
        <v>42179</v>
      </c>
      <c r="D65" s="4"/>
      <c r="E65" s="20" t="s">
        <v>163</v>
      </c>
      <c r="F65" s="5" t="s">
        <v>780</v>
      </c>
      <c r="G65" s="105" t="s">
        <v>782</v>
      </c>
      <c r="H65" s="38" t="s">
        <v>769</v>
      </c>
      <c r="I65" s="26" t="s">
        <v>94</v>
      </c>
      <c r="J65" s="19"/>
      <c r="K65" s="5">
        <v>380000</v>
      </c>
      <c r="L65" s="4">
        <f t="shared" si="1"/>
        <v>1446945879</v>
      </c>
      <c r="M65" s="18"/>
    </row>
    <row r="66" spans="1:13" ht="19.5" customHeight="1">
      <c r="A66" s="6" t="str">
        <f t="shared" si="0"/>
        <v>C28</v>
      </c>
      <c r="B66" s="3">
        <v>42179</v>
      </c>
      <c r="C66" s="3">
        <v>42179</v>
      </c>
      <c r="D66" s="4"/>
      <c r="E66" s="20" t="s">
        <v>163</v>
      </c>
      <c r="F66" s="5" t="s">
        <v>781</v>
      </c>
      <c r="G66" s="105" t="s">
        <v>782</v>
      </c>
      <c r="H66" s="38" t="s">
        <v>769</v>
      </c>
      <c r="I66" s="26" t="s">
        <v>35</v>
      </c>
      <c r="J66" s="19"/>
      <c r="K66" s="5">
        <v>19000</v>
      </c>
      <c r="L66" s="4">
        <f t="shared" si="1"/>
        <v>1446926879</v>
      </c>
      <c r="M66" s="18"/>
    </row>
    <row r="67" spans="1:13" ht="19.5" customHeight="1">
      <c r="A67" s="6" t="str">
        <f t="shared" si="0"/>
        <v>C29</v>
      </c>
      <c r="B67" s="3">
        <v>42179</v>
      </c>
      <c r="C67" s="3">
        <v>42179</v>
      </c>
      <c r="D67" s="4"/>
      <c r="E67" s="20" t="s">
        <v>164</v>
      </c>
      <c r="F67" s="5" t="s">
        <v>777</v>
      </c>
      <c r="G67" s="105" t="s">
        <v>847</v>
      </c>
      <c r="H67" s="5" t="s">
        <v>779</v>
      </c>
      <c r="I67" s="26" t="s">
        <v>34</v>
      </c>
      <c r="J67" s="19"/>
      <c r="K67" s="5">
        <v>4185027</v>
      </c>
      <c r="L67" s="4">
        <f t="shared" si="1"/>
        <v>1442741852</v>
      </c>
      <c r="M67" s="18"/>
    </row>
    <row r="68" spans="1:13" ht="19.5" customHeight="1">
      <c r="A68" s="6" t="str">
        <f t="shared" si="0"/>
        <v>C30</v>
      </c>
      <c r="B68" s="3">
        <v>42179</v>
      </c>
      <c r="C68" s="3">
        <v>42179</v>
      </c>
      <c r="D68" s="4"/>
      <c r="E68" s="20" t="s">
        <v>165</v>
      </c>
      <c r="F68" s="5" t="s">
        <v>783</v>
      </c>
      <c r="G68" s="105" t="s">
        <v>785</v>
      </c>
      <c r="H68" s="38" t="s">
        <v>769</v>
      </c>
      <c r="I68" s="26" t="s">
        <v>94</v>
      </c>
      <c r="J68" s="19"/>
      <c r="K68" s="5">
        <v>1545455</v>
      </c>
      <c r="L68" s="4">
        <f t="shared" si="1"/>
        <v>1441196397</v>
      </c>
      <c r="M68" s="18"/>
    </row>
    <row r="69" spans="1:13" ht="19.5" customHeight="1">
      <c r="A69" s="6" t="str">
        <f t="shared" si="0"/>
        <v>C30</v>
      </c>
      <c r="B69" s="3">
        <v>42179</v>
      </c>
      <c r="C69" s="3">
        <v>42179</v>
      </c>
      <c r="D69" s="4"/>
      <c r="E69" s="20" t="s">
        <v>165</v>
      </c>
      <c r="F69" s="5" t="s">
        <v>784</v>
      </c>
      <c r="G69" s="105" t="s">
        <v>785</v>
      </c>
      <c r="H69" s="38" t="s">
        <v>769</v>
      </c>
      <c r="I69" s="26" t="s">
        <v>35</v>
      </c>
      <c r="J69" s="19"/>
      <c r="K69" s="5">
        <v>154545</v>
      </c>
      <c r="L69" s="4">
        <f t="shared" si="1"/>
        <v>1441041852</v>
      </c>
      <c r="M69" s="18"/>
    </row>
    <row r="70" spans="1:13" ht="19.5" customHeight="1">
      <c r="A70" s="6" t="str">
        <f t="shared" si="0"/>
        <v>C31</v>
      </c>
      <c r="B70" s="3">
        <v>42179</v>
      </c>
      <c r="C70" s="3">
        <v>42179</v>
      </c>
      <c r="D70" s="4"/>
      <c r="E70" s="20" t="s">
        <v>166</v>
      </c>
      <c r="F70" s="5" t="s">
        <v>332</v>
      </c>
      <c r="G70" s="5"/>
      <c r="H70" s="5" t="s">
        <v>333</v>
      </c>
      <c r="I70" s="26" t="s">
        <v>334</v>
      </c>
      <c r="J70" s="19"/>
      <c r="K70" s="5">
        <v>510000000</v>
      </c>
      <c r="L70" s="4">
        <f t="shared" si="1"/>
        <v>931041852</v>
      </c>
      <c r="M70" s="18"/>
    </row>
    <row r="71" spans="1:13" ht="19.5" customHeight="1">
      <c r="A71" s="6" t="str">
        <f t="shared" si="0"/>
        <v>C32</v>
      </c>
      <c r="B71" s="3">
        <v>42179</v>
      </c>
      <c r="C71" s="3">
        <v>42179</v>
      </c>
      <c r="D71" s="4"/>
      <c r="E71" s="20" t="s">
        <v>167</v>
      </c>
      <c r="F71" s="5" t="s">
        <v>332</v>
      </c>
      <c r="G71" s="5"/>
      <c r="H71" s="5" t="s">
        <v>335</v>
      </c>
      <c r="I71" s="26" t="s">
        <v>334</v>
      </c>
      <c r="J71" s="19"/>
      <c r="K71" s="5">
        <v>610000000</v>
      </c>
      <c r="L71" s="4">
        <f t="shared" si="1"/>
        <v>321041852</v>
      </c>
      <c r="M71" s="18"/>
    </row>
    <row r="72" spans="1:13" ht="19.5" customHeight="1">
      <c r="A72" s="6" t="str">
        <f t="shared" si="0"/>
        <v>T04</v>
      </c>
      <c r="B72" s="3">
        <v>42180</v>
      </c>
      <c r="C72" s="3">
        <v>42180</v>
      </c>
      <c r="D72" s="4" t="s">
        <v>42</v>
      </c>
      <c r="E72" s="20"/>
      <c r="F72" s="5" t="s">
        <v>743</v>
      </c>
      <c r="G72" s="105"/>
      <c r="H72" s="38" t="s">
        <v>187</v>
      </c>
      <c r="I72" s="26" t="s">
        <v>36</v>
      </c>
      <c r="J72" s="19">
        <v>1500000000</v>
      </c>
      <c r="K72" s="5"/>
      <c r="L72" s="4">
        <f t="shared" si="1"/>
        <v>1821041852</v>
      </c>
      <c r="M72" s="18"/>
    </row>
    <row r="73" spans="1:13" ht="19.5" customHeight="1">
      <c r="A73" s="6" t="str">
        <f t="shared" si="0"/>
        <v>C33</v>
      </c>
      <c r="B73" s="3">
        <v>42180</v>
      </c>
      <c r="C73" s="3">
        <v>42180</v>
      </c>
      <c r="D73" s="4"/>
      <c r="E73" s="20" t="s">
        <v>168</v>
      </c>
      <c r="F73" s="5" t="s">
        <v>72</v>
      </c>
      <c r="G73" s="105" t="s">
        <v>796</v>
      </c>
      <c r="H73" s="5" t="s">
        <v>794</v>
      </c>
      <c r="I73" s="26" t="s">
        <v>94</v>
      </c>
      <c r="J73" s="19"/>
      <c r="K73" s="5">
        <v>1162364</v>
      </c>
      <c r="L73" s="4">
        <f t="shared" si="1"/>
        <v>1819879488</v>
      </c>
      <c r="M73" s="18"/>
    </row>
    <row r="74" spans="1:13" ht="19.5" customHeight="1">
      <c r="A74" s="6" t="str">
        <f t="shared" si="0"/>
        <v>C33</v>
      </c>
      <c r="B74" s="3">
        <v>42180</v>
      </c>
      <c r="C74" s="3">
        <v>42180</v>
      </c>
      <c r="D74" s="4"/>
      <c r="E74" s="20" t="s">
        <v>168</v>
      </c>
      <c r="F74" s="5" t="s">
        <v>73</v>
      </c>
      <c r="G74" s="105" t="s">
        <v>796</v>
      </c>
      <c r="H74" s="5" t="s">
        <v>794</v>
      </c>
      <c r="I74" s="26" t="s">
        <v>35</v>
      </c>
      <c r="J74" s="19"/>
      <c r="K74" s="5">
        <v>116236</v>
      </c>
      <c r="L74" s="4">
        <f t="shared" si="1"/>
        <v>1819763252</v>
      </c>
      <c r="M74" s="18"/>
    </row>
    <row r="75" spans="1:13" ht="19.5" customHeight="1">
      <c r="A75" s="6" t="str">
        <f t="shared" si="0"/>
        <v>C34</v>
      </c>
      <c r="B75" s="3">
        <v>42181</v>
      </c>
      <c r="C75" s="3">
        <v>42181</v>
      </c>
      <c r="D75" s="4"/>
      <c r="E75" s="20" t="s">
        <v>169</v>
      </c>
      <c r="F75" s="5" t="s">
        <v>786</v>
      </c>
      <c r="G75" s="5"/>
      <c r="H75" s="5" t="s">
        <v>187</v>
      </c>
      <c r="I75" s="26" t="s">
        <v>36</v>
      </c>
      <c r="J75" s="19"/>
      <c r="K75" s="5">
        <v>400000000</v>
      </c>
      <c r="L75" s="4">
        <f t="shared" si="1"/>
        <v>1419763252</v>
      </c>
      <c r="M75" s="18"/>
    </row>
    <row r="76" spans="1:13" ht="19.5" customHeight="1">
      <c r="A76" s="6" t="str">
        <f t="shared" si="0"/>
        <v>T05</v>
      </c>
      <c r="B76" s="3">
        <v>42181</v>
      </c>
      <c r="C76" s="3">
        <v>42181</v>
      </c>
      <c r="D76" s="4" t="s">
        <v>43</v>
      </c>
      <c r="E76" s="20"/>
      <c r="F76" s="5" t="s">
        <v>267</v>
      </c>
      <c r="G76" s="5"/>
      <c r="H76" s="5" t="s">
        <v>187</v>
      </c>
      <c r="I76" s="26" t="s">
        <v>36</v>
      </c>
      <c r="J76" s="19">
        <v>950000000</v>
      </c>
      <c r="K76" s="5"/>
      <c r="L76" s="4">
        <f t="shared" si="1"/>
        <v>2369763252</v>
      </c>
      <c r="M76" s="18"/>
    </row>
    <row r="77" spans="1:13" ht="19.5" customHeight="1">
      <c r="A77" s="6" t="str">
        <f t="shared" ref="A77:A94" si="2">D77&amp;E77</f>
        <v>C35</v>
      </c>
      <c r="B77" s="3">
        <v>42182</v>
      </c>
      <c r="C77" s="3">
        <v>42182</v>
      </c>
      <c r="D77" s="4"/>
      <c r="E77" s="20" t="s">
        <v>170</v>
      </c>
      <c r="F77" s="5" t="s">
        <v>787</v>
      </c>
      <c r="G77" s="105" t="s">
        <v>789</v>
      </c>
      <c r="H77" s="5" t="s">
        <v>790</v>
      </c>
      <c r="I77" s="26" t="s">
        <v>94</v>
      </c>
      <c r="J77" s="19"/>
      <c r="K77" s="5">
        <v>14400000</v>
      </c>
      <c r="L77" s="4">
        <f t="shared" si="1"/>
        <v>2355363252</v>
      </c>
      <c r="M77" s="18"/>
    </row>
    <row r="78" spans="1:13" ht="19.5" customHeight="1">
      <c r="A78" s="6" t="str">
        <f t="shared" si="2"/>
        <v>C35</v>
      </c>
      <c r="B78" s="3">
        <v>42182</v>
      </c>
      <c r="C78" s="3">
        <v>42182</v>
      </c>
      <c r="D78" s="4"/>
      <c r="E78" s="20" t="s">
        <v>170</v>
      </c>
      <c r="F78" s="5" t="s">
        <v>788</v>
      </c>
      <c r="G78" s="105" t="s">
        <v>789</v>
      </c>
      <c r="H78" s="5" t="s">
        <v>790</v>
      </c>
      <c r="I78" s="26" t="s">
        <v>35</v>
      </c>
      <c r="J78" s="19"/>
      <c r="K78" s="5">
        <v>1440000</v>
      </c>
      <c r="L78" s="4">
        <f t="shared" si="1"/>
        <v>2353923252</v>
      </c>
      <c r="M78" s="18"/>
    </row>
    <row r="79" spans="1:13" ht="19.5" customHeight="1">
      <c r="A79" s="6" t="str">
        <f t="shared" si="2"/>
        <v>C36</v>
      </c>
      <c r="B79" s="3">
        <v>42182</v>
      </c>
      <c r="C79" s="3">
        <v>42182</v>
      </c>
      <c r="D79" s="4"/>
      <c r="E79" s="20" t="s">
        <v>171</v>
      </c>
      <c r="F79" s="5" t="s">
        <v>72</v>
      </c>
      <c r="G79" s="105" t="s">
        <v>797</v>
      </c>
      <c r="H79" s="5" t="s">
        <v>794</v>
      </c>
      <c r="I79" s="26" t="s">
        <v>94</v>
      </c>
      <c r="J79" s="19"/>
      <c r="K79" s="5">
        <v>523064</v>
      </c>
      <c r="L79" s="4">
        <f t="shared" si="1"/>
        <v>2353400188</v>
      </c>
      <c r="M79" s="18"/>
    </row>
    <row r="80" spans="1:13" ht="19.5" customHeight="1">
      <c r="A80" s="6" t="str">
        <f t="shared" si="2"/>
        <v>C36</v>
      </c>
      <c r="B80" s="3">
        <v>42182</v>
      </c>
      <c r="C80" s="3">
        <v>42182</v>
      </c>
      <c r="D80" s="4"/>
      <c r="E80" s="20" t="s">
        <v>171</v>
      </c>
      <c r="F80" s="5" t="s">
        <v>73</v>
      </c>
      <c r="G80" s="105" t="s">
        <v>797</v>
      </c>
      <c r="H80" s="5" t="s">
        <v>794</v>
      </c>
      <c r="I80" s="26" t="s">
        <v>35</v>
      </c>
      <c r="J80" s="19"/>
      <c r="K80" s="5">
        <v>52306</v>
      </c>
      <c r="L80" s="4">
        <f t="shared" si="1"/>
        <v>2353347882</v>
      </c>
      <c r="M80" s="18"/>
    </row>
    <row r="81" spans="1:13" ht="19.5" customHeight="1">
      <c r="A81" s="6" t="str">
        <f t="shared" si="2"/>
        <v>C37</v>
      </c>
      <c r="B81" s="3">
        <v>42182</v>
      </c>
      <c r="C81" s="3">
        <v>42182</v>
      </c>
      <c r="D81" s="4"/>
      <c r="E81" s="20" t="s">
        <v>172</v>
      </c>
      <c r="F81" s="5" t="s">
        <v>288</v>
      </c>
      <c r="G81" s="5"/>
      <c r="H81" s="5" t="s">
        <v>290</v>
      </c>
      <c r="I81" s="26" t="s">
        <v>34</v>
      </c>
      <c r="J81" s="19"/>
      <c r="K81" s="5">
        <v>5610000</v>
      </c>
      <c r="L81" s="4">
        <f t="shared" si="1"/>
        <v>2347737882</v>
      </c>
      <c r="M81" s="18"/>
    </row>
    <row r="82" spans="1:13" ht="19.5" customHeight="1">
      <c r="A82" s="6" t="str">
        <f t="shared" si="2"/>
        <v>C38</v>
      </c>
      <c r="B82" s="3">
        <v>42183</v>
      </c>
      <c r="C82" s="3">
        <v>42183</v>
      </c>
      <c r="D82" s="4"/>
      <c r="E82" s="20" t="s">
        <v>336</v>
      </c>
      <c r="F82" s="5" t="s">
        <v>798</v>
      </c>
      <c r="G82" s="105" t="s">
        <v>791</v>
      </c>
      <c r="H82" s="5" t="s">
        <v>792</v>
      </c>
      <c r="I82" s="26" t="s">
        <v>94</v>
      </c>
      <c r="J82" s="19"/>
      <c r="K82" s="5">
        <v>6354545</v>
      </c>
      <c r="L82" s="4">
        <f t="shared" ref="L82:L93" si="3">IF(F82&lt;&gt;"",L81+J82-K82,0)</f>
        <v>2341383337</v>
      </c>
      <c r="M82" s="18"/>
    </row>
    <row r="83" spans="1:13" ht="19.5" customHeight="1">
      <c r="A83" s="6" t="str">
        <f t="shared" si="2"/>
        <v>C38</v>
      </c>
      <c r="B83" s="3">
        <v>42183</v>
      </c>
      <c r="C83" s="3">
        <v>42183</v>
      </c>
      <c r="D83" s="4"/>
      <c r="E83" s="20" t="s">
        <v>336</v>
      </c>
      <c r="F83" s="5" t="s">
        <v>799</v>
      </c>
      <c r="G83" s="105" t="s">
        <v>791</v>
      </c>
      <c r="H83" s="5" t="s">
        <v>792</v>
      </c>
      <c r="I83" s="26" t="s">
        <v>35</v>
      </c>
      <c r="J83" s="19"/>
      <c r="K83" s="5">
        <v>635454</v>
      </c>
      <c r="L83" s="4">
        <f t="shared" si="3"/>
        <v>2340747883</v>
      </c>
      <c r="M83" s="18"/>
    </row>
    <row r="84" spans="1:13" ht="19.5" customHeight="1">
      <c r="A84" s="6" t="str">
        <f t="shared" si="2"/>
        <v>C39</v>
      </c>
      <c r="B84" s="3">
        <v>42185</v>
      </c>
      <c r="C84" s="3">
        <v>42185</v>
      </c>
      <c r="D84" s="4"/>
      <c r="E84" s="20" t="s">
        <v>337</v>
      </c>
      <c r="F84" s="5" t="s">
        <v>800</v>
      </c>
      <c r="G84" s="105" t="s">
        <v>801</v>
      </c>
      <c r="H84" s="5" t="s">
        <v>690</v>
      </c>
      <c r="I84" s="26" t="s">
        <v>94</v>
      </c>
      <c r="J84" s="19"/>
      <c r="K84" s="5">
        <v>343634</v>
      </c>
      <c r="L84" s="4">
        <f t="shared" si="3"/>
        <v>2340404249</v>
      </c>
      <c r="M84" s="18"/>
    </row>
    <row r="85" spans="1:13" ht="19.5" customHeight="1">
      <c r="A85" s="6" t="str">
        <f t="shared" si="2"/>
        <v>C39</v>
      </c>
      <c r="B85" s="3">
        <v>42185</v>
      </c>
      <c r="C85" s="3">
        <v>42185</v>
      </c>
      <c r="D85" s="4"/>
      <c r="E85" s="20" t="s">
        <v>337</v>
      </c>
      <c r="F85" s="5" t="s">
        <v>802</v>
      </c>
      <c r="G85" s="105" t="s">
        <v>801</v>
      </c>
      <c r="H85" s="5" t="s">
        <v>690</v>
      </c>
      <c r="I85" s="26" t="s">
        <v>35</v>
      </c>
      <c r="J85" s="19"/>
      <c r="K85" s="5">
        <v>34363</v>
      </c>
      <c r="L85" s="4">
        <f t="shared" si="3"/>
        <v>2340369886</v>
      </c>
      <c r="M85" s="18"/>
    </row>
    <row r="86" spans="1:13" ht="19.5" customHeight="1">
      <c r="A86" s="6" t="str">
        <f t="shared" si="2"/>
        <v>C40</v>
      </c>
      <c r="B86" s="3">
        <v>42185</v>
      </c>
      <c r="C86" s="3">
        <v>42185</v>
      </c>
      <c r="D86" s="4"/>
      <c r="E86" s="20" t="s">
        <v>338</v>
      </c>
      <c r="F86" s="5" t="s">
        <v>756</v>
      </c>
      <c r="G86" s="105" t="s">
        <v>827</v>
      </c>
      <c r="H86" s="5" t="s">
        <v>758</v>
      </c>
      <c r="I86" s="26" t="s">
        <v>94</v>
      </c>
      <c r="J86" s="19"/>
      <c r="K86" s="5">
        <v>301236</v>
      </c>
      <c r="L86" s="4">
        <f t="shared" si="3"/>
        <v>2340068650</v>
      </c>
      <c r="M86" s="18"/>
    </row>
    <row r="87" spans="1:13" ht="19.5" customHeight="1">
      <c r="A87" s="6" t="str">
        <f t="shared" si="2"/>
        <v>C40</v>
      </c>
      <c r="B87" s="3">
        <v>42185</v>
      </c>
      <c r="C87" s="3">
        <v>42185</v>
      </c>
      <c r="D87" s="4"/>
      <c r="E87" s="20" t="s">
        <v>338</v>
      </c>
      <c r="F87" s="5" t="s">
        <v>53</v>
      </c>
      <c r="G87" s="105" t="s">
        <v>827</v>
      </c>
      <c r="H87" s="5" t="s">
        <v>758</v>
      </c>
      <c r="I87" s="26" t="s">
        <v>54</v>
      </c>
      <c r="J87" s="19"/>
      <c r="K87" s="5">
        <v>1135964</v>
      </c>
      <c r="L87" s="4">
        <f t="shared" si="3"/>
        <v>2338932686</v>
      </c>
      <c r="M87" s="18"/>
    </row>
    <row r="88" spans="1:13" ht="19.5" customHeight="1">
      <c r="A88" s="6" t="str">
        <f t="shared" si="2"/>
        <v>C40</v>
      </c>
      <c r="B88" s="3">
        <v>42185</v>
      </c>
      <c r="C88" s="3">
        <v>42185</v>
      </c>
      <c r="D88" s="4"/>
      <c r="E88" s="20" t="s">
        <v>338</v>
      </c>
      <c r="F88" s="5" t="s">
        <v>693</v>
      </c>
      <c r="G88" s="105" t="s">
        <v>827</v>
      </c>
      <c r="H88" s="5" t="s">
        <v>758</v>
      </c>
      <c r="I88" s="26" t="s">
        <v>35</v>
      </c>
      <c r="J88" s="19"/>
      <c r="K88" s="5">
        <v>143720</v>
      </c>
      <c r="L88" s="4">
        <f t="shared" si="3"/>
        <v>2338788966</v>
      </c>
      <c r="M88" s="18"/>
    </row>
    <row r="89" spans="1:13" ht="19.5" customHeight="1">
      <c r="A89" s="6" t="str">
        <f t="shared" si="2"/>
        <v>C41</v>
      </c>
      <c r="B89" s="3">
        <v>42185</v>
      </c>
      <c r="C89" s="3">
        <v>42185</v>
      </c>
      <c r="D89" s="4"/>
      <c r="E89" s="20" t="s">
        <v>339</v>
      </c>
      <c r="F89" s="5" t="s">
        <v>844</v>
      </c>
      <c r="G89" s="105" t="s">
        <v>846</v>
      </c>
      <c r="H89" s="5" t="s">
        <v>270</v>
      </c>
      <c r="I89" s="26" t="s">
        <v>94</v>
      </c>
      <c r="J89" s="19"/>
      <c r="K89" s="5">
        <v>1918533</v>
      </c>
      <c r="L89" s="4">
        <f t="shared" si="3"/>
        <v>2336870433</v>
      </c>
      <c r="M89" s="18"/>
    </row>
    <row r="90" spans="1:13" ht="19.5" customHeight="1">
      <c r="A90" s="6" t="str">
        <f t="shared" si="2"/>
        <v>C41</v>
      </c>
      <c r="B90" s="3">
        <v>42185</v>
      </c>
      <c r="C90" s="3">
        <v>42185</v>
      </c>
      <c r="D90" s="4"/>
      <c r="E90" s="20" t="s">
        <v>339</v>
      </c>
      <c r="F90" s="5" t="s">
        <v>845</v>
      </c>
      <c r="G90" s="105" t="s">
        <v>846</v>
      </c>
      <c r="H90" s="5" t="s">
        <v>270</v>
      </c>
      <c r="I90" s="26" t="s">
        <v>35</v>
      </c>
      <c r="J90" s="19"/>
      <c r="K90" s="5">
        <v>191853</v>
      </c>
      <c r="L90" s="4">
        <f t="shared" si="3"/>
        <v>2336678580</v>
      </c>
      <c r="M90" s="18"/>
    </row>
    <row r="91" spans="1:13" ht="19.5" customHeight="1">
      <c r="A91" s="6" t="str">
        <f t="shared" si="2"/>
        <v>C42</v>
      </c>
      <c r="B91" s="3">
        <v>42185</v>
      </c>
      <c r="C91" s="3">
        <v>42185</v>
      </c>
      <c r="D91" s="4"/>
      <c r="E91" s="20" t="s">
        <v>340</v>
      </c>
      <c r="F91" s="5" t="s">
        <v>623</v>
      </c>
      <c r="G91" s="105"/>
      <c r="H91" s="5" t="s">
        <v>501</v>
      </c>
      <c r="I91" s="26" t="s">
        <v>94</v>
      </c>
      <c r="J91" s="19"/>
      <c r="K91" s="5">
        <v>1952700</v>
      </c>
      <c r="L91" s="4">
        <f t="shared" si="3"/>
        <v>2334725880</v>
      </c>
      <c r="M91" s="18"/>
    </row>
    <row r="92" spans="1:13" ht="19.5" customHeight="1">
      <c r="A92" s="6" t="str">
        <f t="shared" si="2"/>
        <v>C42</v>
      </c>
      <c r="B92" s="3">
        <v>42185</v>
      </c>
      <c r="C92" s="3">
        <v>42185</v>
      </c>
      <c r="D92" s="4"/>
      <c r="E92" s="20" t="s">
        <v>340</v>
      </c>
      <c r="F92" s="5" t="s">
        <v>499</v>
      </c>
      <c r="G92" s="105"/>
      <c r="H92" s="5" t="s">
        <v>501</v>
      </c>
      <c r="I92" s="26" t="s">
        <v>35</v>
      </c>
      <c r="J92" s="19"/>
      <c r="K92" s="5">
        <v>195300</v>
      </c>
      <c r="L92" s="4">
        <f t="shared" si="3"/>
        <v>2334530580</v>
      </c>
      <c r="M92" s="18"/>
    </row>
    <row r="93" spans="1:13" ht="19.5" customHeight="1">
      <c r="A93" s="6" t="str">
        <f t="shared" si="2"/>
        <v>C43</v>
      </c>
      <c r="B93" s="3">
        <v>42185</v>
      </c>
      <c r="C93" s="3">
        <v>42185</v>
      </c>
      <c r="D93" s="4"/>
      <c r="E93" s="20" t="s">
        <v>341</v>
      </c>
      <c r="F93" s="5" t="s">
        <v>803</v>
      </c>
      <c r="G93" s="5"/>
      <c r="H93" s="5" t="s">
        <v>261</v>
      </c>
      <c r="I93" s="26" t="s">
        <v>37</v>
      </c>
      <c r="J93" s="19"/>
      <c r="K93" s="5">
        <v>139375815</v>
      </c>
      <c r="L93" s="4">
        <f t="shared" si="3"/>
        <v>2195154765</v>
      </c>
      <c r="M93" s="18"/>
    </row>
    <row r="94" spans="1:13" ht="19.5" customHeight="1">
      <c r="A94" s="6" t="str">
        <f t="shared" si="2"/>
        <v>C44</v>
      </c>
      <c r="B94" s="3">
        <v>42185</v>
      </c>
      <c r="C94" s="3">
        <v>42185</v>
      </c>
      <c r="D94" s="4"/>
      <c r="E94" s="20" t="s">
        <v>342</v>
      </c>
      <c r="F94" s="5" t="s">
        <v>1026</v>
      </c>
      <c r="G94" s="105" t="s">
        <v>1029</v>
      </c>
      <c r="H94" s="5" t="s">
        <v>721</v>
      </c>
      <c r="I94" s="26" t="s">
        <v>94</v>
      </c>
      <c r="J94" s="19"/>
      <c r="K94" s="5">
        <v>1000000</v>
      </c>
      <c r="L94" s="4">
        <f t="shared" ref="L94" si="4">IF(F94&lt;&gt;"",L93+J94-K94,0)</f>
        <v>2194154765</v>
      </c>
      <c r="M94" s="18"/>
    </row>
    <row r="95" spans="1:13" ht="18" customHeight="1">
      <c r="A95" s="6" t="str">
        <f t="shared" ref="A95:A97" si="5">D95&amp;E95</f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5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6760000000</v>
      </c>
      <c r="K96" s="32">
        <f>SUM(K13:K93)</f>
        <v>5906807508</v>
      </c>
      <c r="L96" s="33" t="s">
        <v>30</v>
      </c>
      <c r="M96" s="33" t="s">
        <v>30</v>
      </c>
    </row>
    <row r="97" spans="1:19" s="34" customFormat="1" ht="18" customHeight="1">
      <c r="A97" s="6" t="str">
        <f t="shared" si="5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2195154765</v>
      </c>
      <c r="M97" s="36" t="s">
        <v>30</v>
      </c>
    </row>
    <row r="99" spans="1:19">
      <c r="B99" s="25" t="s">
        <v>32</v>
      </c>
    </row>
    <row r="100" spans="1:19">
      <c r="B100" s="25" t="s">
        <v>934</v>
      </c>
    </row>
    <row r="101" spans="1:19">
      <c r="L101" s="8" t="s">
        <v>935</v>
      </c>
    </row>
    <row r="102" spans="1:19" s="7" customFormat="1" ht="14.25">
      <c r="C102" s="7" t="s">
        <v>33</v>
      </c>
      <c r="F102" s="7" t="s">
        <v>13</v>
      </c>
      <c r="L102" s="7" t="s">
        <v>14</v>
      </c>
    </row>
    <row r="103" spans="1:19" s="2" customFormat="1">
      <c r="C103" s="2" t="s">
        <v>15</v>
      </c>
      <c r="F103" s="2" t="s">
        <v>15</v>
      </c>
      <c r="L103" s="2" t="s">
        <v>16</v>
      </c>
    </row>
    <row r="104" spans="1:19" s="2" customFormat="1"/>
    <row r="105" spans="1:19" s="2" customFormat="1"/>
    <row r="106" spans="1:19" s="2" customFormat="1"/>
    <row r="109" spans="1:19" s="419" customFormat="1">
      <c r="C109" s="420" t="s">
        <v>1388</v>
      </c>
      <c r="L109" s="420" t="s">
        <v>1389</v>
      </c>
      <c r="O109" s="6"/>
      <c r="P109" s="6"/>
      <c r="Q109" s="6"/>
      <c r="R109" s="6"/>
      <c r="S109" s="6"/>
    </row>
  </sheetData>
  <autoFilter ref="B11:M97"/>
  <sortState ref="A13:M85">
    <sortCondition ref="B13:B85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15 H29 H71">
    <cfRule type="expression" dxfId="22" priority="1" stopIfTrue="1">
      <formula>$C15&lt;&gt;""</formula>
    </cfRule>
  </conditionalFormatting>
  <printOptions horizontalCentered="1"/>
  <pageMargins left="0.9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31"/>
  </sheetPr>
  <dimension ref="A1:S97"/>
  <sheetViews>
    <sheetView topLeftCell="B8" zoomScale="90" workbookViewId="0">
      <pane ySplit="5" topLeftCell="A73" activePane="bottomLeft" state="frozen"/>
      <selection activeCell="B8" sqref="B8"/>
      <selection pane="bottomLeft" activeCell="B97" sqref="A97:XFD97"/>
    </sheetView>
  </sheetViews>
  <sheetFormatPr defaultRowHeight="15"/>
  <cols>
    <col min="1" max="1" width="4.7109375" style="6" hidden="1" customWidth="1"/>
    <col min="2" max="3" width="9" style="6" customWidth="1"/>
    <col min="4" max="5" width="6.85546875" style="6" customWidth="1"/>
    <col min="6" max="6" width="37.42578125" style="6" customWidth="1"/>
    <col min="7" max="7" width="8.5703125" style="6" hidden="1" customWidth="1"/>
    <col min="8" max="8" width="38.140625" style="6" hidden="1" customWidth="1"/>
    <col min="9" max="9" width="6.85546875" style="6" customWidth="1"/>
    <col min="10" max="11" width="15.140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60" t="s">
        <v>132</v>
      </c>
      <c r="K1" s="460"/>
      <c r="L1" s="460"/>
      <c r="M1" s="460"/>
    </row>
    <row r="2" spans="1:13" s="11" customFormat="1" ht="16.5" customHeight="1">
      <c r="B2" s="1" t="str">
        <f>'01'!B2</f>
        <v>Địa chỉ: Lô A14, Đường 4A - KCN Hải Sơn, Đức Hòa, Long An</v>
      </c>
      <c r="C2" s="322"/>
      <c r="D2" s="322"/>
      <c r="E2" s="322"/>
      <c r="F2" s="322"/>
      <c r="G2" s="322"/>
      <c r="H2" s="12"/>
      <c r="J2" s="461" t="s">
        <v>133</v>
      </c>
      <c r="K2" s="461"/>
      <c r="L2" s="461"/>
      <c r="M2" s="461"/>
    </row>
    <row r="3" spans="1:13" s="11" customFormat="1" ht="16.5" customHeight="1">
      <c r="B3" s="9"/>
      <c r="C3" s="322"/>
      <c r="D3" s="14"/>
      <c r="E3" s="14"/>
      <c r="F3" s="322"/>
      <c r="G3" s="322"/>
      <c r="H3" s="12"/>
      <c r="J3" s="461"/>
      <c r="K3" s="461"/>
      <c r="L3" s="461"/>
      <c r="M3" s="461"/>
    </row>
    <row r="4" spans="1:13" s="11" customFormat="1" ht="6.75" customHeight="1">
      <c r="B4" s="322"/>
      <c r="C4" s="322"/>
      <c r="D4" s="322"/>
      <c r="E4" s="322"/>
      <c r="F4" s="322"/>
      <c r="G4" s="322"/>
      <c r="H4" s="12"/>
      <c r="J4" s="323"/>
      <c r="K4" s="323"/>
      <c r="L4" s="323"/>
      <c r="M4" s="323"/>
    </row>
    <row r="5" spans="1:13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</row>
    <row r="6" spans="1:13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</row>
    <row r="7" spans="1:13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</row>
    <row r="8" spans="1:13">
      <c r="B8" s="15"/>
      <c r="L8" s="15" t="s">
        <v>19</v>
      </c>
    </row>
    <row r="9" spans="1:13" ht="30" customHeight="1">
      <c r="B9" s="463" t="s">
        <v>20</v>
      </c>
      <c r="C9" s="463" t="s">
        <v>21</v>
      </c>
      <c r="D9" s="463" t="s">
        <v>2</v>
      </c>
      <c r="E9" s="463"/>
      <c r="F9" s="463" t="s">
        <v>3</v>
      </c>
      <c r="G9" s="464" t="s">
        <v>134</v>
      </c>
      <c r="H9" s="464" t="s">
        <v>135</v>
      </c>
      <c r="I9" s="463" t="s">
        <v>22</v>
      </c>
      <c r="J9" s="463" t="s">
        <v>23</v>
      </c>
      <c r="K9" s="463"/>
      <c r="L9" s="463" t="s">
        <v>24</v>
      </c>
      <c r="M9" s="463" t="s">
        <v>4</v>
      </c>
    </row>
    <row r="10" spans="1:13" ht="20.25" customHeight="1">
      <c r="B10" s="463"/>
      <c r="C10" s="463"/>
      <c r="D10" s="324" t="s">
        <v>5</v>
      </c>
      <c r="E10" s="324" t="s">
        <v>6</v>
      </c>
      <c r="F10" s="463"/>
      <c r="G10" s="465"/>
      <c r="H10" s="465"/>
      <c r="I10" s="463"/>
      <c r="J10" s="324" t="s">
        <v>25</v>
      </c>
      <c r="K10" s="324" t="s">
        <v>26</v>
      </c>
      <c r="L10" s="463"/>
      <c r="M10" s="46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2195154765</v>
      </c>
      <c r="M12" s="29"/>
    </row>
    <row r="13" spans="1:13" ht="18" customHeight="1">
      <c r="A13" s="6" t="str">
        <f>D13&amp;E13</f>
        <v>T01</v>
      </c>
      <c r="B13" s="3">
        <v>42186</v>
      </c>
      <c r="C13" s="3">
        <v>42186</v>
      </c>
      <c r="D13" s="4" t="s">
        <v>39</v>
      </c>
      <c r="E13" s="39"/>
      <c r="F13" s="5" t="s">
        <v>743</v>
      </c>
      <c r="G13" s="5"/>
      <c r="H13" s="5" t="s">
        <v>187</v>
      </c>
      <c r="I13" s="26" t="s">
        <v>36</v>
      </c>
      <c r="J13" s="19">
        <v>160000000</v>
      </c>
      <c r="K13" s="5"/>
      <c r="L13" s="4">
        <f>IF(F13&lt;&gt;"",L12+J13-K13,0)</f>
        <v>2355154765</v>
      </c>
      <c r="M13" s="18"/>
    </row>
    <row r="14" spans="1:13" ht="18" customHeight="1">
      <c r="A14" s="6" t="str">
        <f t="shared" ref="A14:A82" si="0">D14&amp;E14</f>
        <v>C01</v>
      </c>
      <c r="B14" s="3">
        <v>42186</v>
      </c>
      <c r="C14" s="3">
        <v>42185</v>
      </c>
      <c r="D14" s="4"/>
      <c r="E14" s="20" t="s">
        <v>136</v>
      </c>
      <c r="F14" s="5" t="s">
        <v>879</v>
      </c>
      <c r="G14" s="105" t="s">
        <v>881</v>
      </c>
      <c r="H14" s="5" t="s">
        <v>725</v>
      </c>
      <c r="I14" s="26" t="s">
        <v>94</v>
      </c>
      <c r="J14" s="19"/>
      <c r="K14" s="5">
        <v>31000</v>
      </c>
      <c r="L14" s="4">
        <f t="shared" ref="L14:L82" si="1">IF(F14&lt;&gt;"",L13+J14-K14,0)</f>
        <v>2355123765</v>
      </c>
      <c r="M14" s="18"/>
    </row>
    <row r="15" spans="1:13" ht="18" customHeight="1">
      <c r="A15" s="6" t="str">
        <f t="shared" si="0"/>
        <v>C01</v>
      </c>
      <c r="B15" s="3">
        <v>42186</v>
      </c>
      <c r="C15" s="3">
        <v>42185</v>
      </c>
      <c r="D15" s="4"/>
      <c r="E15" s="20" t="s">
        <v>136</v>
      </c>
      <c r="F15" s="5" t="s">
        <v>880</v>
      </c>
      <c r="G15" s="105" t="s">
        <v>881</v>
      </c>
      <c r="H15" s="5" t="s">
        <v>725</v>
      </c>
      <c r="I15" s="26" t="s">
        <v>35</v>
      </c>
      <c r="J15" s="19"/>
      <c r="K15" s="5">
        <v>3100</v>
      </c>
      <c r="L15" s="4">
        <f t="shared" si="1"/>
        <v>2355120665</v>
      </c>
      <c r="M15" s="18"/>
    </row>
    <row r="16" spans="1:13" ht="18" customHeight="1">
      <c r="A16" s="6" t="str">
        <f t="shared" si="0"/>
        <v>C02</v>
      </c>
      <c r="B16" s="3">
        <v>42186</v>
      </c>
      <c r="C16" s="3">
        <v>42185</v>
      </c>
      <c r="D16" s="4"/>
      <c r="E16" s="20" t="s">
        <v>137</v>
      </c>
      <c r="F16" s="5" t="s">
        <v>882</v>
      </c>
      <c r="G16" s="105" t="s">
        <v>884</v>
      </c>
      <c r="H16" s="5" t="s">
        <v>296</v>
      </c>
      <c r="I16" s="26" t="s">
        <v>94</v>
      </c>
      <c r="J16" s="19"/>
      <c r="K16" s="5">
        <v>17149550</v>
      </c>
      <c r="L16" s="4">
        <f t="shared" si="1"/>
        <v>2337971115</v>
      </c>
      <c r="M16" s="18"/>
    </row>
    <row r="17" spans="1:13" ht="18" customHeight="1">
      <c r="A17" s="6" t="str">
        <f t="shared" si="0"/>
        <v>C02</v>
      </c>
      <c r="B17" s="3">
        <v>42186</v>
      </c>
      <c r="C17" s="3">
        <v>42185</v>
      </c>
      <c r="D17" s="4"/>
      <c r="E17" s="20" t="s">
        <v>137</v>
      </c>
      <c r="F17" s="5" t="s">
        <v>883</v>
      </c>
      <c r="G17" s="105" t="s">
        <v>884</v>
      </c>
      <c r="H17" s="5" t="s">
        <v>296</v>
      </c>
      <c r="I17" s="26" t="s">
        <v>35</v>
      </c>
      <c r="J17" s="19"/>
      <c r="K17" s="5">
        <v>1064955</v>
      </c>
      <c r="L17" s="4">
        <f t="shared" si="1"/>
        <v>2336906160</v>
      </c>
      <c r="M17" s="18"/>
    </row>
    <row r="18" spans="1:13" ht="18" customHeight="1">
      <c r="A18" s="6" t="str">
        <f t="shared" si="0"/>
        <v>C03</v>
      </c>
      <c r="B18" s="3">
        <v>42186</v>
      </c>
      <c r="C18" s="3">
        <v>42186</v>
      </c>
      <c r="D18" s="4"/>
      <c r="E18" s="20" t="s">
        <v>138</v>
      </c>
      <c r="F18" s="5" t="s">
        <v>1131</v>
      </c>
      <c r="G18" s="105" t="s">
        <v>885</v>
      </c>
      <c r="H18" s="5" t="s">
        <v>886</v>
      </c>
      <c r="I18" s="26" t="s">
        <v>94</v>
      </c>
      <c r="J18" s="19"/>
      <c r="K18" s="5">
        <v>1484000</v>
      </c>
      <c r="L18" s="4">
        <f t="shared" si="1"/>
        <v>2335422160</v>
      </c>
      <c r="M18" s="18"/>
    </row>
    <row r="19" spans="1:13" ht="18" customHeight="1">
      <c r="A19" s="6" t="str">
        <f t="shared" ref="A19" si="2">D19&amp;E19</f>
        <v>C03</v>
      </c>
      <c r="B19" s="3">
        <v>42186</v>
      </c>
      <c r="C19" s="3">
        <v>42186</v>
      </c>
      <c r="D19" s="4"/>
      <c r="E19" s="20" t="s">
        <v>138</v>
      </c>
      <c r="F19" s="5" t="s">
        <v>1132</v>
      </c>
      <c r="G19" s="105" t="s">
        <v>885</v>
      </c>
      <c r="H19" s="5" t="s">
        <v>886</v>
      </c>
      <c r="I19" s="26" t="s">
        <v>35</v>
      </c>
      <c r="J19" s="19"/>
      <c r="K19" s="5">
        <v>148400</v>
      </c>
      <c r="L19" s="4">
        <f t="shared" si="1"/>
        <v>2335273760</v>
      </c>
      <c r="M19" s="18"/>
    </row>
    <row r="20" spans="1:13" ht="18" customHeight="1">
      <c r="A20" s="6" t="str">
        <f t="shared" si="0"/>
        <v>C04</v>
      </c>
      <c r="B20" s="3">
        <v>42186</v>
      </c>
      <c r="C20" s="3">
        <v>42186</v>
      </c>
      <c r="D20" s="4"/>
      <c r="E20" s="20" t="s">
        <v>139</v>
      </c>
      <c r="F20" s="5" t="s">
        <v>507</v>
      </c>
      <c r="G20" s="105" t="s">
        <v>887</v>
      </c>
      <c r="H20" s="5" t="s">
        <v>888</v>
      </c>
      <c r="I20" s="26" t="s">
        <v>94</v>
      </c>
      <c r="J20" s="19"/>
      <c r="K20" s="5">
        <v>910518</v>
      </c>
      <c r="L20" s="4">
        <f t="shared" si="1"/>
        <v>2334363242</v>
      </c>
      <c r="M20" s="18"/>
    </row>
    <row r="21" spans="1:13" ht="18" customHeight="1">
      <c r="A21" s="6" t="str">
        <f t="shared" si="0"/>
        <v>C04</v>
      </c>
      <c r="B21" s="3">
        <v>42186</v>
      </c>
      <c r="C21" s="3">
        <v>42186</v>
      </c>
      <c r="D21" s="4"/>
      <c r="E21" s="20" t="s">
        <v>139</v>
      </c>
      <c r="F21" s="5" t="s">
        <v>508</v>
      </c>
      <c r="G21" s="105" t="s">
        <v>887</v>
      </c>
      <c r="H21" s="5" t="s">
        <v>888</v>
      </c>
      <c r="I21" s="26" t="s">
        <v>35</v>
      </c>
      <c r="J21" s="19"/>
      <c r="K21" s="5">
        <v>91052</v>
      </c>
      <c r="L21" s="4">
        <f t="shared" si="1"/>
        <v>2334272190</v>
      </c>
      <c r="M21" s="18"/>
    </row>
    <row r="22" spans="1:13" ht="18" customHeight="1">
      <c r="A22" s="6" t="str">
        <f t="shared" si="0"/>
        <v>C05</v>
      </c>
      <c r="B22" s="3">
        <v>42189</v>
      </c>
      <c r="C22" s="3">
        <v>42189</v>
      </c>
      <c r="D22" s="4"/>
      <c r="E22" s="20" t="s">
        <v>140</v>
      </c>
      <c r="F22" s="5" t="s">
        <v>507</v>
      </c>
      <c r="G22" s="105" t="s">
        <v>889</v>
      </c>
      <c r="H22" s="5" t="s">
        <v>888</v>
      </c>
      <c r="I22" s="26" t="s">
        <v>94</v>
      </c>
      <c r="J22" s="19"/>
      <c r="K22" s="5">
        <v>1181736</v>
      </c>
      <c r="L22" s="4">
        <f t="shared" si="1"/>
        <v>2333090454</v>
      </c>
      <c r="M22" s="18"/>
    </row>
    <row r="23" spans="1:13" ht="18" customHeight="1">
      <c r="A23" s="6" t="str">
        <f t="shared" si="0"/>
        <v>C05</v>
      </c>
      <c r="B23" s="3">
        <v>42189</v>
      </c>
      <c r="C23" s="3">
        <v>42189</v>
      </c>
      <c r="D23" s="4"/>
      <c r="E23" s="20" t="s">
        <v>140</v>
      </c>
      <c r="F23" s="5" t="s">
        <v>508</v>
      </c>
      <c r="G23" s="105" t="s">
        <v>889</v>
      </c>
      <c r="H23" s="5" t="s">
        <v>888</v>
      </c>
      <c r="I23" s="26" t="s">
        <v>35</v>
      </c>
      <c r="J23" s="19"/>
      <c r="K23" s="5">
        <v>118174</v>
      </c>
      <c r="L23" s="4">
        <f t="shared" si="1"/>
        <v>2332972280</v>
      </c>
      <c r="M23" s="18"/>
    </row>
    <row r="24" spans="1:13" ht="18" customHeight="1">
      <c r="A24" s="6" t="str">
        <f t="shared" si="0"/>
        <v>C06</v>
      </c>
      <c r="B24" s="3">
        <v>42189</v>
      </c>
      <c r="C24" s="3">
        <v>42189</v>
      </c>
      <c r="D24" s="4"/>
      <c r="E24" s="20" t="s">
        <v>141</v>
      </c>
      <c r="F24" s="5" t="s">
        <v>756</v>
      </c>
      <c r="G24" s="105" t="s">
        <v>242</v>
      </c>
      <c r="H24" s="5" t="s">
        <v>192</v>
      </c>
      <c r="I24" s="26" t="s">
        <v>94</v>
      </c>
      <c r="J24" s="19"/>
      <c r="K24" s="5">
        <v>112964</v>
      </c>
      <c r="L24" s="4">
        <f t="shared" si="1"/>
        <v>2332859316</v>
      </c>
      <c r="M24" s="18"/>
    </row>
    <row r="25" spans="1:13" ht="18" customHeight="1">
      <c r="A25" s="6" t="str">
        <f t="shared" si="0"/>
        <v>C06</v>
      </c>
      <c r="B25" s="3">
        <v>42189</v>
      </c>
      <c r="C25" s="3">
        <v>42189</v>
      </c>
      <c r="D25" s="4"/>
      <c r="E25" s="20" t="s">
        <v>141</v>
      </c>
      <c r="F25" s="5" t="s">
        <v>53</v>
      </c>
      <c r="G25" s="105" t="s">
        <v>242</v>
      </c>
      <c r="H25" s="5" t="s">
        <v>192</v>
      </c>
      <c r="I25" s="26" t="s">
        <v>54</v>
      </c>
      <c r="J25" s="19"/>
      <c r="K25" s="5">
        <v>728182</v>
      </c>
      <c r="L25" s="4">
        <f t="shared" si="1"/>
        <v>2332131134</v>
      </c>
      <c r="M25" s="18"/>
    </row>
    <row r="26" spans="1:13" ht="18" customHeight="1">
      <c r="A26" s="6" t="str">
        <f t="shared" si="0"/>
        <v>C06</v>
      </c>
      <c r="B26" s="3">
        <v>42189</v>
      </c>
      <c r="C26" s="3">
        <v>42189</v>
      </c>
      <c r="D26" s="4"/>
      <c r="E26" s="20" t="s">
        <v>141</v>
      </c>
      <c r="F26" s="5" t="s">
        <v>890</v>
      </c>
      <c r="G26" s="105" t="s">
        <v>242</v>
      </c>
      <c r="H26" s="5" t="s">
        <v>192</v>
      </c>
      <c r="I26" s="26" t="s">
        <v>35</v>
      </c>
      <c r="J26" s="19"/>
      <c r="K26" s="5">
        <v>84114</v>
      </c>
      <c r="L26" s="4">
        <f t="shared" si="1"/>
        <v>2332047020</v>
      </c>
      <c r="M26" s="18"/>
    </row>
    <row r="27" spans="1:13" ht="18" customHeight="1">
      <c r="A27" s="6" t="str">
        <f>D27&amp;E27</f>
        <v>C07</v>
      </c>
      <c r="B27" s="3">
        <v>42189</v>
      </c>
      <c r="C27" s="3">
        <v>42189</v>
      </c>
      <c r="D27" s="4"/>
      <c r="E27" s="20" t="s">
        <v>142</v>
      </c>
      <c r="F27" s="5" t="s">
        <v>332</v>
      </c>
      <c r="G27" s="5"/>
      <c r="H27" s="5" t="s">
        <v>335</v>
      </c>
      <c r="I27" s="26" t="s">
        <v>334</v>
      </c>
      <c r="J27" s="19"/>
      <c r="K27" s="5">
        <v>450000000</v>
      </c>
      <c r="L27" s="4">
        <f t="shared" si="1"/>
        <v>1882047020</v>
      </c>
      <c r="M27" s="18"/>
    </row>
    <row r="28" spans="1:13" ht="18" customHeight="1">
      <c r="A28" s="6" t="str">
        <f t="shared" si="0"/>
        <v>C08</v>
      </c>
      <c r="B28" s="3">
        <v>42192</v>
      </c>
      <c r="C28" s="3">
        <v>42192</v>
      </c>
      <c r="D28" s="4"/>
      <c r="E28" s="20" t="s">
        <v>143</v>
      </c>
      <c r="F28" s="5" t="s">
        <v>891</v>
      </c>
      <c r="G28" s="105"/>
      <c r="H28" s="5" t="s">
        <v>187</v>
      </c>
      <c r="I28" s="26" t="s">
        <v>36</v>
      </c>
      <c r="J28" s="19"/>
      <c r="K28" s="5">
        <v>10000000</v>
      </c>
      <c r="L28" s="4">
        <f t="shared" si="1"/>
        <v>1872047020</v>
      </c>
      <c r="M28" s="18"/>
    </row>
    <row r="29" spans="1:13" ht="18" customHeight="1">
      <c r="A29" s="6" t="str">
        <f t="shared" si="0"/>
        <v>C09</v>
      </c>
      <c r="B29" s="3">
        <v>42192</v>
      </c>
      <c r="C29" s="3">
        <v>42192</v>
      </c>
      <c r="D29" s="4"/>
      <c r="E29" s="20" t="s">
        <v>144</v>
      </c>
      <c r="F29" s="5" t="s">
        <v>892</v>
      </c>
      <c r="G29" s="105" t="s">
        <v>894</v>
      </c>
      <c r="H29" s="5" t="s">
        <v>895</v>
      </c>
      <c r="I29" s="26" t="s">
        <v>94</v>
      </c>
      <c r="J29" s="19"/>
      <c r="K29" s="5">
        <v>12180000</v>
      </c>
      <c r="L29" s="4">
        <f t="shared" si="1"/>
        <v>1859867020</v>
      </c>
      <c r="M29" s="18"/>
    </row>
    <row r="30" spans="1:13" ht="18" customHeight="1">
      <c r="A30" s="6" t="str">
        <f t="shared" si="0"/>
        <v>C09</v>
      </c>
      <c r="B30" s="3">
        <v>42192</v>
      </c>
      <c r="C30" s="3">
        <v>42192</v>
      </c>
      <c r="D30" s="4"/>
      <c r="E30" s="20" t="s">
        <v>144</v>
      </c>
      <c r="F30" s="5" t="s">
        <v>893</v>
      </c>
      <c r="G30" s="105" t="s">
        <v>894</v>
      </c>
      <c r="H30" s="5" t="s">
        <v>895</v>
      </c>
      <c r="I30" s="26" t="s">
        <v>35</v>
      </c>
      <c r="J30" s="19"/>
      <c r="K30" s="5">
        <v>1218000</v>
      </c>
      <c r="L30" s="4">
        <f t="shared" si="1"/>
        <v>1858649020</v>
      </c>
      <c r="M30" s="18"/>
    </row>
    <row r="31" spans="1:13" ht="18" customHeight="1">
      <c r="A31" s="6" t="str">
        <f t="shared" si="0"/>
        <v>C10</v>
      </c>
      <c r="B31" s="3">
        <v>42192</v>
      </c>
      <c r="C31" s="3">
        <v>42192</v>
      </c>
      <c r="D31" s="4"/>
      <c r="E31" s="20" t="s">
        <v>145</v>
      </c>
      <c r="F31" s="5" t="s">
        <v>535</v>
      </c>
      <c r="G31" s="105" t="s">
        <v>896</v>
      </c>
      <c r="H31" s="5" t="s">
        <v>538</v>
      </c>
      <c r="I31" s="26" t="s">
        <v>94</v>
      </c>
      <c r="J31" s="19"/>
      <c r="K31" s="5">
        <v>490909</v>
      </c>
      <c r="L31" s="4">
        <f t="shared" si="1"/>
        <v>1858158111</v>
      </c>
      <c r="M31" s="18"/>
    </row>
    <row r="32" spans="1:13" ht="18" customHeight="1">
      <c r="A32" s="6" t="str">
        <f t="shared" si="0"/>
        <v>C10</v>
      </c>
      <c r="B32" s="3">
        <v>42192</v>
      </c>
      <c r="C32" s="3">
        <v>42192</v>
      </c>
      <c r="D32" s="4"/>
      <c r="E32" s="20" t="s">
        <v>145</v>
      </c>
      <c r="F32" s="5" t="s">
        <v>536</v>
      </c>
      <c r="G32" s="105" t="s">
        <v>896</v>
      </c>
      <c r="H32" s="5" t="s">
        <v>538</v>
      </c>
      <c r="I32" s="26" t="s">
        <v>35</v>
      </c>
      <c r="J32" s="19"/>
      <c r="K32" s="5">
        <v>49091</v>
      </c>
      <c r="L32" s="4">
        <f t="shared" si="1"/>
        <v>1858109020</v>
      </c>
      <c r="M32" s="18"/>
    </row>
    <row r="33" spans="1:13" ht="18" customHeight="1">
      <c r="A33" s="6" t="str">
        <f t="shared" si="0"/>
        <v>T02</v>
      </c>
      <c r="B33" s="3">
        <v>42194</v>
      </c>
      <c r="C33" s="3">
        <v>42194</v>
      </c>
      <c r="D33" s="4" t="s">
        <v>40</v>
      </c>
      <c r="E33" s="39"/>
      <c r="F33" s="5" t="s">
        <v>743</v>
      </c>
      <c r="G33" s="5"/>
      <c r="H33" s="5" t="s">
        <v>187</v>
      </c>
      <c r="I33" s="26" t="s">
        <v>36</v>
      </c>
      <c r="J33" s="19">
        <v>800000000</v>
      </c>
      <c r="K33" s="5"/>
      <c r="L33" s="4">
        <f t="shared" si="1"/>
        <v>2658109020</v>
      </c>
      <c r="M33" s="18"/>
    </row>
    <row r="34" spans="1:13" ht="18" customHeight="1">
      <c r="A34" s="6" t="str">
        <f t="shared" si="0"/>
        <v>C11</v>
      </c>
      <c r="B34" s="3">
        <v>42194</v>
      </c>
      <c r="C34" s="3">
        <v>42194</v>
      </c>
      <c r="D34" s="4"/>
      <c r="E34" s="20" t="s">
        <v>146</v>
      </c>
      <c r="F34" s="5" t="s">
        <v>507</v>
      </c>
      <c r="G34" s="105" t="s">
        <v>897</v>
      </c>
      <c r="H34" s="5" t="s">
        <v>888</v>
      </c>
      <c r="I34" s="26" t="s">
        <v>94</v>
      </c>
      <c r="J34" s="19"/>
      <c r="K34" s="5">
        <v>896418</v>
      </c>
      <c r="L34" s="4">
        <f t="shared" si="1"/>
        <v>2657212602</v>
      </c>
      <c r="M34" s="18"/>
    </row>
    <row r="35" spans="1:13" ht="18" customHeight="1">
      <c r="A35" s="6" t="str">
        <f t="shared" si="0"/>
        <v>C11</v>
      </c>
      <c r="B35" s="3">
        <v>42194</v>
      </c>
      <c r="C35" s="3">
        <v>42194</v>
      </c>
      <c r="D35" s="4"/>
      <c r="E35" s="20" t="s">
        <v>146</v>
      </c>
      <c r="F35" s="5" t="s">
        <v>508</v>
      </c>
      <c r="G35" s="105" t="s">
        <v>897</v>
      </c>
      <c r="H35" s="5" t="s">
        <v>888</v>
      </c>
      <c r="I35" s="26" t="s">
        <v>35</v>
      </c>
      <c r="J35" s="19"/>
      <c r="K35" s="5">
        <v>89642</v>
      </c>
      <c r="L35" s="4">
        <f t="shared" si="1"/>
        <v>2657122960</v>
      </c>
      <c r="M35" s="18"/>
    </row>
    <row r="36" spans="1:13" ht="18" customHeight="1">
      <c r="A36" s="6" t="str">
        <f t="shared" si="0"/>
        <v>C12</v>
      </c>
      <c r="B36" s="3">
        <v>42197</v>
      </c>
      <c r="C36" s="3">
        <v>42197</v>
      </c>
      <c r="D36" s="4"/>
      <c r="E36" s="20" t="s">
        <v>147</v>
      </c>
      <c r="F36" s="5" t="s">
        <v>507</v>
      </c>
      <c r="G36" s="105" t="s">
        <v>898</v>
      </c>
      <c r="H36" s="5" t="s">
        <v>888</v>
      </c>
      <c r="I36" s="26" t="s">
        <v>94</v>
      </c>
      <c r="J36" s="19"/>
      <c r="K36" s="5">
        <v>934564</v>
      </c>
      <c r="L36" s="4">
        <f t="shared" si="1"/>
        <v>2656188396</v>
      </c>
      <c r="M36" s="18"/>
    </row>
    <row r="37" spans="1:13" ht="18" customHeight="1">
      <c r="A37" s="6" t="str">
        <f t="shared" si="0"/>
        <v>C12</v>
      </c>
      <c r="B37" s="3">
        <v>42197</v>
      </c>
      <c r="C37" s="3">
        <v>42197</v>
      </c>
      <c r="D37" s="4"/>
      <c r="E37" s="20" t="s">
        <v>147</v>
      </c>
      <c r="F37" s="5" t="s">
        <v>508</v>
      </c>
      <c r="G37" s="105" t="s">
        <v>898</v>
      </c>
      <c r="H37" s="5" t="s">
        <v>888</v>
      </c>
      <c r="I37" s="26" t="s">
        <v>35</v>
      </c>
      <c r="J37" s="19"/>
      <c r="K37" s="5">
        <v>93456</v>
      </c>
      <c r="L37" s="4">
        <f t="shared" si="1"/>
        <v>2656094940</v>
      </c>
      <c r="M37" s="18"/>
    </row>
    <row r="38" spans="1:13" ht="18" customHeight="1">
      <c r="A38" s="6" t="str">
        <f t="shared" si="0"/>
        <v>C13</v>
      </c>
      <c r="B38" s="3">
        <v>42200</v>
      </c>
      <c r="C38" s="3">
        <v>42200</v>
      </c>
      <c r="D38" s="4"/>
      <c r="E38" s="20" t="s">
        <v>148</v>
      </c>
      <c r="F38" s="5" t="s">
        <v>507</v>
      </c>
      <c r="G38" s="105" t="s">
        <v>899</v>
      </c>
      <c r="H38" s="5" t="s">
        <v>888</v>
      </c>
      <c r="I38" s="26" t="s">
        <v>94</v>
      </c>
      <c r="J38" s="19"/>
      <c r="K38" s="5">
        <v>934564</v>
      </c>
      <c r="L38" s="4">
        <f t="shared" si="1"/>
        <v>2655160376</v>
      </c>
      <c r="M38" s="18"/>
    </row>
    <row r="39" spans="1:13" ht="18" customHeight="1">
      <c r="A39" s="6" t="str">
        <f t="shared" si="0"/>
        <v>C13</v>
      </c>
      <c r="B39" s="3">
        <v>42200</v>
      </c>
      <c r="C39" s="3">
        <v>42200</v>
      </c>
      <c r="D39" s="4"/>
      <c r="E39" s="20" t="s">
        <v>148</v>
      </c>
      <c r="F39" s="5" t="s">
        <v>508</v>
      </c>
      <c r="G39" s="105" t="s">
        <v>899</v>
      </c>
      <c r="H39" s="5" t="s">
        <v>888</v>
      </c>
      <c r="I39" s="26" t="s">
        <v>35</v>
      </c>
      <c r="J39" s="19"/>
      <c r="K39" s="5">
        <v>93456</v>
      </c>
      <c r="L39" s="4">
        <f t="shared" si="1"/>
        <v>2655066920</v>
      </c>
      <c r="M39" s="18"/>
    </row>
    <row r="40" spans="1:13" ht="18" customHeight="1">
      <c r="A40" s="6" t="str">
        <f t="shared" si="0"/>
        <v>C14</v>
      </c>
      <c r="B40" s="3">
        <v>42200</v>
      </c>
      <c r="C40" s="3">
        <v>42200</v>
      </c>
      <c r="D40" s="4"/>
      <c r="E40" s="20" t="s">
        <v>149</v>
      </c>
      <c r="F40" s="5" t="s">
        <v>756</v>
      </c>
      <c r="G40" s="105" t="s">
        <v>900</v>
      </c>
      <c r="H40" s="5" t="s">
        <v>192</v>
      </c>
      <c r="I40" s="26" t="s">
        <v>94</v>
      </c>
      <c r="J40" s="19"/>
      <c r="K40" s="5">
        <v>203800</v>
      </c>
      <c r="L40" s="4">
        <f t="shared" si="1"/>
        <v>2654863120</v>
      </c>
      <c r="M40" s="18"/>
    </row>
    <row r="41" spans="1:13" ht="18" customHeight="1">
      <c r="A41" s="6" t="str">
        <f t="shared" si="0"/>
        <v>C14</v>
      </c>
      <c r="B41" s="3">
        <v>42200</v>
      </c>
      <c r="C41" s="3">
        <v>42200</v>
      </c>
      <c r="D41" s="4"/>
      <c r="E41" s="20" t="s">
        <v>149</v>
      </c>
      <c r="F41" s="5" t="s">
        <v>53</v>
      </c>
      <c r="G41" s="105" t="s">
        <v>900</v>
      </c>
      <c r="H41" s="5" t="s">
        <v>192</v>
      </c>
      <c r="I41" s="26" t="s">
        <v>54</v>
      </c>
      <c r="J41" s="19"/>
      <c r="K41" s="5">
        <v>717727</v>
      </c>
      <c r="L41" s="4">
        <f t="shared" si="1"/>
        <v>2654145393</v>
      </c>
      <c r="M41" s="18"/>
    </row>
    <row r="42" spans="1:13" ht="18" customHeight="1">
      <c r="A42" s="6" t="str">
        <f t="shared" si="0"/>
        <v>C14</v>
      </c>
      <c r="B42" s="3">
        <v>42200</v>
      </c>
      <c r="C42" s="3">
        <v>42200</v>
      </c>
      <c r="D42" s="4"/>
      <c r="E42" s="20" t="s">
        <v>149</v>
      </c>
      <c r="F42" s="5" t="s">
        <v>890</v>
      </c>
      <c r="G42" s="105" t="s">
        <v>900</v>
      </c>
      <c r="H42" s="5" t="s">
        <v>192</v>
      </c>
      <c r="I42" s="26" t="s">
        <v>35</v>
      </c>
      <c r="J42" s="19"/>
      <c r="K42" s="5">
        <v>92153</v>
      </c>
      <c r="L42" s="4">
        <f t="shared" si="1"/>
        <v>2654053240</v>
      </c>
      <c r="M42" s="18"/>
    </row>
    <row r="43" spans="1:13" ht="18" customHeight="1">
      <c r="A43" s="6" t="str">
        <f>D43&amp;E43</f>
        <v>C15</v>
      </c>
      <c r="B43" s="3">
        <v>42200</v>
      </c>
      <c r="C43" s="3">
        <v>42200</v>
      </c>
      <c r="D43" s="4"/>
      <c r="E43" s="20" t="s">
        <v>150</v>
      </c>
      <c r="F43" s="5" t="s">
        <v>332</v>
      </c>
      <c r="G43" s="5"/>
      <c r="H43" s="5" t="s">
        <v>335</v>
      </c>
      <c r="I43" s="26" t="s">
        <v>334</v>
      </c>
      <c r="J43" s="19"/>
      <c r="K43" s="5">
        <v>450000000</v>
      </c>
      <c r="L43" s="4">
        <f t="shared" si="1"/>
        <v>2204053240</v>
      </c>
      <c r="M43" s="18"/>
    </row>
    <row r="44" spans="1:13" ht="18" customHeight="1">
      <c r="A44" s="6" t="str">
        <f t="shared" si="0"/>
        <v>C16</v>
      </c>
      <c r="B44" s="3">
        <v>42202</v>
      </c>
      <c r="C44" s="3">
        <v>42202</v>
      </c>
      <c r="D44" s="4"/>
      <c r="E44" s="20" t="s">
        <v>151</v>
      </c>
      <c r="F44" s="5" t="s">
        <v>891</v>
      </c>
      <c r="G44" s="105"/>
      <c r="H44" s="5" t="s">
        <v>187</v>
      </c>
      <c r="I44" s="26" t="s">
        <v>36</v>
      </c>
      <c r="J44" s="19"/>
      <c r="K44" s="5">
        <v>500000000</v>
      </c>
      <c r="L44" s="4">
        <f t="shared" si="1"/>
        <v>1704053240</v>
      </c>
      <c r="M44" s="18"/>
    </row>
    <row r="45" spans="1:13" ht="18" customHeight="1">
      <c r="A45" s="6" t="str">
        <f t="shared" si="0"/>
        <v>C17</v>
      </c>
      <c r="B45" s="3">
        <v>42202</v>
      </c>
      <c r="C45" s="3">
        <v>42202</v>
      </c>
      <c r="D45" s="4"/>
      <c r="E45" s="20" t="s">
        <v>152</v>
      </c>
      <c r="F45" s="5" t="s">
        <v>891</v>
      </c>
      <c r="G45" s="105"/>
      <c r="H45" s="290" t="s">
        <v>924</v>
      </c>
      <c r="I45" s="26" t="s">
        <v>36</v>
      </c>
      <c r="J45" s="19"/>
      <c r="K45" s="5">
        <v>1000000000</v>
      </c>
      <c r="L45" s="4">
        <f t="shared" si="1"/>
        <v>704053240</v>
      </c>
      <c r="M45" s="18"/>
    </row>
    <row r="46" spans="1:13" ht="18" customHeight="1">
      <c r="A46" s="6" t="str">
        <f t="shared" si="0"/>
        <v>C18</v>
      </c>
      <c r="B46" s="3">
        <v>42203</v>
      </c>
      <c r="C46" s="3">
        <v>42203</v>
      </c>
      <c r="D46" s="4"/>
      <c r="E46" s="20" t="s">
        <v>153</v>
      </c>
      <c r="F46" s="5" t="s">
        <v>507</v>
      </c>
      <c r="G46" s="105" t="s">
        <v>901</v>
      </c>
      <c r="H46" s="5" t="s">
        <v>888</v>
      </c>
      <c r="I46" s="26" t="s">
        <v>94</v>
      </c>
      <c r="J46" s="19"/>
      <c r="K46" s="5">
        <v>1049000</v>
      </c>
      <c r="L46" s="4">
        <f t="shared" si="1"/>
        <v>703004240</v>
      </c>
      <c r="M46" s="18"/>
    </row>
    <row r="47" spans="1:13" ht="18" customHeight="1">
      <c r="A47" s="6" t="str">
        <f t="shared" si="0"/>
        <v>C18</v>
      </c>
      <c r="B47" s="3">
        <v>42203</v>
      </c>
      <c r="C47" s="3">
        <v>42203</v>
      </c>
      <c r="D47" s="4"/>
      <c r="E47" s="20" t="s">
        <v>153</v>
      </c>
      <c r="F47" s="5" t="s">
        <v>508</v>
      </c>
      <c r="G47" s="105" t="s">
        <v>901</v>
      </c>
      <c r="H47" s="5" t="s">
        <v>888</v>
      </c>
      <c r="I47" s="26" t="s">
        <v>35</v>
      </c>
      <c r="J47" s="19"/>
      <c r="K47" s="5">
        <v>104900</v>
      </c>
      <c r="L47" s="4">
        <f t="shared" si="1"/>
        <v>702899340</v>
      </c>
      <c r="M47" s="18"/>
    </row>
    <row r="48" spans="1:13" ht="18" customHeight="1">
      <c r="A48" s="6" t="str">
        <f t="shared" si="0"/>
        <v>C19</v>
      </c>
      <c r="B48" s="3">
        <v>42203</v>
      </c>
      <c r="C48" s="3">
        <v>42203</v>
      </c>
      <c r="D48" s="4"/>
      <c r="E48" s="20" t="s">
        <v>154</v>
      </c>
      <c r="F48" s="5" t="s">
        <v>53</v>
      </c>
      <c r="G48" s="105" t="s">
        <v>903</v>
      </c>
      <c r="H48" s="5" t="s">
        <v>888</v>
      </c>
      <c r="I48" s="26" t="s">
        <v>54</v>
      </c>
      <c r="J48" s="19"/>
      <c r="K48" s="5">
        <v>617245</v>
      </c>
      <c r="L48" s="4">
        <f t="shared" si="1"/>
        <v>702282095</v>
      </c>
      <c r="M48" s="18"/>
    </row>
    <row r="49" spans="1:13" ht="18" customHeight="1">
      <c r="A49" s="6" t="str">
        <f t="shared" si="0"/>
        <v>C19</v>
      </c>
      <c r="B49" s="3">
        <v>42203</v>
      </c>
      <c r="C49" s="3">
        <v>42203</v>
      </c>
      <c r="D49" s="4"/>
      <c r="E49" s="20" t="s">
        <v>154</v>
      </c>
      <c r="F49" s="5" t="s">
        <v>902</v>
      </c>
      <c r="G49" s="105" t="s">
        <v>903</v>
      </c>
      <c r="H49" s="5" t="s">
        <v>888</v>
      </c>
      <c r="I49" s="26" t="s">
        <v>35</v>
      </c>
      <c r="J49" s="19"/>
      <c r="K49" s="5">
        <v>61725</v>
      </c>
      <c r="L49" s="4">
        <f t="shared" si="1"/>
        <v>702220370</v>
      </c>
      <c r="M49" s="18"/>
    </row>
    <row r="50" spans="1:13" ht="18.75" customHeight="1">
      <c r="A50" s="6" t="str">
        <f t="shared" si="0"/>
        <v>T03</v>
      </c>
      <c r="B50" s="3">
        <v>42205</v>
      </c>
      <c r="C50" s="3">
        <v>42205</v>
      </c>
      <c r="D50" s="4" t="s">
        <v>41</v>
      </c>
      <c r="E50" s="39"/>
      <c r="F50" s="5" t="s">
        <v>743</v>
      </c>
      <c r="G50" s="5"/>
      <c r="H50" s="5" t="s">
        <v>187</v>
      </c>
      <c r="I50" s="26" t="s">
        <v>36</v>
      </c>
      <c r="J50" s="19">
        <v>2100000000</v>
      </c>
      <c r="K50" s="5"/>
      <c r="L50" s="4">
        <f t="shared" si="1"/>
        <v>2802220370</v>
      </c>
      <c r="M50" s="18"/>
    </row>
    <row r="51" spans="1:13" ht="18.75" customHeight="1">
      <c r="A51" s="6" t="str">
        <f t="shared" si="0"/>
        <v>C20</v>
      </c>
      <c r="B51" s="3">
        <v>42205</v>
      </c>
      <c r="C51" s="3">
        <v>42205</v>
      </c>
      <c r="D51" s="4"/>
      <c r="E51" s="20" t="s">
        <v>155</v>
      </c>
      <c r="F51" s="5" t="s">
        <v>891</v>
      </c>
      <c r="G51" s="5"/>
      <c r="H51" s="290" t="s">
        <v>924</v>
      </c>
      <c r="I51" s="26" t="s">
        <v>36</v>
      </c>
      <c r="J51" s="19"/>
      <c r="K51" s="5">
        <v>200000000</v>
      </c>
      <c r="L51" s="4">
        <f t="shared" si="1"/>
        <v>2602220370</v>
      </c>
      <c r="M51" s="18"/>
    </row>
    <row r="52" spans="1:13" ht="18.75" customHeight="1">
      <c r="A52" s="6" t="str">
        <f t="shared" si="0"/>
        <v>C21</v>
      </c>
      <c r="B52" s="3">
        <v>42205</v>
      </c>
      <c r="C52" s="3">
        <v>42205</v>
      </c>
      <c r="D52" s="4"/>
      <c r="E52" s="20" t="s">
        <v>156</v>
      </c>
      <c r="F52" s="5" t="s">
        <v>891</v>
      </c>
      <c r="G52" s="5"/>
      <c r="H52" s="290" t="s">
        <v>228</v>
      </c>
      <c r="I52" s="26" t="s">
        <v>36</v>
      </c>
      <c r="J52" s="19"/>
      <c r="K52" s="5">
        <v>500000000</v>
      </c>
      <c r="L52" s="4">
        <f t="shared" si="1"/>
        <v>2102220370</v>
      </c>
      <c r="M52" s="18"/>
    </row>
    <row r="53" spans="1:13" ht="18.75" customHeight="1">
      <c r="A53" s="6" t="str">
        <f t="shared" si="0"/>
        <v>C22</v>
      </c>
      <c r="B53" s="3">
        <v>42205</v>
      </c>
      <c r="C53" s="3">
        <v>42205</v>
      </c>
      <c r="D53" s="4"/>
      <c r="E53" s="20" t="s">
        <v>157</v>
      </c>
      <c r="F53" s="5" t="s">
        <v>53</v>
      </c>
      <c r="G53" s="105" t="s">
        <v>294</v>
      </c>
      <c r="H53" s="5" t="s">
        <v>192</v>
      </c>
      <c r="I53" s="26" t="s">
        <v>54</v>
      </c>
      <c r="J53" s="19"/>
      <c r="K53" s="5">
        <v>717727</v>
      </c>
      <c r="L53" s="4">
        <f t="shared" si="1"/>
        <v>2101502643</v>
      </c>
      <c r="M53" s="18"/>
    </row>
    <row r="54" spans="1:13" ht="18.75" customHeight="1">
      <c r="A54" s="6" t="str">
        <f t="shared" si="0"/>
        <v>C22</v>
      </c>
      <c r="B54" s="3">
        <v>42205</v>
      </c>
      <c r="C54" s="3">
        <v>42205</v>
      </c>
      <c r="D54" s="4"/>
      <c r="E54" s="20" t="s">
        <v>157</v>
      </c>
      <c r="F54" s="5" t="s">
        <v>902</v>
      </c>
      <c r="G54" s="105" t="s">
        <v>294</v>
      </c>
      <c r="H54" s="5" t="s">
        <v>192</v>
      </c>
      <c r="I54" s="26" t="s">
        <v>35</v>
      </c>
      <c r="J54" s="19"/>
      <c r="K54" s="5">
        <v>71773</v>
      </c>
      <c r="L54" s="4">
        <f t="shared" si="1"/>
        <v>2101430870</v>
      </c>
      <c r="M54" s="18"/>
    </row>
    <row r="55" spans="1:13" ht="18" customHeight="1">
      <c r="A55" s="6" t="str">
        <f t="shared" si="0"/>
        <v>C23</v>
      </c>
      <c r="B55" s="3">
        <v>42207</v>
      </c>
      <c r="C55" s="3">
        <v>42207</v>
      </c>
      <c r="D55" s="4"/>
      <c r="E55" s="20" t="s">
        <v>158</v>
      </c>
      <c r="F55" s="5" t="s">
        <v>507</v>
      </c>
      <c r="G55" s="105" t="s">
        <v>904</v>
      </c>
      <c r="H55" s="5" t="s">
        <v>888</v>
      </c>
      <c r="I55" s="26" t="s">
        <v>94</v>
      </c>
      <c r="J55" s="19"/>
      <c r="K55" s="5">
        <v>1111345</v>
      </c>
      <c r="L55" s="4">
        <f t="shared" si="1"/>
        <v>2100319525</v>
      </c>
      <c r="M55" s="18"/>
    </row>
    <row r="56" spans="1:13" ht="18" customHeight="1">
      <c r="A56" s="6" t="str">
        <f t="shared" si="0"/>
        <v>C23</v>
      </c>
      <c r="B56" s="3">
        <v>42207</v>
      </c>
      <c r="C56" s="3">
        <v>42207</v>
      </c>
      <c r="D56" s="4"/>
      <c r="E56" s="20" t="s">
        <v>158</v>
      </c>
      <c r="F56" s="5" t="s">
        <v>508</v>
      </c>
      <c r="G56" s="105" t="s">
        <v>904</v>
      </c>
      <c r="H56" s="5" t="s">
        <v>888</v>
      </c>
      <c r="I56" s="26" t="s">
        <v>35</v>
      </c>
      <c r="J56" s="19"/>
      <c r="K56" s="5">
        <v>111135</v>
      </c>
      <c r="L56" s="4">
        <f t="shared" si="1"/>
        <v>2100208390</v>
      </c>
      <c r="M56" s="18"/>
    </row>
    <row r="57" spans="1:13" ht="18" customHeight="1">
      <c r="A57" s="6" t="str">
        <f t="shared" si="0"/>
        <v>C23</v>
      </c>
      <c r="B57" s="3">
        <v>42207</v>
      </c>
      <c r="C57" s="3">
        <v>42207</v>
      </c>
      <c r="D57" s="4"/>
      <c r="E57" s="20" t="s">
        <v>158</v>
      </c>
      <c r="F57" s="5" t="s">
        <v>53</v>
      </c>
      <c r="G57" s="105" t="s">
        <v>905</v>
      </c>
      <c r="H57" s="5" t="s">
        <v>888</v>
      </c>
      <c r="I57" s="26" t="s">
        <v>54</v>
      </c>
      <c r="J57" s="19"/>
      <c r="K57" s="5">
        <v>947527</v>
      </c>
      <c r="L57" s="4">
        <f t="shared" si="1"/>
        <v>2099260863</v>
      </c>
      <c r="M57" s="18"/>
    </row>
    <row r="58" spans="1:13" ht="18" customHeight="1">
      <c r="A58" s="6" t="str">
        <f t="shared" si="0"/>
        <v>C23</v>
      </c>
      <c r="B58" s="3">
        <v>42207</v>
      </c>
      <c r="C58" s="3">
        <v>42207</v>
      </c>
      <c r="D58" s="4"/>
      <c r="E58" s="20" t="s">
        <v>158</v>
      </c>
      <c r="F58" s="5" t="s">
        <v>902</v>
      </c>
      <c r="G58" s="105" t="s">
        <v>905</v>
      </c>
      <c r="H58" s="5" t="s">
        <v>888</v>
      </c>
      <c r="I58" s="26" t="s">
        <v>35</v>
      </c>
      <c r="J58" s="19"/>
      <c r="K58" s="5">
        <v>94753</v>
      </c>
      <c r="L58" s="4">
        <f t="shared" si="1"/>
        <v>2099166110</v>
      </c>
      <c r="M58" s="18"/>
    </row>
    <row r="59" spans="1:13" ht="18" customHeight="1">
      <c r="A59" s="6" t="str">
        <f t="shared" si="0"/>
        <v>C24</v>
      </c>
      <c r="B59" s="3">
        <v>42208</v>
      </c>
      <c r="C59" s="3">
        <v>42208</v>
      </c>
      <c r="D59" s="4"/>
      <c r="E59" s="20" t="s">
        <v>159</v>
      </c>
      <c r="F59" s="5" t="s">
        <v>891</v>
      </c>
      <c r="G59" s="105"/>
      <c r="H59" s="5" t="s">
        <v>187</v>
      </c>
      <c r="I59" s="26" t="s">
        <v>36</v>
      </c>
      <c r="J59" s="19"/>
      <c r="K59" s="5">
        <v>20000000</v>
      </c>
      <c r="L59" s="4">
        <f t="shared" si="1"/>
        <v>2079166110</v>
      </c>
      <c r="M59" s="18"/>
    </row>
    <row r="60" spans="1:13" ht="18" customHeight="1">
      <c r="A60" s="6" t="str">
        <f t="shared" si="0"/>
        <v>T04</v>
      </c>
      <c r="B60" s="3">
        <v>42213</v>
      </c>
      <c r="C60" s="3">
        <v>42213</v>
      </c>
      <c r="D60" s="4" t="s">
        <v>42</v>
      </c>
      <c r="E60" s="39"/>
      <c r="F60" s="5" t="s">
        <v>743</v>
      </c>
      <c r="G60" s="5"/>
      <c r="H60" s="5" t="s">
        <v>187</v>
      </c>
      <c r="I60" s="26" t="s">
        <v>36</v>
      </c>
      <c r="J60" s="19">
        <v>1000000000</v>
      </c>
      <c r="K60" s="5"/>
      <c r="L60" s="4">
        <f t="shared" si="1"/>
        <v>3079166110</v>
      </c>
      <c r="M60" s="18"/>
    </row>
    <row r="61" spans="1:13" ht="18" customHeight="1">
      <c r="A61" s="6" t="str">
        <f t="shared" si="0"/>
        <v>C25</v>
      </c>
      <c r="B61" s="3">
        <v>42214</v>
      </c>
      <c r="C61" s="3">
        <v>42214</v>
      </c>
      <c r="D61" s="4"/>
      <c r="E61" s="20" t="s">
        <v>160</v>
      </c>
      <c r="F61" s="5" t="s">
        <v>507</v>
      </c>
      <c r="G61" s="105" t="s">
        <v>906</v>
      </c>
      <c r="H61" s="5" t="s">
        <v>888</v>
      </c>
      <c r="I61" s="26" t="s">
        <v>94</v>
      </c>
      <c r="J61" s="19"/>
      <c r="K61" s="5">
        <v>904145</v>
      </c>
      <c r="L61" s="4">
        <f t="shared" si="1"/>
        <v>3078261965</v>
      </c>
      <c r="M61" s="18"/>
    </row>
    <row r="62" spans="1:13" ht="18" customHeight="1">
      <c r="A62" s="6" t="str">
        <f t="shared" si="0"/>
        <v>C25</v>
      </c>
      <c r="B62" s="3">
        <v>42214</v>
      </c>
      <c r="C62" s="3">
        <v>42214</v>
      </c>
      <c r="D62" s="4"/>
      <c r="E62" s="20" t="s">
        <v>160</v>
      </c>
      <c r="F62" s="5" t="s">
        <v>508</v>
      </c>
      <c r="G62" s="105" t="s">
        <v>906</v>
      </c>
      <c r="H62" s="5" t="s">
        <v>888</v>
      </c>
      <c r="I62" s="26" t="s">
        <v>35</v>
      </c>
      <c r="J62" s="19"/>
      <c r="K62" s="5">
        <v>90415</v>
      </c>
      <c r="L62" s="4">
        <f t="shared" si="1"/>
        <v>3078171550</v>
      </c>
      <c r="M62" s="18"/>
    </row>
    <row r="63" spans="1:13" ht="18" customHeight="1">
      <c r="A63" s="6" t="str">
        <f t="shared" si="0"/>
        <v>C26</v>
      </c>
      <c r="B63" s="3">
        <v>42214</v>
      </c>
      <c r="C63" s="3">
        <v>42214</v>
      </c>
      <c r="D63" s="4"/>
      <c r="E63" s="20" t="s">
        <v>161</v>
      </c>
      <c r="F63" s="5" t="s">
        <v>907</v>
      </c>
      <c r="G63" s="105" t="s">
        <v>179</v>
      </c>
      <c r="H63" s="5" t="s">
        <v>565</v>
      </c>
      <c r="I63" s="26" t="s">
        <v>94</v>
      </c>
      <c r="J63" s="19"/>
      <c r="K63" s="5">
        <v>15000000</v>
      </c>
      <c r="L63" s="4">
        <f t="shared" si="1"/>
        <v>3063171550</v>
      </c>
      <c r="M63" s="18"/>
    </row>
    <row r="64" spans="1:13" ht="18" customHeight="1">
      <c r="A64" s="6" t="str">
        <f t="shared" si="0"/>
        <v>C26</v>
      </c>
      <c r="B64" s="3">
        <v>42214</v>
      </c>
      <c r="C64" s="3">
        <v>42214</v>
      </c>
      <c r="D64" s="4"/>
      <c r="E64" s="20" t="s">
        <v>161</v>
      </c>
      <c r="F64" s="5" t="s">
        <v>908</v>
      </c>
      <c r="G64" s="105" t="s">
        <v>179</v>
      </c>
      <c r="H64" s="5" t="s">
        <v>565</v>
      </c>
      <c r="I64" s="26" t="s">
        <v>35</v>
      </c>
      <c r="J64" s="19"/>
      <c r="K64" s="5">
        <v>1500000</v>
      </c>
      <c r="L64" s="4">
        <f t="shared" si="1"/>
        <v>3061671550</v>
      </c>
      <c r="M64" s="18"/>
    </row>
    <row r="65" spans="1:13" ht="18" customHeight="1">
      <c r="A65" s="6" t="str">
        <f t="shared" si="0"/>
        <v>C27</v>
      </c>
      <c r="B65" s="3">
        <v>42214</v>
      </c>
      <c r="C65" s="3">
        <v>42214</v>
      </c>
      <c r="D65" s="4"/>
      <c r="E65" s="20" t="s">
        <v>162</v>
      </c>
      <c r="F65" s="5" t="s">
        <v>909</v>
      </c>
      <c r="G65" s="105" t="s">
        <v>911</v>
      </c>
      <c r="H65" s="5" t="s">
        <v>912</v>
      </c>
      <c r="I65" s="26" t="s">
        <v>94</v>
      </c>
      <c r="J65" s="19"/>
      <c r="K65" s="5">
        <v>4470400</v>
      </c>
      <c r="L65" s="4">
        <f t="shared" si="1"/>
        <v>3057201150</v>
      </c>
      <c r="M65" s="18"/>
    </row>
    <row r="66" spans="1:13" ht="18" customHeight="1">
      <c r="A66" s="6" t="str">
        <f t="shared" si="0"/>
        <v>C27</v>
      </c>
      <c r="B66" s="3">
        <v>42214</v>
      </c>
      <c r="C66" s="3">
        <v>42214</v>
      </c>
      <c r="D66" s="4"/>
      <c r="E66" s="20" t="s">
        <v>162</v>
      </c>
      <c r="F66" s="5" t="s">
        <v>910</v>
      </c>
      <c r="G66" s="105" t="s">
        <v>911</v>
      </c>
      <c r="H66" s="5" t="s">
        <v>912</v>
      </c>
      <c r="I66" s="26" t="s">
        <v>35</v>
      </c>
      <c r="J66" s="19"/>
      <c r="K66" s="5">
        <v>447040</v>
      </c>
      <c r="L66" s="4">
        <f t="shared" si="1"/>
        <v>3056754110</v>
      </c>
      <c r="M66" s="18"/>
    </row>
    <row r="67" spans="1:13" ht="18" customHeight="1">
      <c r="A67" s="6" t="str">
        <f t="shared" si="0"/>
        <v>C28</v>
      </c>
      <c r="B67" s="3">
        <v>42215</v>
      </c>
      <c r="C67" s="3">
        <v>42215</v>
      </c>
      <c r="D67" s="4"/>
      <c r="E67" s="20" t="s">
        <v>163</v>
      </c>
      <c r="F67" s="5" t="s">
        <v>913</v>
      </c>
      <c r="G67" s="105" t="s">
        <v>915</v>
      </c>
      <c r="H67" s="5" t="s">
        <v>916</v>
      </c>
      <c r="I67" s="26" t="s">
        <v>94</v>
      </c>
      <c r="J67" s="19"/>
      <c r="K67" s="5">
        <v>12240000</v>
      </c>
      <c r="L67" s="4">
        <f t="shared" si="1"/>
        <v>3044514110</v>
      </c>
      <c r="M67" s="18"/>
    </row>
    <row r="68" spans="1:13" ht="18" customHeight="1">
      <c r="A68" s="6" t="str">
        <f t="shared" si="0"/>
        <v>C28</v>
      </c>
      <c r="B68" s="3">
        <v>42215</v>
      </c>
      <c r="C68" s="3">
        <v>42215</v>
      </c>
      <c r="D68" s="4"/>
      <c r="E68" s="20" t="s">
        <v>163</v>
      </c>
      <c r="F68" s="5" t="s">
        <v>914</v>
      </c>
      <c r="G68" s="105" t="s">
        <v>915</v>
      </c>
      <c r="H68" s="5" t="s">
        <v>916</v>
      </c>
      <c r="I68" s="26" t="s">
        <v>35</v>
      </c>
      <c r="J68" s="19"/>
      <c r="K68" s="5">
        <v>1224000</v>
      </c>
      <c r="L68" s="4">
        <f t="shared" si="1"/>
        <v>3043290110</v>
      </c>
      <c r="M68" s="18"/>
    </row>
    <row r="69" spans="1:13" ht="18" customHeight="1">
      <c r="A69" s="6" t="str">
        <f>D69&amp;E69</f>
        <v>C29</v>
      </c>
      <c r="B69" s="3">
        <v>42215</v>
      </c>
      <c r="C69" s="3">
        <v>42215</v>
      </c>
      <c r="D69" s="4"/>
      <c r="E69" s="20" t="s">
        <v>164</v>
      </c>
      <c r="F69" s="5" t="s">
        <v>332</v>
      </c>
      <c r="G69" s="5"/>
      <c r="H69" s="5" t="s">
        <v>335</v>
      </c>
      <c r="I69" s="26" t="s">
        <v>334</v>
      </c>
      <c r="J69" s="19"/>
      <c r="K69" s="5">
        <v>400000000</v>
      </c>
      <c r="L69" s="4">
        <f t="shared" si="1"/>
        <v>2643290110</v>
      </c>
      <c r="M69" s="18"/>
    </row>
    <row r="70" spans="1:13" ht="18" customHeight="1">
      <c r="A70" s="6" t="str">
        <f>D70&amp;E70</f>
        <v>C30</v>
      </c>
      <c r="B70" s="3">
        <v>42215</v>
      </c>
      <c r="C70" s="3">
        <v>42215</v>
      </c>
      <c r="D70" s="4"/>
      <c r="E70" s="20" t="s">
        <v>165</v>
      </c>
      <c r="F70" s="5" t="s">
        <v>332</v>
      </c>
      <c r="G70" s="5"/>
      <c r="H70" s="5" t="s">
        <v>333</v>
      </c>
      <c r="I70" s="26" t="s">
        <v>334</v>
      </c>
      <c r="J70" s="19"/>
      <c r="K70" s="5">
        <v>250000000</v>
      </c>
      <c r="L70" s="4">
        <f t="shared" si="1"/>
        <v>2393290110</v>
      </c>
      <c r="M70" s="18"/>
    </row>
    <row r="71" spans="1:13" ht="18" customHeight="1">
      <c r="A71" s="6" t="str">
        <f t="shared" si="0"/>
        <v>C31</v>
      </c>
      <c r="B71" s="3">
        <v>42216</v>
      </c>
      <c r="C71" s="3">
        <v>42216</v>
      </c>
      <c r="D71" s="4"/>
      <c r="E71" s="20" t="s">
        <v>166</v>
      </c>
      <c r="F71" s="5" t="s">
        <v>507</v>
      </c>
      <c r="G71" s="105" t="s">
        <v>917</v>
      </c>
      <c r="H71" s="5" t="s">
        <v>888</v>
      </c>
      <c r="I71" s="26" t="s">
        <v>94</v>
      </c>
      <c r="J71" s="19"/>
      <c r="K71" s="5">
        <v>809964</v>
      </c>
      <c r="L71" s="4">
        <f t="shared" si="1"/>
        <v>2392480146</v>
      </c>
      <c r="M71" s="18"/>
    </row>
    <row r="72" spans="1:13" ht="18" customHeight="1">
      <c r="A72" s="6" t="str">
        <f t="shared" si="0"/>
        <v>C31</v>
      </c>
      <c r="B72" s="3">
        <v>42216</v>
      </c>
      <c r="C72" s="3">
        <v>42216</v>
      </c>
      <c r="D72" s="4"/>
      <c r="E72" s="20" t="s">
        <v>166</v>
      </c>
      <c r="F72" s="5" t="s">
        <v>508</v>
      </c>
      <c r="G72" s="105" t="s">
        <v>917</v>
      </c>
      <c r="H72" s="5" t="s">
        <v>888</v>
      </c>
      <c r="I72" s="26" t="s">
        <v>35</v>
      </c>
      <c r="J72" s="19"/>
      <c r="K72" s="5">
        <v>80996</v>
      </c>
      <c r="L72" s="4">
        <f t="shared" si="1"/>
        <v>2392399150</v>
      </c>
      <c r="M72" s="18"/>
    </row>
    <row r="73" spans="1:13" ht="18" customHeight="1">
      <c r="A73" s="6" t="str">
        <f t="shared" si="0"/>
        <v>C32</v>
      </c>
      <c r="B73" s="3">
        <v>42216</v>
      </c>
      <c r="C73" s="3">
        <v>42216</v>
      </c>
      <c r="D73" s="4"/>
      <c r="E73" s="20" t="s">
        <v>167</v>
      </c>
      <c r="F73" s="5" t="s">
        <v>913</v>
      </c>
      <c r="G73" s="105" t="s">
        <v>918</v>
      </c>
      <c r="H73" s="5" t="s">
        <v>916</v>
      </c>
      <c r="I73" s="26" t="s">
        <v>94</v>
      </c>
      <c r="J73" s="19"/>
      <c r="K73" s="5">
        <v>6523920</v>
      </c>
      <c r="L73" s="4">
        <f t="shared" si="1"/>
        <v>2385875230</v>
      </c>
      <c r="M73" s="18"/>
    </row>
    <row r="74" spans="1:13" ht="18" customHeight="1">
      <c r="A74" s="6" t="str">
        <f t="shared" si="0"/>
        <v>C32</v>
      </c>
      <c r="B74" s="3">
        <v>42216</v>
      </c>
      <c r="C74" s="3">
        <v>42216</v>
      </c>
      <c r="D74" s="4"/>
      <c r="E74" s="20" t="s">
        <v>167</v>
      </c>
      <c r="F74" s="5" t="s">
        <v>914</v>
      </c>
      <c r="G74" s="105" t="s">
        <v>918</v>
      </c>
      <c r="H74" s="5" t="s">
        <v>916</v>
      </c>
      <c r="I74" s="26" t="s">
        <v>35</v>
      </c>
      <c r="J74" s="19"/>
      <c r="K74" s="5">
        <v>652392</v>
      </c>
      <c r="L74" s="4">
        <f t="shared" si="1"/>
        <v>2385222838</v>
      </c>
      <c r="M74" s="18"/>
    </row>
    <row r="75" spans="1:13" ht="18" customHeight="1">
      <c r="A75" s="6" t="str">
        <f t="shared" si="0"/>
        <v>C33</v>
      </c>
      <c r="B75" s="3">
        <v>42216</v>
      </c>
      <c r="C75" s="3">
        <v>42216</v>
      </c>
      <c r="D75" s="4"/>
      <c r="E75" s="20" t="s">
        <v>168</v>
      </c>
      <c r="F75" s="5" t="s">
        <v>919</v>
      </c>
      <c r="G75" s="5"/>
      <c r="H75" s="5" t="s">
        <v>501</v>
      </c>
      <c r="I75" s="26" t="s">
        <v>94</v>
      </c>
      <c r="J75" s="19"/>
      <c r="K75" s="5">
        <v>2058200</v>
      </c>
      <c r="L75" s="4">
        <f t="shared" si="1"/>
        <v>2383164638</v>
      </c>
      <c r="M75" s="18"/>
    </row>
    <row r="76" spans="1:13" ht="18" customHeight="1">
      <c r="A76" s="6" t="str">
        <f t="shared" si="0"/>
        <v>C33</v>
      </c>
      <c r="B76" s="3">
        <v>42216</v>
      </c>
      <c r="C76" s="3">
        <v>42216</v>
      </c>
      <c r="D76" s="4"/>
      <c r="E76" s="20" t="s">
        <v>168</v>
      </c>
      <c r="F76" s="5" t="s">
        <v>920</v>
      </c>
      <c r="G76" s="105"/>
      <c r="H76" s="5" t="s">
        <v>501</v>
      </c>
      <c r="I76" s="26" t="s">
        <v>35</v>
      </c>
      <c r="J76" s="19"/>
      <c r="K76" s="5">
        <v>205820</v>
      </c>
      <c r="L76" s="4">
        <f t="shared" si="1"/>
        <v>2382958818</v>
      </c>
      <c r="M76" s="18"/>
    </row>
    <row r="77" spans="1:13" ht="18" customHeight="1">
      <c r="A77" s="6" t="str">
        <f t="shared" si="0"/>
        <v>C34</v>
      </c>
      <c r="B77" s="3">
        <v>42216</v>
      </c>
      <c r="C77" s="3">
        <v>42216</v>
      </c>
      <c r="D77" s="4"/>
      <c r="E77" s="20" t="s">
        <v>169</v>
      </c>
      <c r="F77" s="5" t="s">
        <v>50</v>
      </c>
      <c r="G77" s="105" t="s">
        <v>925</v>
      </c>
      <c r="H77" s="5" t="s">
        <v>192</v>
      </c>
      <c r="I77" s="26" t="s">
        <v>94</v>
      </c>
      <c r="J77" s="19"/>
      <c r="K77" s="5">
        <v>91455</v>
      </c>
      <c r="L77" s="4">
        <f t="shared" si="1"/>
        <v>2382867363</v>
      </c>
      <c r="M77" s="18"/>
    </row>
    <row r="78" spans="1:13" ht="18" customHeight="1">
      <c r="A78" s="6" t="str">
        <f t="shared" si="0"/>
        <v>C34</v>
      </c>
      <c r="B78" s="3">
        <v>42216</v>
      </c>
      <c r="C78" s="3">
        <v>42216</v>
      </c>
      <c r="D78" s="4"/>
      <c r="E78" s="20" t="s">
        <v>169</v>
      </c>
      <c r="F78" s="5" t="s">
        <v>53</v>
      </c>
      <c r="G78" s="105" t="s">
        <v>925</v>
      </c>
      <c r="H78" s="5" t="s">
        <v>192</v>
      </c>
      <c r="I78" s="26" t="s">
        <v>54</v>
      </c>
      <c r="J78" s="19"/>
      <c r="K78" s="5">
        <v>600545</v>
      </c>
      <c r="L78" s="4">
        <f t="shared" si="1"/>
        <v>2382266818</v>
      </c>
      <c r="M78" s="18"/>
    </row>
    <row r="79" spans="1:13" ht="18" customHeight="1">
      <c r="A79" s="6" t="str">
        <f t="shared" si="0"/>
        <v>C34</v>
      </c>
      <c r="B79" s="3">
        <v>42216</v>
      </c>
      <c r="C79" s="3">
        <v>42216</v>
      </c>
      <c r="D79" s="4"/>
      <c r="E79" s="20" t="s">
        <v>169</v>
      </c>
      <c r="F79" s="5" t="s">
        <v>890</v>
      </c>
      <c r="G79" s="105" t="s">
        <v>925</v>
      </c>
      <c r="H79" s="5" t="s">
        <v>192</v>
      </c>
      <c r="I79" s="26" t="s">
        <v>35</v>
      </c>
      <c r="J79" s="19"/>
      <c r="K79" s="5">
        <v>69200</v>
      </c>
      <c r="L79" s="4">
        <f t="shared" si="1"/>
        <v>2382197618</v>
      </c>
      <c r="M79" s="18"/>
    </row>
    <row r="80" spans="1:13" ht="18" customHeight="1">
      <c r="A80" s="6" t="str">
        <f t="shared" ref="A80" si="3">D80&amp;E80</f>
        <v>C35</v>
      </c>
      <c r="B80" s="3">
        <v>42216</v>
      </c>
      <c r="C80" s="3">
        <v>42216</v>
      </c>
      <c r="D80" s="4"/>
      <c r="E80" s="20" t="s">
        <v>170</v>
      </c>
      <c r="F80" s="5" t="s">
        <v>1031</v>
      </c>
      <c r="G80" s="105" t="s">
        <v>1032</v>
      </c>
      <c r="H80" s="5" t="s">
        <v>186</v>
      </c>
      <c r="I80" s="26" t="s">
        <v>94</v>
      </c>
      <c r="J80" s="19"/>
      <c r="K80" s="5">
        <v>100000</v>
      </c>
      <c r="L80" s="4">
        <f t="shared" si="1"/>
        <v>2382097618</v>
      </c>
      <c r="M80" s="18"/>
    </row>
    <row r="81" spans="1:13" ht="18" customHeight="1">
      <c r="A81" s="6" t="str">
        <f t="shared" si="0"/>
        <v>C36</v>
      </c>
      <c r="B81" s="3">
        <v>42216</v>
      </c>
      <c r="C81" s="3">
        <f>B81</f>
        <v>42216</v>
      </c>
      <c r="D81" s="4"/>
      <c r="E81" s="20" t="s">
        <v>171</v>
      </c>
      <c r="F81" s="5" t="s">
        <v>848</v>
      </c>
      <c r="G81" s="5"/>
      <c r="H81" s="5" t="s">
        <v>261</v>
      </c>
      <c r="I81" s="26" t="s">
        <v>37</v>
      </c>
      <c r="J81" s="19"/>
      <c r="K81" s="5">
        <v>135942735</v>
      </c>
      <c r="L81" s="4">
        <f t="shared" si="1"/>
        <v>2246154883</v>
      </c>
      <c r="M81" s="18"/>
    </row>
    <row r="82" spans="1:13" ht="18" customHeight="1">
      <c r="A82" s="6" t="str">
        <f t="shared" si="0"/>
        <v>C37</v>
      </c>
      <c r="B82" s="3">
        <v>42216</v>
      </c>
      <c r="C82" s="3">
        <f>B82</f>
        <v>42216</v>
      </c>
      <c r="D82" s="4"/>
      <c r="E82" s="20" t="s">
        <v>172</v>
      </c>
      <c r="F82" s="5" t="s">
        <v>849</v>
      </c>
      <c r="G82" s="5"/>
      <c r="H82" s="5" t="s">
        <v>850</v>
      </c>
      <c r="I82" s="26" t="s">
        <v>38</v>
      </c>
      <c r="J82" s="19"/>
      <c r="K82" s="5">
        <v>28704000</v>
      </c>
      <c r="L82" s="4">
        <f t="shared" si="1"/>
        <v>2217450883</v>
      </c>
      <c r="M82" s="18"/>
    </row>
    <row r="83" spans="1:13" ht="18" customHeight="1">
      <c r="A83" s="6" t="str">
        <f t="shared" ref="A83:A85" si="4">D83&amp;E83</f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4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4060000000</v>
      </c>
      <c r="K84" s="32">
        <f>SUM(K13:K83)</f>
        <v>4037703882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4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2217450883</v>
      </c>
      <c r="M85" s="36" t="s">
        <v>30</v>
      </c>
    </row>
    <row r="87" spans="1:13">
      <c r="B87" s="25" t="s">
        <v>47</v>
      </c>
    </row>
    <row r="88" spans="1:13">
      <c r="B88" s="25" t="s">
        <v>936</v>
      </c>
    </row>
    <row r="89" spans="1:13">
      <c r="L89" s="8" t="s">
        <v>937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  <row r="97" spans="3:19" s="419" customFormat="1">
      <c r="C97" s="420" t="s">
        <v>1388</v>
      </c>
      <c r="L97" s="420" t="s">
        <v>1389</v>
      </c>
      <c r="O97" s="6"/>
      <c r="P97" s="6"/>
      <c r="Q97" s="6"/>
      <c r="R97" s="6"/>
      <c r="S97" s="6"/>
    </row>
  </sheetData>
  <autoFilter ref="B11:M85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43 H27 H69">
    <cfRule type="expression" dxfId="21" priority="1" stopIfTrue="1">
      <formula>$C27&lt;&gt;""</formula>
    </cfRule>
  </conditionalFormatting>
  <printOptions horizontalCentered="1"/>
  <pageMargins left="0.9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31"/>
  </sheetPr>
  <dimension ref="A1:S103"/>
  <sheetViews>
    <sheetView topLeftCell="B8" zoomScale="90" workbookViewId="0">
      <pane ySplit="5" topLeftCell="A85" activePane="bottomLeft" state="frozen"/>
      <selection activeCell="B8" sqref="B8"/>
      <selection pane="bottomLeft" activeCell="F98" sqref="F98"/>
    </sheetView>
  </sheetViews>
  <sheetFormatPr defaultRowHeight="15"/>
  <cols>
    <col min="1" max="1" width="4.7109375" style="6" hidden="1" customWidth="1"/>
    <col min="2" max="3" width="9.140625" style="6" customWidth="1"/>
    <col min="4" max="5" width="6.85546875" style="6" customWidth="1"/>
    <col min="6" max="6" width="33.7109375" style="6" customWidth="1"/>
    <col min="7" max="7" width="9.28515625" style="6" hidden="1" customWidth="1"/>
    <col min="8" max="8" width="40.7109375" style="6" hidden="1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60" t="s">
        <v>132</v>
      </c>
      <c r="K1" s="460"/>
      <c r="L1" s="460"/>
      <c r="M1" s="460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61" t="s">
        <v>133</v>
      </c>
      <c r="K2" s="461"/>
      <c r="L2" s="461"/>
      <c r="M2" s="461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61"/>
      <c r="K3" s="461"/>
      <c r="L3" s="461"/>
      <c r="M3" s="461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62" t="s">
        <v>17</v>
      </c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</row>
    <row r="6" spans="1:13">
      <c r="B6" s="466" t="s">
        <v>18</v>
      </c>
      <c r="C6" s="466"/>
      <c r="D6" s="466"/>
      <c r="E6" s="466"/>
      <c r="F6" s="466"/>
      <c r="G6" s="466"/>
      <c r="H6" s="466"/>
      <c r="I6" s="466"/>
      <c r="J6" s="466"/>
      <c r="K6" s="466"/>
      <c r="L6" s="466"/>
      <c r="M6" s="466"/>
    </row>
    <row r="7" spans="1:13">
      <c r="B7" s="466" t="s">
        <v>1</v>
      </c>
      <c r="C7" s="466"/>
      <c r="D7" s="466"/>
      <c r="E7" s="466"/>
      <c r="F7" s="466"/>
      <c r="G7" s="466"/>
      <c r="H7" s="466"/>
      <c r="I7" s="466"/>
      <c r="J7" s="466"/>
      <c r="K7" s="466"/>
      <c r="L7" s="466"/>
      <c r="M7" s="466"/>
    </row>
    <row r="8" spans="1:13">
      <c r="B8" s="15"/>
      <c r="L8" s="15" t="s">
        <v>19</v>
      </c>
    </row>
    <row r="9" spans="1:13" ht="30" customHeight="1">
      <c r="B9" s="463" t="s">
        <v>20</v>
      </c>
      <c r="C9" s="463" t="s">
        <v>21</v>
      </c>
      <c r="D9" s="463" t="s">
        <v>2</v>
      </c>
      <c r="E9" s="463"/>
      <c r="F9" s="463" t="s">
        <v>3</v>
      </c>
      <c r="G9" s="464" t="s">
        <v>134</v>
      </c>
      <c r="H9" s="464" t="s">
        <v>135</v>
      </c>
      <c r="I9" s="463" t="s">
        <v>22</v>
      </c>
      <c r="J9" s="463" t="s">
        <v>23</v>
      </c>
      <c r="K9" s="463"/>
      <c r="L9" s="463" t="s">
        <v>24</v>
      </c>
      <c r="M9" s="463" t="s">
        <v>4</v>
      </c>
    </row>
    <row r="10" spans="1:13" ht="20.25" customHeight="1">
      <c r="B10" s="463"/>
      <c r="C10" s="463"/>
      <c r="D10" s="16" t="s">
        <v>5</v>
      </c>
      <c r="E10" s="16" t="s">
        <v>6</v>
      </c>
      <c r="F10" s="463"/>
      <c r="G10" s="465"/>
      <c r="H10" s="465"/>
      <c r="I10" s="463"/>
      <c r="J10" s="16" t="s">
        <v>25</v>
      </c>
      <c r="K10" s="16" t="s">
        <v>26</v>
      </c>
      <c r="L10" s="463"/>
      <c r="M10" s="463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2217450883</v>
      </c>
      <c r="M12" s="29"/>
    </row>
    <row r="13" spans="1:13" ht="17.25" customHeight="1">
      <c r="A13" s="6" t="str">
        <f>D13&amp;E13</f>
        <v>C01</v>
      </c>
      <c r="B13" s="3">
        <v>42217</v>
      </c>
      <c r="C13" s="3">
        <v>42215</v>
      </c>
      <c r="D13" s="4"/>
      <c r="E13" s="20" t="s">
        <v>136</v>
      </c>
      <c r="F13" s="5" t="s">
        <v>1022</v>
      </c>
      <c r="G13" s="105" t="s">
        <v>1021</v>
      </c>
      <c r="H13" s="5" t="s">
        <v>296</v>
      </c>
      <c r="I13" s="26" t="s">
        <v>94</v>
      </c>
      <c r="J13" s="19"/>
      <c r="K13" s="5">
        <v>17984750</v>
      </c>
      <c r="L13" s="4">
        <f>IF(F13&lt;&gt;"",L12+J13-K13,0)</f>
        <v>2199466133</v>
      </c>
      <c r="M13" s="18"/>
    </row>
    <row r="14" spans="1:13" ht="17.25" customHeight="1">
      <c r="A14" s="6" t="str">
        <f>D14&amp;E14</f>
        <v>C01</v>
      </c>
      <c r="B14" s="3">
        <v>42217</v>
      </c>
      <c r="C14" s="3">
        <v>42215</v>
      </c>
      <c r="D14" s="4"/>
      <c r="E14" s="20" t="s">
        <v>136</v>
      </c>
      <c r="F14" s="5" t="s">
        <v>1023</v>
      </c>
      <c r="G14" s="105" t="s">
        <v>1021</v>
      </c>
      <c r="H14" s="5" t="s">
        <v>296</v>
      </c>
      <c r="I14" s="26" t="s">
        <v>35</v>
      </c>
      <c r="J14" s="19"/>
      <c r="K14" s="5">
        <v>1024875</v>
      </c>
      <c r="L14" s="4">
        <f t="shared" ref="L14:L77" si="0">IF(F14&lt;&gt;"",L13+J14-K14,0)</f>
        <v>2198441258</v>
      </c>
      <c r="M14" s="18"/>
    </row>
    <row r="15" spans="1:13" ht="17.25" customHeight="1">
      <c r="A15" s="6" t="str">
        <f>D15&amp;E15</f>
        <v>C02</v>
      </c>
      <c r="B15" s="3">
        <v>42217</v>
      </c>
      <c r="C15" s="3">
        <v>42216</v>
      </c>
      <c r="D15" s="4"/>
      <c r="E15" s="20" t="s">
        <v>137</v>
      </c>
      <c r="F15" s="5" t="s">
        <v>940</v>
      </c>
      <c r="G15" s="105" t="s">
        <v>941</v>
      </c>
      <c r="H15" s="5" t="s">
        <v>270</v>
      </c>
      <c r="I15" s="26" t="s">
        <v>94</v>
      </c>
      <c r="J15" s="19"/>
      <c r="K15" s="5">
        <v>1972059</v>
      </c>
      <c r="L15" s="4">
        <f t="shared" si="0"/>
        <v>2196469199</v>
      </c>
      <c r="M15" s="18"/>
    </row>
    <row r="16" spans="1:13" ht="17.25" customHeight="1">
      <c r="A16" s="6" t="str">
        <f>D16&amp;E16</f>
        <v>C02</v>
      </c>
      <c r="B16" s="3">
        <v>42217</v>
      </c>
      <c r="C16" s="3">
        <v>42216</v>
      </c>
      <c r="D16" s="4"/>
      <c r="E16" s="20" t="s">
        <v>137</v>
      </c>
      <c r="F16" s="5" t="s">
        <v>942</v>
      </c>
      <c r="G16" s="105" t="s">
        <v>941</v>
      </c>
      <c r="H16" s="5" t="s">
        <v>270</v>
      </c>
      <c r="I16" s="26" t="s">
        <v>35</v>
      </c>
      <c r="J16" s="19"/>
      <c r="K16" s="5">
        <v>197206</v>
      </c>
      <c r="L16" s="4">
        <f t="shared" si="0"/>
        <v>2196271993</v>
      </c>
      <c r="M16" s="18"/>
    </row>
    <row r="17" spans="1:13" ht="17.25" customHeight="1">
      <c r="A17" s="6" t="str">
        <f t="shared" ref="A17:A18" si="1">D17&amp;E17</f>
        <v>C02</v>
      </c>
      <c r="B17" s="3">
        <v>42217</v>
      </c>
      <c r="C17" s="3">
        <v>42216</v>
      </c>
      <c r="D17" s="4"/>
      <c r="E17" s="20" t="s">
        <v>137</v>
      </c>
      <c r="F17" s="5" t="s">
        <v>943</v>
      </c>
      <c r="G17" s="105" t="s">
        <v>945</v>
      </c>
      <c r="H17" s="5" t="s">
        <v>725</v>
      </c>
      <c r="I17" s="26" t="s">
        <v>94</v>
      </c>
      <c r="J17" s="19"/>
      <c r="K17" s="5">
        <v>151600</v>
      </c>
      <c r="L17" s="4">
        <f t="shared" si="0"/>
        <v>2196120393</v>
      </c>
      <c r="M17" s="18"/>
    </row>
    <row r="18" spans="1:13" ht="17.25" customHeight="1">
      <c r="A18" s="6" t="str">
        <f t="shared" si="1"/>
        <v>C02</v>
      </c>
      <c r="B18" s="3">
        <v>42217</v>
      </c>
      <c r="C18" s="3">
        <v>42216</v>
      </c>
      <c r="D18" s="4"/>
      <c r="E18" s="20" t="s">
        <v>137</v>
      </c>
      <c r="F18" s="5" t="s">
        <v>944</v>
      </c>
      <c r="G18" s="105" t="s">
        <v>945</v>
      </c>
      <c r="H18" s="5" t="s">
        <v>725</v>
      </c>
      <c r="I18" s="26" t="s">
        <v>35</v>
      </c>
      <c r="J18" s="19"/>
      <c r="K18" s="5">
        <v>15160</v>
      </c>
      <c r="L18" s="4">
        <f t="shared" si="0"/>
        <v>2196105233</v>
      </c>
      <c r="M18" s="18"/>
    </row>
    <row r="19" spans="1:13" ht="17.25" customHeight="1">
      <c r="A19" s="6" t="str">
        <f t="shared" ref="A19" si="2">D19&amp;E19</f>
        <v>C03</v>
      </c>
      <c r="B19" s="3">
        <v>42220</v>
      </c>
      <c r="C19" s="3">
        <v>42220</v>
      </c>
      <c r="D19" s="4"/>
      <c r="E19" s="20" t="s">
        <v>138</v>
      </c>
      <c r="F19" s="5" t="s">
        <v>50</v>
      </c>
      <c r="G19" s="105" t="s">
        <v>946</v>
      </c>
      <c r="H19" s="5" t="s">
        <v>192</v>
      </c>
      <c r="I19" s="26" t="s">
        <v>94</v>
      </c>
      <c r="J19" s="19"/>
      <c r="K19" s="5">
        <v>54873</v>
      </c>
      <c r="L19" s="4">
        <f t="shared" si="0"/>
        <v>2196050360</v>
      </c>
      <c r="M19" s="18"/>
    </row>
    <row r="20" spans="1:13" ht="17.25" customHeight="1">
      <c r="A20" s="6" t="str">
        <f t="shared" ref="A20:A21" si="3">D20&amp;E20</f>
        <v>C03</v>
      </c>
      <c r="B20" s="3">
        <v>42220</v>
      </c>
      <c r="C20" s="3">
        <v>42220</v>
      </c>
      <c r="D20" s="4"/>
      <c r="E20" s="20" t="s">
        <v>138</v>
      </c>
      <c r="F20" s="5" t="s">
        <v>53</v>
      </c>
      <c r="G20" s="105" t="s">
        <v>946</v>
      </c>
      <c r="H20" s="5" t="s">
        <v>192</v>
      </c>
      <c r="I20" s="26" t="s">
        <v>54</v>
      </c>
      <c r="J20" s="19"/>
      <c r="K20" s="5">
        <v>667273</v>
      </c>
      <c r="L20" s="4">
        <f t="shared" si="0"/>
        <v>2195383087</v>
      </c>
      <c r="M20" s="18"/>
    </row>
    <row r="21" spans="1:13" ht="17.25" customHeight="1">
      <c r="A21" s="6" t="str">
        <f t="shared" si="3"/>
        <v>C03</v>
      </c>
      <c r="B21" s="3">
        <v>42220</v>
      </c>
      <c r="C21" s="3">
        <v>42220</v>
      </c>
      <c r="D21" s="4"/>
      <c r="E21" s="20" t="s">
        <v>138</v>
      </c>
      <c r="F21" s="5" t="s">
        <v>693</v>
      </c>
      <c r="G21" s="105" t="s">
        <v>946</v>
      </c>
      <c r="H21" s="5" t="s">
        <v>192</v>
      </c>
      <c r="I21" s="26" t="s">
        <v>35</v>
      </c>
      <c r="J21" s="19"/>
      <c r="K21" s="5">
        <v>72214</v>
      </c>
      <c r="L21" s="4">
        <f t="shared" si="0"/>
        <v>2195310873</v>
      </c>
      <c r="M21" s="18"/>
    </row>
    <row r="22" spans="1:13" ht="17.25" customHeight="1">
      <c r="A22" s="6" t="str">
        <f t="shared" ref="A22:A88" si="4">D22&amp;E22</f>
        <v>C04</v>
      </c>
      <c r="B22" s="3">
        <v>42221</v>
      </c>
      <c r="C22" s="3">
        <v>42221</v>
      </c>
      <c r="D22" s="4"/>
      <c r="E22" s="20" t="s">
        <v>139</v>
      </c>
      <c r="F22" s="5" t="s">
        <v>507</v>
      </c>
      <c r="G22" s="105" t="s">
        <v>947</v>
      </c>
      <c r="H22" s="5" t="s">
        <v>888</v>
      </c>
      <c r="I22" s="26" t="s">
        <v>94</v>
      </c>
      <c r="J22" s="19"/>
      <c r="K22" s="5">
        <v>832182</v>
      </c>
      <c r="L22" s="4">
        <f t="shared" si="0"/>
        <v>2194478691</v>
      </c>
      <c r="M22" s="18"/>
    </row>
    <row r="23" spans="1:13" ht="17.25" customHeight="1">
      <c r="A23" s="6" t="str">
        <f t="shared" ref="A23" si="5">D23&amp;E23</f>
        <v>C04</v>
      </c>
      <c r="B23" s="3">
        <v>42221</v>
      </c>
      <c r="C23" s="3">
        <v>42221</v>
      </c>
      <c r="D23" s="4"/>
      <c r="E23" s="20" t="s">
        <v>139</v>
      </c>
      <c r="F23" s="5" t="s">
        <v>508</v>
      </c>
      <c r="G23" s="105" t="s">
        <v>947</v>
      </c>
      <c r="H23" s="5" t="s">
        <v>888</v>
      </c>
      <c r="I23" s="26" t="s">
        <v>35</v>
      </c>
      <c r="J23" s="19"/>
      <c r="K23" s="5">
        <v>83218</v>
      </c>
      <c r="L23" s="4">
        <f t="shared" si="0"/>
        <v>2194395473</v>
      </c>
      <c r="M23" s="18"/>
    </row>
    <row r="24" spans="1:13" ht="17.25" customHeight="1">
      <c r="A24" s="6" t="str">
        <f>D24&amp;E24</f>
        <v>C05</v>
      </c>
      <c r="B24" s="3">
        <v>42221</v>
      </c>
      <c r="C24" s="3">
        <v>42221</v>
      </c>
      <c r="D24" s="4"/>
      <c r="E24" s="20" t="s">
        <v>140</v>
      </c>
      <c r="F24" s="5" t="s">
        <v>332</v>
      </c>
      <c r="G24" s="5"/>
      <c r="H24" s="5" t="s">
        <v>335</v>
      </c>
      <c r="I24" s="26" t="s">
        <v>334</v>
      </c>
      <c r="J24" s="19"/>
      <c r="K24" s="5">
        <v>500000000</v>
      </c>
      <c r="L24" s="4">
        <f t="shared" si="0"/>
        <v>1694395473</v>
      </c>
      <c r="M24" s="18"/>
    </row>
    <row r="25" spans="1:13" ht="17.25" customHeight="1">
      <c r="A25" s="6" t="str">
        <f t="shared" si="4"/>
        <v>C06</v>
      </c>
      <c r="B25" s="3">
        <v>42224</v>
      </c>
      <c r="C25" s="3">
        <v>42224</v>
      </c>
      <c r="D25" s="4"/>
      <c r="E25" s="20" t="s">
        <v>141</v>
      </c>
      <c r="F25" s="5" t="s">
        <v>53</v>
      </c>
      <c r="G25" s="105" t="s">
        <v>948</v>
      </c>
      <c r="H25" s="5" t="s">
        <v>888</v>
      </c>
      <c r="I25" s="26" t="s">
        <v>54</v>
      </c>
      <c r="J25" s="19"/>
      <c r="K25" s="5">
        <v>743400</v>
      </c>
      <c r="L25" s="4">
        <f t="shared" si="0"/>
        <v>1693652073</v>
      </c>
      <c r="M25" s="18"/>
    </row>
    <row r="26" spans="1:13" ht="17.25" customHeight="1">
      <c r="A26" s="6" t="str">
        <f t="shared" ref="A26" si="6">D26&amp;E26</f>
        <v>C06</v>
      </c>
      <c r="B26" s="3">
        <v>42224</v>
      </c>
      <c r="C26" s="3">
        <v>42224</v>
      </c>
      <c r="D26" s="4"/>
      <c r="E26" s="20" t="s">
        <v>141</v>
      </c>
      <c r="F26" s="5" t="s">
        <v>902</v>
      </c>
      <c r="G26" s="105" t="s">
        <v>948</v>
      </c>
      <c r="H26" s="5" t="s">
        <v>888</v>
      </c>
      <c r="I26" s="26" t="s">
        <v>35</v>
      </c>
      <c r="J26" s="19"/>
      <c r="K26" s="5">
        <v>74340</v>
      </c>
      <c r="L26" s="4">
        <f t="shared" si="0"/>
        <v>1693577733</v>
      </c>
      <c r="M26" s="18"/>
    </row>
    <row r="27" spans="1:13" ht="17.25" customHeight="1">
      <c r="A27" s="6" t="str">
        <f t="shared" ref="A27" si="7">D27&amp;E27</f>
        <v>C07</v>
      </c>
      <c r="B27" s="3">
        <v>42224</v>
      </c>
      <c r="C27" s="3">
        <v>42224</v>
      </c>
      <c r="D27" s="4"/>
      <c r="E27" s="20" t="s">
        <v>142</v>
      </c>
      <c r="F27" s="5" t="s">
        <v>949</v>
      </c>
      <c r="G27" s="105" t="s">
        <v>950</v>
      </c>
      <c r="H27" s="5" t="s">
        <v>951</v>
      </c>
      <c r="I27" s="26" t="s">
        <v>94</v>
      </c>
      <c r="J27" s="19"/>
      <c r="K27" s="5">
        <v>3400000</v>
      </c>
      <c r="L27" s="4">
        <f t="shared" si="0"/>
        <v>1690177733</v>
      </c>
      <c r="M27" s="18"/>
    </row>
    <row r="28" spans="1:13" ht="17.25" customHeight="1">
      <c r="A28" s="6" t="str">
        <f t="shared" ref="A28" si="8">D28&amp;E28</f>
        <v>C07</v>
      </c>
      <c r="B28" s="3">
        <v>42224</v>
      </c>
      <c r="C28" s="3">
        <v>42224</v>
      </c>
      <c r="D28" s="4"/>
      <c r="E28" s="20" t="s">
        <v>142</v>
      </c>
      <c r="F28" s="5" t="s">
        <v>952</v>
      </c>
      <c r="G28" s="105" t="s">
        <v>950</v>
      </c>
      <c r="H28" s="5" t="s">
        <v>951</v>
      </c>
      <c r="I28" s="26" t="s">
        <v>35</v>
      </c>
      <c r="J28" s="19"/>
      <c r="K28" s="5">
        <v>340000</v>
      </c>
      <c r="L28" s="4">
        <f t="shared" si="0"/>
        <v>1689837733</v>
      </c>
      <c r="M28" s="18"/>
    </row>
    <row r="29" spans="1:13" ht="17.25" customHeight="1">
      <c r="A29" s="6" t="str">
        <f>D29&amp;E29</f>
        <v>C08</v>
      </c>
      <c r="B29" s="3">
        <v>42224</v>
      </c>
      <c r="C29" s="3">
        <v>42224</v>
      </c>
      <c r="D29" s="4"/>
      <c r="E29" s="20" t="s">
        <v>143</v>
      </c>
      <c r="F29" s="5" t="s">
        <v>332</v>
      </c>
      <c r="G29" s="5"/>
      <c r="H29" s="5" t="s">
        <v>333</v>
      </c>
      <c r="I29" s="26" t="s">
        <v>334</v>
      </c>
      <c r="J29" s="19"/>
      <c r="K29" s="5">
        <v>300000000</v>
      </c>
      <c r="L29" s="4">
        <f t="shared" si="0"/>
        <v>1389837733</v>
      </c>
      <c r="M29" s="18"/>
    </row>
    <row r="30" spans="1:13" ht="17.25" customHeight="1">
      <c r="A30" s="6" t="str">
        <f t="shared" si="4"/>
        <v>C09</v>
      </c>
      <c r="B30" s="3">
        <v>42225</v>
      </c>
      <c r="C30" s="3">
        <v>42225</v>
      </c>
      <c r="D30" s="4"/>
      <c r="E30" s="20" t="s">
        <v>144</v>
      </c>
      <c r="F30" s="5" t="s">
        <v>953</v>
      </c>
      <c r="G30" s="105" t="s">
        <v>955</v>
      </c>
      <c r="H30" s="5" t="s">
        <v>956</v>
      </c>
      <c r="I30" s="26" t="s">
        <v>94</v>
      </c>
      <c r="J30" s="19"/>
      <c r="K30" s="5">
        <v>4041250</v>
      </c>
      <c r="L30" s="4">
        <f t="shared" si="0"/>
        <v>1385796483</v>
      </c>
      <c r="M30" s="18"/>
    </row>
    <row r="31" spans="1:13" ht="17.25" customHeight="1">
      <c r="A31" s="6" t="str">
        <f t="shared" si="4"/>
        <v>C09</v>
      </c>
      <c r="B31" s="3">
        <v>42225</v>
      </c>
      <c r="C31" s="3">
        <v>42225</v>
      </c>
      <c r="D31" s="4"/>
      <c r="E31" s="20" t="s">
        <v>144</v>
      </c>
      <c r="F31" s="5" t="s">
        <v>954</v>
      </c>
      <c r="G31" s="105" t="s">
        <v>955</v>
      </c>
      <c r="H31" s="5" t="s">
        <v>956</v>
      </c>
      <c r="I31" s="26" t="s">
        <v>35</v>
      </c>
      <c r="J31" s="19"/>
      <c r="K31" s="5">
        <v>404125</v>
      </c>
      <c r="L31" s="4">
        <f t="shared" si="0"/>
        <v>1385392358</v>
      </c>
      <c r="M31" s="18"/>
    </row>
    <row r="32" spans="1:13" ht="17.25" customHeight="1">
      <c r="A32" s="6" t="str">
        <f t="shared" si="4"/>
        <v>C10</v>
      </c>
      <c r="B32" s="3">
        <v>42225</v>
      </c>
      <c r="C32" s="3">
        <v>42225</v>
      </c>
      <c r="D32" s="4"/>
      <c r="E32" s="20" t="s">
        <v>145</v>
      </c>
      <c r="F32" s="5" t="s">
        <v>507</v>
      </c>
      <c r="G32" s="105" t="s">
        <v>957</v>
      </c>
      <c r="H32" s="5" t="s">
        <v>888</v>
      </c>
      <c r="I32" s="26" t="s">
        <v>94</v>
      </c>
      <c r="J32" s="19"/>
      <c r="K32" s="5">
        <v>741727</v>
      </c>
      <c r="L32" s="4">
        <f t="shared" si="0"/>
        <v>1384650631</v>
      </c>
      <c r="M32" s="18"/>
    </row>
    <row r="33" spans="1:13" ht="17.25" customHeight="1">
      <c r="A33" s="6" t="str">
        <f t="shared" si="4"/>
        <v>C10</v>
      </c>
      <c r="B33" s="3">
        <v>42225</v>
      </c>
      <c r="C33" s="3">
        <v>42225</v>
      </c>
      <c r="D33" s="4"/>
      <c r="E33" s="20" t="s">
        <v>145</v>
      </c>
      <c r="F33" s="5" t="s">
        <v>508</v>
      </c>
      <c r="G33" s="105" t="s">
        <v>957</v>
      </c>
      <c r="H33" s="5" t="s">
        <v>888</v>
      </c>
      <c r="I33" s="26" t="s">
        <v>35</v>
      </c>
      <c r="J33" s="19"/>
      <c r="K33" s="5">
        <v>74173</v>
      </c>
      <c r="L33" s="4">
        <f t="shared" si="0"/>
        <v>1384576458</v>
      </c>
      <c r="M33" s="18"/>
    </row>
    <row r="34" spans="1:13" ht="17.25" customHeight="1">
      <c r="A34" s="6" t="str">
        <f t="shared" si="4"/>
        <v>C11</v>
      </c>
      <c r="B34" s="3">
        <v>42226</v>
      </c>
      <c r="C34" s="3">
        <v>42226</v>
      </c>
      <c r="D34" s="4"/>
      <c r="E34" s="20" t="s">
        <v>146</v>
      </c>
      <c r="F34" s="5" t="s">
        <v>958</v>
      </c>
      <c r="G34" s="105" t="s">
        <v>959</v>
      </c>
      <c r="H34" s="5" t="s">
        <v>960</v>
      </c>
      <c r="I34" s="26" t="s">
        <v>94</v>
      </c>
      <c r="J34" s="19"/>
      <c r="K34" s="5">
        <v>2000000</v>
      </c>
      <c r="L34" s="4">
        <f t="shared" si="0"/>
        <v>1382576458</v>
      </c>
      <c r="M34" s="18"/>
    </row>
    <row r="35" spans="1:13" ht="17.25" customHeight="1">
      <c r="A35" s="6" t="str">
        <f t="shared" si="4"/>
        <v>C12</v>
      </c>
      <c r="B35" s="3">
        <v>42226</v>
      </c>
      <c r="C35" s="3">
        <v>42226</v>
      </c>
      <c r="D35" s="4"/>
      <c r="E35" s="20" t="s">
        <v>147</v>
      </c>
      <c r="F35" s="5" t="s">
        <v>961</v>
      </c>
      <c r="G35" s="105" t="s">
        <v>963</v>
      </c>
      <c r="H35" s="5" t="s">
        <v>964</v>
      </c>
      <c r="I35" s="26" t="s">
        <v>94</v>
      </c>
      <c r="J35" s="19"/>
      <c r="K35" s="5">
        <v>9800000</v>
      </c>
      <c r="L35" s="4">
        <f t="shared" si="0"/>
        <v>1372776458</v>
      </c>
      <c r="M35" s="18"/>
    </row>
    <row r="36" spans="1:13" ht="17.25" customHeight="1">
      <c r="A36" s="6" t="str">
        <f t="shared" si="4"/>
        <v>C12</v>
      </c>
      <c r="B36" s="3">
        <v>42226</v>
      </c>
      <c r="C36" s="3">
        <v>42226</v>
      </c>
      <c r="D36" s="4"/>
      <c r="E36" s="20" t="s">
        <v>147</v>
      </c>
      <c r="F36" s="5" t="s">
        <v>962</v>
      </c>
      <c r="G36" s="105" t="s">
        <v>963</v>
      </c>
      <c r="H36" s="5" t="s">
        <v>964</v>
      </c>
      <c r="I36" s="26" t="s">
        <v>35</v>
      </c>
      <c r="J36" s="19"/>
      <c r="K36" s="5">
        <v>980000</v>
      </c>
      <c r="L36" s="4">
        <f t="shared" si="0"/>
        <v>1371796458</v>
      </c>
      <c r="M36" s="18"/>
    </row>
    <row r="37" spans="1:13" ht="17.25" customHeight="1">
      <c r="A37" s="6" t="str">
        <f t="shared" si="4"/>
        <v>C13</v>
      </c>
      <c r="B37" s="3">
        <v>42227</v>
      </c>
      <c r="C37" s="3">
        <v>42227</v>
      </c>
      <c r="D37" s="4"/>
      <c r="E37" s="20" t="s">
        <v>148</v>
      </c>
      <c r="F37" s="5" t="s">
        <v>961</v>
      </c>
      <c r="G37" s="105" t="s">
        <v>965</v>
      </c>
      <c r="H37" s="5" t="s">
        <v>964</v>
      </c>
      <c r="I37" s="26" t="s">
        <v>94</v>
      </c>
      <c r="J37" s="19"/>
      <c r="K37" s="5">
        <v>9800000</v>
      </c>
      <c r="L37" s="4">
        <f t="shared" si="0"/>
        <v>1361996458</v>
      </c>
      <c r="M37" s="18"/>
    </row>
    <row r="38" spans="1:13" ht="17.25" customHeight="1">
      <c r="A38" s="6" t="str">
        <f t="shared" si="4"/>
        <v>C13</v>
      </c>
      <c r="B38" s="3">
        <v>42227</v>
      </c>
      <c r="C38" s="3">
        <v>42227</v>
      </c>
      <c r="D38" s="4"/>
      <c r="E38" s="20" t="s">
        <v>148</v>
      </c>
      <c r="F38" s="5" t="s">
        <v>962</v>
      </c>
      <c r="G38" s="105" t="s">
        <v>965</v>
      </c>
      <c r="H38" s="5" t="s">
        <v>964</v>
      </c>
      <c r="I38" s="26" t="s">
        <v>35</v>
      </c>
      <c r="J38" s="19"/>
      <c r="K38" s="5">
        <v>980000</v>
      </c>
      <c r="L38" s="4">
        <f t="shared" si="0"/>
        <v>1361016458</v>
      </c>
      <c r="M38" s="18"/>
    </row>
    <row r="39" spans="1:13" ht="17.25" customHeight="1">
      <c r="A39" s="6" t="str">
        <f t="shared" si="4"/>
        <v>C14</v>
      </c>
      <c r="B39" s="3">
        <v>42228</v>
      </c>
      <c r="C39" s="3">
        <v>42228</v>
      </c>
      <c r="D39" s="4"/>
      <c r="E39" s="20" t="s">
        <v>149</v>
      </c>
      <c r="F39" s="5" t="s">
        <v>507</v>
      </c>
      <c r="G39" s="105" t="s">
        <v>966</v>
      </c>
      <c r="H39" s="5" t="s">
        <v>888</v>
      </c>
      <c r="I39" s="26" t="s">
        <v>94</v>
      </c>
      <c r="J39" s="19"/>
      <c r="K39" s="5">
        <v>995000</v>
      </c>
      <c r="L39" s="4">
        <f t="shared" si="0"/>
        <v>1360021458</v>
      </c>
      <c r="M39" s="18"/>
    </row>
    <row r="40" spans="1:13" ht="17.25" customHeight="1">
      <c r="A40" s="6" t="str">
        <f t="shared" si="4"/>
        <v>C14</v>
      </c>
      <c r="B40" s="3">
        <v>42228</v>
      </c>
      <c r="C40" s="3">
        <v>42228</v>
      </c>
      <c r="D40" s="4"/>
      <c r="E40" s="20" t="s">
        <v>149</v>
      </c>
      <c r="F40" s="5" t="s">
        <v>508</v>
      </c>
      <c r="G40" s="105" t="s">
        <v>966</v>
      </c>
      <c r="H40" s="5" t="s">
        <v>888</v>
      </c>
      <c r="I40" s="26" t="s">
        <v>35</v>
      </c>
      <c r="J40" s="19"/>
      <c r="K40" s="5">
        <v>99500</v>
      </c>
      <c r="L40" s="4">
        <f t="shared" si="0"/>
        <v>1359921958</v>
      </c>
      <c r="M40" s="18"/>
    </row>
    <row r="41" spans="1:13" ht="17.25" customHeight="1">
      <c r="A41" s="6" t="str">
        <f t="shared" ref="A41" si="9">D41&amp;E41</f>
        <v>T01</v>
      </c>
      <c r="B41" s="3">
        <v>42229</v>
      </c>
      <c r="C41" s="3">
        <v>42229</v>
      </c>
      <c r="D41" s="4" t="s">
        <v>39</v>
      </c>
      <c r="E41" s="20"/>
      <c r="F41" s="5" t="s">
        <v>743</v>
      </c>
      <c r="G41" s="105"/>
      <c r="H41" s="5" t="s">
        <v>187</v>
      </c>
      <c r="I41" s="26" t="s">
        <v>36</v>
      </c>
      <c r="J41" s="19">
        <v>500000000</v>
      </c>
      <c r="K41" s="5"/>
      <c r="L41" s="4">
        <f t="shared" si="0"/>
        <v>1859921958</v>
      </c>
      <c r="M41" s="18"/>
    </row>
    <row r="42" spans="1:13" ht="17.25" customHeight="1">
      <c r="A42" s="6" t="str">
        <f t="shared" si="4"/>
        <v>C15</v>
      </c>
      <c r="B42" s="3">
        <v>42231</v>
      </c>
      <c r="C42" s="3">
        <v>42231</v>
      </c>
      <c r="D42" s="4"/>
      <c r="E42" s="20" t="s">
        <v>150</v>
      </c>
      <c r="F42" s="5" t="s">
        <v>53</v>
      </c>
      <c r="G42" s="105" t="s">
        <v>967</v>
      </c>
      <c r="H42" s="5" t="s">
        <v>888</v>
      </c>
      <c r="I42" s="26" t="s">
        <v>54</v>
      </c>
      <c r="J42" s="19"/>
      <c r="K42" s="5">
        <v>718200</v>
      </c>
      <c r="L42" s="4">
        <f t="shared" si="0"/>
        <v>1859203758</v>
      </c>
      <c r="M42" s="18"/>
    </row>
    <row r="43" spans="1:13" ht="17.25" customHeight="1">
      <c r="A43" s="6" t="str">
        <f t="shared" si="4"/>
        <v>C15</v>
      </c>
      <c r="B43" s="3">
        <v>42231</v>
      </c>
      <c r="C43" s="3">
        <v>42231</v>
      </c>
      <c r="D43" s="4"/>
      <c r="E43" s="20" t="s">
        <v>150</v>
      </c>
      <c r="F43" s="5" t="s">
        <v>902</v>
      </c>
      <c r="G43" s="105" t="s">
        <v>967</v>
      </c>
      <c r="H43" s="5" t="s">
        <v>888</v>
      </c>
      <c r="I43" s="26" t="s">
        <v>35</v>
      </c>
      <c r="J43" s="19"/>
      <c r="K43" s="5">
        <v>71820</v>
      </c>
      <c r="L43" s="4">
        <f t="shared" si="0"/>
        <v>1859131938</v>
      </c>
      <c r="M43" s="18"/>
    </row>
    <row r="44" spans="1:13" ht="17.25" customHeight="1">
      <c r="A44" s="6" t="str">
        <f t="shared" si="4"/>
        <v>C16</v>
      </c>
      <c r="B44" s="3">
        <v>42232</v>
      </c>
      <c r="C44" s="3">
        <v>42232</v>
      </c>
      <c r="D44" s="4"/>
      <c r="E44" s="20" t="s">
        <v>151</v>
      </c>
      <c r="F44" s="5" t="s">
        <v>507</v>
      </c>
      <c r="G44" s="105" t="s">
        <v>968</v>
      </c>
      <c r="H44" s="5" t="s">
        <v>888</v>
      </c>
      <c r="I44" s="26" t="s">
        <v>94</v>
      </c>
      <c r="J44" s="19"/>
      <c r="K44" s="5">
        <v>868364</v>
      </c>
      <c r="L44" s="4">
        <f t="shared" si="0"/>
        <v>1858263574</v>
      </c>
      <c r="M44" s="18"/>
    </row>
    <row r="45" spans="1:13" ht="17.25" customHeight="1">
      <c r="A45" s="6" t="str">
        <f t="shared" si="4"/>
        <v>C16</v>
      </c>
      <c r="B45" s="3">
        <v>42232</v>
      </c>
      <c r="C45" s="3">
        <v>42232</v>
      </c>
      <c r="D45" s="4"/>
      <c r="E45" s="20" t="s">
        <v>151</v>
      </c>
      <c r="F45" s="5" t="s">
        <v>508</v>
      </c>
      <c r="G45" s="105" t="s">
        <v>968</v>
      </c>
      <c r="H45" s="5" t="s">
        <v>888</v>
      </c>
      <c r="I45" s="26" t="s">
        <v>35</v>
      </c>
      <c r="J45" s="19"/>
      <c r="K45" s="5">
        <v>86836</v>
      </c>
      <c r="L45" s="4">
        <f t="shared" si="0"/>
        <v>1858176738</v>
      </c>
      <c r="M45" s="18"/>
    </row>
    <row r="46" spans="1:13" ht="17.25" customHeight="1">
      <c r="A46" s="6" t="str">
        <f t="shared" si="4"/>
        <v>C17</v>
      </c>
      <c r="B46" s="3">
        <v>42233</v>
      </c>
      <c r="C46" s="3">
        <v>42233</v>
      </c>
      <c r="D46" s="4"/>
      <c r="E46" s="20" t="s">
        <v>152</v>
      </c>
      <c r="F46" s="5" t="s">
        <v>756</v>
      </c>
      <c r="G46" s="105" t="s">
        <v>969</v>
      </c>
      <c r="H46" s="5" t="s">
        <v>192</v>
      </c>
      <c r="I46" s="26" t="s">
        <v>94</v>
      </c>
      <c r="J46" s="19"/>
      <c r="K46" s="5">
        <v>210545</v>
      </c>
      <c r="L46" s="4">
        <f t="shared" si="0"/>
        <v>1857966193</v>
      </c>
      <c r="M46" s="18"/>
    </row>
    <row r="47" spans="1:13" ht="17.25" customHeight="1">
      <c r="A47" s="6" t="str">
        <f t="shared" si="4"/>
        <v>C17</v>
      </c>
      <c r="B47" s="3">
        <v>42233</v>
      </c>
      <c r="C47" s="3">
        <v>42233</v>
      </c>
      <c r="D47" s="4"/>
      <c r="E47" s="20" t="s">
        <v>152</v>
      </c>
      <c r="F47" s="5" t="s">
        <v>53</v>
      </c>
      <c r="G47" s="105" t="s">
        <v>969</v>
      </c>
      <c r="H47" s="5" t="s">
        <v>192</v>
      </c>
      <c r="I47" s="26" t="s">
        <v>54</v>
      </c>
      <c r="J47" s="19"/>
      <c r="K47" s="5">
        <v>1146600</v>
      </c>
      <c r="L47" s="4">
        <f t="shared" si="0"/>
        <v>1856819593</v>
      </c>
      <c r="M47" s="18"/>
    </row>
    <row r="48" spans="1:13" ht="17.25" customHeight="1">
      <c r="A48" s="6" t="str">
        <f t="shared" si="4"/>
        <v>C17</v>
      </c>
      <c r="B48" s="3">
        <v>42233</v>
      </c>
      <c r="C48" s="3">
        <v>42233</v>
      </c>
      <c r="D48" s="4"/>
      <c r="E48" s="20" t="s">
        <v>152</v>
      </c>
      <c r="F48" s="5" t="s">
        <v>693</v>
      </c>
      <c r="G48" s="105" t="s">
        <v>969</v>
      </c>
      <c r="H48" s="5" t="s">
        <v>192</v>
      </c>
      <c r="I48" s="26" t="s">
        <v>35</v>
      </c>
      <c r="J48" s="19"/>
      <c r="K48" s="5">
        <v>135715</v>
      </c>
      <c r="L48" s="4">
        <f t="shared" si="0"/>
        <v>1856683878</v>
      </c>
      <c r="M48" s="18"/>
    </row>
    <row r="49" spans="1:13" ht="17.25" customHeight="1">
      <c r="A49" s="6" t="str">
        <f>D49&amp;E49</f>
        <v>C18</v>
      </c>
      <c r="B49" s="3">
        <v>42233</v>
      </c>
      <c r="C49" s="3">
        <v>42233</v>
      </c>
      <c r="D49" s="4"/>
      <c r="E49" s="20" t="s">
        <v>153</v>
      </c>
      <c r="F49" s="5" t="s">
        <v>332</v>
      </c>
      <c r="G49" s="5"/>
      <c r="H49" s="5" t="s">
        <v>335</v>
      </c>
      <c r="I49" s="26" t="s">
        <v>334</v>
      </c>
      <c r="J49" s="19"/>
      <c r="K49" s="5">
        <v>500000000</v>
      </c>
      <c r="L49" s="4">
        <f t="shared" si="0"/>
        <v>1356683878</v>
      </c>
      <c r="M49" s="18"/>
    </row>
    <row r="50" spans="1:13" ht="17.25" customHeight="1">
      <c r="A50" s="6" t="str">
        <f t="shared" si="4"/>
        <v>T02</v>
      </c>
      <c r="B50" s="3">
        <v>42234</v>
      </c>
      <c r="C50" s="3">
        <v>42234</v>
      </c>
      <c r="D50" s="4" t="s">
        <v>40</v>
      </c>
      <c r="E50" s="20"/>
      <c r="F50" s="5" t="s">
        <v>743</v>
      </c>
      <c r="G50" s="5"/>
      <c r="H50" s="5" t="s">
        <v>187</v>
      </c>
      <c r="I50" s="26" t="s">
        <v>36</v>
      </c>
      <c r="J50" s="19">
        <v>950000000</v>
      </c>
      <c r="K50" s="5"/>
      <c r="L50" s="4">
        <f t="shared" si="0"/>
        <v>2306683878</v>
      </c>
      <c r="M50" s="18"/>
    </row>
    <row r="51" spans="1:13" ht="17.25" customHeight="1">
      <c r="A51" s="6" t="str">
        <f t="shared" ref="A51" si="10">D51&amp;E51</f>
        <v>C19</v>
      </c>
      <c r="B51" s="3">
        <v>42234</v>
      </c>
      <c r="C51" s="3">
        <v>42234</v>
      </c>
      <c r="D51" s="4"/>
      <c r="E51" s="20" t="s">
        <v>154</v>
      </c>
      <c r="F51" s="5" t="s">
        <v>970</v>
      </c>
      <c r="G51" s="5"/>
      <c r="H51" s="5" t="s">
        <v>187</v>
      </c>
      <c r="I51" s="26" t="s">
        <v>36</v>
      </c>
      <c r="J51" s="19"/>
      <c r="K51" s="5">
        <v>25000000</v>
      </c>
      <c r="L51" s="4">
        <f t="shared" si="0"/>
        <v>2281683878</v>
      </c>
      <c r="M51" s="18"/>
    </row>
    <row r="52" spans="1:13" ht="17.25" customHeight="1">
      <c r="A52" s="6" t="str">
        <f t="shared" ref="A52" si="11">D52&amp;E52</f>
        <v>T03</v>
      </c>
      <c r="B52" s="3">
        <v>42235</v>
      </c>
      <c r="C52" s="3">
        <v>42235</v>
      </c>
      <c r="D52" s="4" t="s">
        <v>41</v>
      </c>
      <c r="E52" s="20"/>
      <c r="F52" s="5" t="s">
        <v>267</v>
      </c>
      <c r="G52" s="5"/>
      <c r="H52" s="5" t="s">
        <v>187</v>
      </c>
      <c r="I52" s="26" t="s">
        <v>36</v>
      </c>
      <c r="J52" s="19">
        <v>1160000000</v>
      </c>
      <c r="K52" s="5"/>
      <c r="L52" s="4">
        <f t="shared" si="0"/>
        <v>3441683878</v>
      </c>
      <c r="M52" s="18"/>
    </row>
    <row r="53" spans="1:13" ht="17.25" customHeight="1">
      <c r="A53" s="6" t="str">
        <f t="shared" ref="A53" si="12">D53&amp;E53</f>
        <v>C20</v>
      </c>
      <c r="B53" s="3">
        <v>42235</v>
      </c>
      <c r="C53" s="3">
        <v>42235</v>
      </c>
      <c r="D53" s="4"/>
      <c r="E53" s="20" t="s">
        <v>155</v>
      </c>
      <c r="F53" s="5" t="s">
        <v>971</v>
      </c>
      <c r="G53" s="5"/>
      <c r="H53" s="5" t="s">
        <v>187</v>
      </c>
      <c r="I53" s="26" t="s">
        <v>36</v>
      </c>
      <c r="J53" s="19"/>
      <c r="K53" s="5">
        <v>60000000</v>
      </c>
      <c r="L53" s="4">
        <f t="shared" si="0"/>
        <v>3381683878</v>
      </c>
      <c r="M53" s="18"/>
    </row>
    <row r="54" spans="1:13" ht="17.25" customHeight="1">
      <c r="A54" s="6" t="str">
        <f t="shared" ref="A54:A55" si="13">D54&amp;E54</f>
        <v>C21</v>
      </c>
      <c r="B54" s="3">
        <v>42235</v>
      </c>
      <c r="C54" s="3">
        <v>42235</v>
      </c>
      <c r="D54" s="4"/>
      <c r="E54" s="20" t="s">
        <v>156</v>
      </c>
      <c r="F54" s="5" t="s">
        <v>756</v>
      </c>
      <c r="G54" s="105" t="s">
        <v>1006</v>
      </c>
      <c r="H54" s="5" t="s">
        <v>192</v>
      </c>
      <c r="I54" s="26" t="s">
        <v>94</v>
      </c>
      <c r="J54" s="19"/>
      <c r="K54" s="5">
        <v>87727</v>
      </c>
      <c r="L54" s="4">
        <f t="shared" si="0"/>
        <v>3381596151</v>
      </c>
      <c r="M54" s="18"/>
    </row>
    <row r="55" spans="1:13" ht="17.25" customHeight="1">
      <c r="A55" s="6" t="str">
        <f t="shared" si="13"/>
        <v>C21</v>
      </c>
      <c r="B55" s="3">
        <v>42235</v>
      </c>
      <c r="C55" s="3">
        <v>42235</v>
      </c>
      <c r="D55" s="4"/>
      <c r="E55" s="20" t="s">
        <v>156</v>
      </c>
      <c r="F55" s="5" t="s">
        <v>1005</v>
      </c>
      <c r="G55" s="105" t="s">
        <v>1006</v>
      </c>
      <c r="H55" s="5" t="s">
        <v>192</v>
      </c>
      <c r="I55" s="26" t="s">
        <v>35</v>
      </c>
      <c r="J55" s="19"/>
      <c r="K55" s="5">
        <v>8773</v>
      </c>
      <c r="L55" s="4">
        <f t="shared" si="0"/>
        <v>3381587378</v>
      </c>
      <c r="M55" s="18"/>
    </row>
    <row r="56" spans="1:13" ht="17.25" customHeight="1">
      <c r="A56" s="6" t="str">
        <f t="shared" si="4"/>
        <v>C22</v>
      </c>
      <c r="B56" s="3">
        <v>42236</v>
      </c>
      <c r="C56" s="3">
        <v>42236</v>
      </c>
      <c r="D56" s="4"/>
      <c r="E56" s="20" t="s">
        <v>157</v>
      </c>
      <c r="F56" s="5" t="s">
        <v>972</v>
      </c>
      <c r="G56" s="105" t="s">
        <v>974</v>
      </c>
      <c r="H56" s="5" t="s">
        <v>975</v>
      </c>
      <c r="I56" s="26" t="s">
        <v>94</v>
      </c>
      <c r="J56" s="19"/>
      <c r="K56" s="5">
        <v>2000000</v>
      </c>
      <c r="L56" s="4">
        <f t="shared" si="0"/>
        <v>3379587378</v>
      </c>
      <c r="M56" s="18"/>
    </row>
    <row r="57" spans="1:13" ht="17.25" customHeight="1">
      <c r="A57" s="6" t="str">
        <f t="shared" si="4"/>
        <v>C22</v>
      </c>
      <c r="B57" s="3">
        <v>42236</v>
      </c>
      <c r="C57" s="3">
        <v>42236</v>
      </c>
      <c r="D57" s="4"/>
      <c r="E57" s="20" t="s">
        <v>157</v>
      </c>
      <c r="F57" s="5" t="s">
        <v>973</v>
      </c>
      <c r="G57" s="105" t="s">
        <v>974</v>
      </c>
      <c r="H57" s="5" t="s">
        <v>975</v>
      </c>
      <c r="I57" s="26" t="s">
        <v>35</v>
      </c>
      <c r="J57" s="19"/>
      <c r="K57" s="5">
        <v>100000</v>
      </c>
      <c r="L57" s="4">
        <f t="shared" si="0"/>
        <v>3379487378</v>
      </c>
      <c r="M57" s="18"/>
    </row>
    <row r="58" spans="1:13" ht="17.25" customHeight="1">
      <c r="A58" s="6" t="str">
        <f t="shared" si="4"/>
        <v>C23</v>
      </c>
      <c r="B58" s="3">
        <v>42237</v>
      </c>
      <c r="C58" s="3">
        <v>42237</v>
      </c>
      <c r="D58" s="4"/>
      <c r="E58" s="20" t="s">
        <v>158</v>
      </c>
      <c r="F58" s="5" t="s">
        <v>976</v>
      </c>
      <c r="G58" s="105" t="s">
        <v>977</v>
      </c>
      <c r="H58" s="5" t="s">
        <v>978</v>
      </c>
      <c r="I58" s="26" t="s">
        <v>94</v>
      </c>
      <c r="J58" s="19"/>
      <c r="K58" s="5">
        <v>4430000</v>
      </c>
      <c r="L58" s="4">
        <f t="shared" si="0"/>
        <v>3375057378</v>
      </c>
      <c r="M58" s="18"/>
    </row>
    <row r="59" spans="1:13" ht="17.25" customHeight="1">
      <c r="A59" s="6" t="str">
        <f t="shared" si="4"/>
        <v>C24</v>
      </c>
      <c r="B59" s="3">
        <v>42237</v>
      </c>
      <c r="C59" s="3">
        <v>42237</v>
      </c>
      <c r="D59" s="4"/>
      <c r="E59" s="20" t="s">
        <v>159</v>
      </c>
      <c r="F59" s="5" t="s">
        <v>979</v>
      </c>
      <c r="G59" s="5"/>
      <c r="H59" s="5" t="s">
        <v>980</v>
      </c>
      <c r="I59" s="26" t="s">
        <v>981</v>
      </c>
      <c r="J59" s="19"/>
      <c r="K59" s="5">
        <v>1591315</v>
      </c>
      <c r="L59" s="4">
        <f t="shared" si="0"/>
        <v>3373466063</v>
      </c>
      <c r="M59" s="18"/>
    </row>
    <row r="60" spans="1:13" ht="17.25" customHeight="1">
      <c r="A60" s="6" t="str">
        <f t="shared" ref="A60" si="14">D60&amp;E60</f>
        <v>C24</v>
      </c>
      <c r="B60" s="3">
        <v>42237</v>
      </c>
      <c r="C60" s="3">
        <v>42237</v>
      </c>
      <c r="D60" s="4"/>
      <c r="E60" s="20" t="s">
        <v>159</v>
      </c>
      <c r="F60" s="5" t="s">
        <v>982</v>
      </c>
      <c r="G60" s="5"/>
      <c r="H60" s="5" t="s">
        <v>980</v>
      </c>
      <c r="I60" s="26" t="s">
        <v>704</v>
      </c>
      <c r="J60" s="19"/>
      <c r="K60" s="5">
        <v>871245</v>
      </c>
      <c r="L60" s="4">
        <f t="shared" si="0"/>
        <v>3372594818</v>
      </c>
      <c r="M60" s="18"/>
    </row>
    <row r="61" spans="1:13" ht="17.25" customHeight="1">
      <c r="A61" s="6" t="str">
        <f t="shared" si="4"/>
        <v>C25</v>
      </c>
      <c r="B61" s="3">
        <v>42240</v>
      </c>
      <c r="C61" s="3">
        <v>42240</v>
      </c>
      <c r="D61" s="4"/>
      <c r="E61" s="20" t="s">
        <v>160</v>
      </c>
      <c r="F61" s="5" t="s">
        <v>976</v>
      </c>
      <c r="G61" s="105" t="s">
        <v>983</v>
      </c>
      <c r="H61" s="5" t="s">
        <v>978</v>
      </c>
      <c r="I61" s="26" t="s">
        <v>94</v>
      </c>
      <c r="J61" s="19"/>
      <c r="K61" s="5">
        <v>2180000</v>
      </c>
      <c r="L61" s="4">
        <f t="shared" si="0"/>
        <v>3370414818</v>
      </c>
      <c r="M61" s="18"/>
    </row>
    <row r="62" spans="1:13" ht="17.25" customHeight="1">
      <c r="A62" s="6" t="str">
        <f t="shared" si="4"/>
        <v>C26</v>
      </c>
      <c r="B62" s="3">
        <v>42240</v>
      </c>
      <c r="C62" s="3">
        <v>42240</v>
      </c>
      <c r="D62" s="4"/>
      <c r="E62" s="20" t="s">
        <v>161</v>
      </c>
      <c r="F62" s="5" t="s">
        <v>971</v>
      </c>
      <c r="G62" s="5"/>
      <c r="H62" s="5" t="s">
        <v>187</v>
      </c>
      <c r="I62" s="26" t="s">
        <v>36</v>
      </c>
      <c r="J62" s="19"/>
      <c r="K62" s="5">
        <v>15000000</v>
      </c>
      <c r="L62" s="4">
        <f t="shared" si="0"/>
        <v>3355414818</v>
      </c>
      <c r="M62" s="18"/>
    </row>
    <row r="63" spans="1:13" ht="17.25" customHeight="1">
      <c r="A63" s="6" t="str">
        <f t="shared" si="4"/>
        <v>C27</v>
      </c>
      <c r="B63" s="3">
        <v>42240</v>
      </c>
      <c r="C63" s="3">
        <v>42240</v>
      </c>
      <c r="D63" s="4"/>
      <c r="E63" s="20" t="s">
        <v>162</v>
      </c>
      <c r="F63" s="5" t="s">
        <v>507</v>
      </c>
      <c r="G63" s="105" t="s">
        <v>984</v>
      </c>
      <c r="H63" s="5" t="s">
        <v>888</v>
      </c>
      <c r="I63" s="26" t="s">
        <v>94</v>
      </c>
      <c r="J63" s="19"/>
      <c r="K63" s="5">
        <v>1878218</v>
      </c>
      <c r="L63" s="4">
        <f t="shared" si="0"/>
        <v>3353536600</v>
      </c>
      <c r="M63" s="18"/>
    </row>
    <row r="64" spans="1:13" ht="17.25" customHeight="1">
      <c r="A64" s="6" t="str">
        <f t="shared" si="4"/>
        <v>C27</v>
      </c>
      <c r="B64" s="3">
        <v>42240</v>
      </c>
      <c r="C64" s="3">
        <v>42240</v>
      </c>
      <c r="D64" s="4"/>
      <c r="E64" s="20" t="s">
        <v>162</v>
      </c>
      <c r="F64" s="5" t="s">
        <v>508</v>
      </c>
      <c r="G64" s="105" t="s">
        <v>984</v>
      </c>
      <c r="H64" s="5" t="s">
        <v>888</v>
      </c>
      <c r="I64" s="26" t="s">
        <v>35</v>
      </c>
      <c r="J64" s="19"/>
      <c r="K64" s="5">
        <v>187822</v>
      </c>
      <c r="L64" s="4">
        <f t="shared" si="0"/>
        <v>3353348778</v>
      </c>
      <c r="M64" s="18"/>
    </row>
    <row r="65" spans="1:13" ht="17.25" customHeight="1">
      <c r="A65" s="6" t="str">
        <f t="shared" ref="A65:A66" si="15">D65&amp;E65</f>
        <v>C28</v>
      </c>
      <c r="B65" s="3">
        <v>42241</v>
      </c>
      <c r="C65" s="3">
        <v>42241</v>
      </c>
      <c r="D65" s="4"/>
      <c r="E65" s="20" t="s">
        <v>163</v>
      </c>
      <c r="F65" s="5" t="s">
        <v>507</v>
      </c>
      <c r="G65" s="105" t="s">
        <v>985</v>
      </c>
      <c r="H65" s="5" t="s">
        <v>888</v>
      </c>
      <c r="I65" s="26" t="s">
        <v>94</v>
      </c>
      <c r="J65" s="19"/>
      <c r="K65" s="5">
        <v>713027</v>
      </c>
      <c r="L65" s="4">
        <f t="shared" si="0"/>
        <v>3352635751</v>
      </c>
      <c r="M65" s="18"/>
    </row>
    <row r="66" spans="1:13" ht="17.25" customHeight="1">
      <c r="A66" s="6" t="str">
        <f t="shared" si="15"/>
        <v>C28</v>
      </c>
      <c r="B66" s="3">
        <v>42241</v>
      </c>
      <c r="C66" s="3">
        <v>42241</v>
      </c>
      <c r="D66" s="4"/>
      <c r="E66" s="20" t="s">
        <v>163</v>
      </c>
      <c r="F66" s="5" t="s">
        <v>508</v>
      </c>
      <c r="G66" s="105" t="s">
        <v>985</v>
      </c>
      <c r="H66" s="5" t="s">
        <v>888</v>
      </c>
      <c r="I66" s="26" t="s">
        <v>35</v>
      </c>
      <c r="J66" s="19"/>
      <c r="K66" s="5">
        <v>71303</v>
      </c>
      <c r="L66" s="4">
        <f t="shared" si="0"/>
        <v>3352564448</v>
      </c>
      <c r="M66" s="18"/>
    </row>
    <row r="67" spans="1:13" ht="17.25" customHeight="1">
      <c r="A67" s="6" t="str">
        <f t="shared" ref="A67" si="16">D67&amp;E67</f>
        <v>C29</v>
      </c>
      <c r="B67" s="3">
        <v>42241</v>
      </c>
      <c r="C67" s="3">
        <v>42241</v>
      </c>
      <c r="D67" s="4"/>
      <c r="E67" s="20" t="s">
        <v>164</v>
      </c>
      <c r="F67" s="5" t="s">
        <v>1016</v>
      </c>
      <c r="G67" s="105" t="s">
        <v>1017</v>
      </c>
      <c r="H67" s="5" t="s">
        <v>1018</v>
      </c>
      <c r="I67" s="26" t="s">
        <v>34</v>
      </c>
      <c r="J67" s="19"/>
      <c r="K67" s="5">
        <v>9800000</v>
      </c>
      <c r="L67" s="4">
        <f t="shared" si="0"/>
        <v>3342764448</v>
      </c>
      <c r="M67" s="18"/>
    </row>
    <row r="68" spans="1:13" ht="17.25" customHeight="1">
      <c r="A68" s="6" t="str">
        <f t="shared" si="4"/>
        <v>C30</v>
      </c>
      <c r="B68" s="3">
        <v>42244</v>
      </c>
      <c r="C68" s="3">
        <v>42244</v>
      </c>
      <c r="D68" s="4"/>
      <c r="E68" s="20" t="s">
        <v>165</v>
      </c>
      <c r="F68" s="5" t="s">
        <v>971</v>
      </c>
      <c r="G68" s="5"/>
      <c r="H68" s="5" t="s">
        <v>187</v>
      </c>
      <c r="I68" s="26" t="s">
        <v>36</v>
      </c>
      <c r="J68" s="19"/>
      <c r="K68" s="5">
        <v>700000000</v>
      </c>
      <c r="L68" s="4">
        <f t="shared" si="0"/>
        <v>2642764448</v>
      </c>
      <c r="M68" s="18"/>
    </row>
    <row r="69" spans="1:13" ht="17.25" customHeight="1">
      <c r="A69" s="6" t="str">
        <f t="shared" si="4"/>
        <v>C31</v>
      </c>
      <c r="B69" s="3">
        <v>42244</v>
      </c>
      <c r="C69" s="3">
        <v>42244</v>
      </c>
      <c r="D69" s="4"/>
      <c r="E69" s="20" t="s">
        <v>166</v>
      </c>
      <c r="F69" s="5" t="s">
        <v>507</v>
      </c>
      <c r="G69" s="105" t="s">
        <v>986</v>
      </c>
      <c r="H69" s="5" t="s">
        <v>888</v>
      </c>
      <c r="I69" s="26" t="s">
        <v>94</v>
      </c>
      <c r="J69" s="19"/>
      <c r="K69" s="5">
        <v>730418</v>
      </c>
      <c r="L69" s="4">
        <f t="shared" si="0"/>
        <v>2642034030</v>
      </c>
      <c r="M69" s="18"/>
    </row>
    <row r="70" spans="1:13" ht="17.25" customHeight="1">
      <c r="A70" s="6" t="str">
        <f t="shared" si="4"/>
        <v>C31</v>
      </c>
      <c r="B70" s="3">
        <v>42244</v>
      </c>
      <c r="C70" s="3">
        <v>42244</v>
      </c>
      <c r="D70" s="4"/>
      <c r="E70" s="20" t="s">
        <v>166</v>
      </c>
      <c r="F70" s="5" t="s">
        <v>508</v>
      </c>
      <c r="G70" s="105" t="s">
        <v>986</v>
      </c>
      <c r="H70" s="5" t="s">
        <v>888</v>
      </c>
      <c r="I70" s="26" t="s">
        <v>35</v>
      </c>
      <c r="J70" s="19"/>
      <c r="K70" s="5">
        <v>73042</v>
      </c>
      <c r="L70" s="4">
        <f t="shared" si="0"/>
        <v>2641960988</v>
      </c>
      <c r="M70" s="18"/>
    </row>
    <row r="71" spans="1:13" ht="17.25" customHeight="1">
      <c r="A71" s="6" t="str">
        <f t="shared" si="4"/>
        <v>C32</v>
      </c>
      <c r="B71" s="3">
        <v>42245</v>
      </c>
      <c r="C71" s="3">
        <v>42245</v>
      </c>
      <c r="D71" s="4"/>
      <c r="E71" s="20" t="s">
        <v>167</v>
      </c>
      <c r="F71" s="5" t="s">
        <v>971</v>
      </c>
      <c r="G71" s="5"/>
      <c r="H71" s="5" t="s">
        <v>187</v>
      </c>
      <c r="I71" s="26" t="s">
        <v>36</v>
      </c>
      <c r="J71" s="19"/>
      <c r="K71" s="5">
        <v>800000000</v>
      </c>
      <c r="L71" s="4">
        <f t="shared" si="0"/>
        <v>1841960988</v>
      </c>
      <c r="M71" s="18"/>
    </row>
    <row r="72" spans="1:13" ht="17.25" customHeight="1">
      <c r="A72" s="6" t="str">
        <f t="shared" ref="A72" si="17">D72&amp;E72</f>
        <v>C33</v>
      </c>
      <c r="B72" s="3">
        <v>42245</v>
      </c>
      <c r="C72" s="3">
        <v>42245</v>
      </c>
      <c r="D72" s="4"/>
      <c r="E72" s="20" t="s">
        <v>168</v>
      </c>
      <c r="F72" s="5" t="s">
        <v>971</v>
      </c>
      <c r="G72" s="5"/>
      <c r="H72" s="5" t="s">
        <v>990</v>
      </c>
      <c r="I72" s="26" t="s">
        <v>36</v>
      </c>
      <c r="J72" s="19"/>
      <c r="K72" s="6">
        <v>70000000</v>
      </c>
      <c r="L72" s="4">
        <f t="shared" si="0"/>
        <v>1771960988</v>
      </c>
      <c r="M72" s="18"/>
    </row>
    <row r="73" spans="1:13" ht="17.25" customHeight="1">
      <c r="A73" s="6" t="str">
        <f t="shared" ref="A73:A74" si="18">D73&amp;E73</f>
        <v>C34</v>
      </c>
      <c r="B73" s="3">
        <v>42245</v>
      </c>
      <c r="C73" s="3">
        <v>42245</v>
      </c>
      <c r="D73" s="4"/>
      <c r="E73" s="20" t="s">
        <v>169</v>
      </c>
      <c r="F73" s="5" t="s">
        <v>1019</v>
      </c>
      <c r="G73" s="105" t="s">
        <v>670</v>
      </c>
      <c r="H73" s="5" t="s">
        <v>565</v>
      </c>
      <c r="I73" s="26" t="s">
        <v>94</v>
      </c>
      <c r="J73" s="19"/>
      <c r="K73" s="5">
        <v>15000000</v>
      </c>
      <c r="L73" s="4">
        <f t="shared" si="0"/>
        <v>1756960988</v>
      </c>
      <c r="M73" s="18"/>
    </row>
    <row r="74" spans="1:13" ht="17.25" customHeight="1">
      <c r="A74" s="6" t="str">
        <f t="shared" si="18"/>
        <v>C34</v>
      </c>
      <c r="B74" s="3">
        <v>42245</v>
      </c>
      <c r="C74" s="3">
        <v>42245</v>
      </c>
      <c r="D74" s="4"/>
      <c r="E74" s="20" t="s">
        <v>169</v>
      </c>
      <c r="F74" s="5" t="s">
        <v>1020</v>
      </c>
      <c r="G74" s="105" t="s">
        <v>670</v>
      </c>
      <c r="H74" s="5" t="s">
        <v>565</v>
      </c>
      <c r="I74" s="26" t="s">
        <v>35</v>
      </c>
      <c r="J74" s="19"/>
      <c r="K74" s="5">
        <v>1500000</v>
      </c>
      <c r="L74" s="4">
        <f t="shared" si="0"/>
        <v>1755460988</v>
      </c>
      <c r="M74" s="18"/>
    </row>
    <row r="75" spans="1:13" ht="17.25" customHeight="1">
      <c r="A75" s="6" t="str">
        <f t="shared" ref="A75:A76" si="19">D75&amp;E75</f>
        <v>C35</v>
      </c>
      <c r="B75" s="3">
        <v>42245</v>
      </c>
      <c r="C75" s="3">
        <v>42245</v>
      </c>
      <c r="D75" s="4"/>
      <c r="E75" s="20" t="s">
        <v>170</v>
      </c>
      <c r="F75" s="5" t="s">
        <v>332</v>
      </c>
      <c r="G75" s="5"/>
      <c r="H75" s="5" t="s">
        <v>335</v>
      </c>
      <c r="I75" s="26" t="s">
        <v>334</v>
      </c>
      <c r="J75" s="19"/>
      <c r="K75" s="5">
        <v>500000000</v>
      </c>
      <c r="L75" s="4">
        <f t="shared" si="0"/>
        <v>1255460988</v>
      </c>
      <c r="M75" s="18"/>
    </row>
    <row r="76" spans="1:13" ht="17.25" customHeight="1">
      <c r="A76" s="6" t="str">
        <f t="shared" si="19"/>
        <v>C36</v>
      </c>
      <c r="B76" s="3">
        <v>42245</v>
      </c>
      <c r="C76" s="3">
        <v>42245</v>
      </c>
      <c r="D76" s="4"/>
      <c r="E76" s="20" t="s">
        <v>171</v>
      </c>
      <c r="F76" s="5" t="s">
        <v>332</v>
      </c>
      <c r="G76" s="5"/>
      <c r="H76" s="5" t="s">
        <v>333</v>
      </c>
      <c r="I76" s="26" t="s">
        <v>334</v>
      </c>
      <c r="J76" s="19"/>
      <c r="K76" s="5">
        <v>330000000</v>
      </c>
      <c r="L76" s="4">
        <f t="shared" si="0"/>
        <v>925460988</v>
      </c>
      <c r="M76" s="18"/>
    </row>
    <row r="77" spans="1:13" ht="17.25" customHeight="1">
      <c r="A77" s="6" t="str">
        <f t="shared" si="4"/>
        <v>T04</v>
      </c>
      <c r="B77" s="3">
        <v>42247</v>
      </c>
      <c r="C77" s="3">
        <v>42247</v>
      </c>
      <c r="D77" s="4" t="s">
        <v>42</v>
      </c>
      <c r="E77" s="20"/>
      <c r="F77" s="5" t="s">
        <v>743</v>
      </c>
      <c r="G77" s="5"/>
      <c r="H77" s="5" t="s">
        <v>187</v>
      </c>
      <c r="I77" s="26" t="s">
        <v>36</v>
      </c>
      <c r="J77" s="19">
        <v>1830000000</v>
      </c>
      <c r="K77" s="5"/>
      <c r="L77" s="4">
        <f t="shared" si="0"/>
        <v>2755460988</v>
      </c>
      <c r="M77" s="18"/>
    </row>
    <row r="78" spans="1:13" ht="17.25" customHeight="1">
      <c r="A78" s="6" t="str">
        <f t="shared" ref="A78:A79" si="20">D78&amp;E78</f>
        <v>C37</v>
      </c>
      <c r="B78" s="3">
        <v>42247</v>
      </c>
      <c r="C78" s="3">
        <v>42247</v>
      </c>
      <c r="D78" s="4"/>
      <c r="E78" s="20" t="s">
        <v>172</v>
      </c>
      <c r="F78" s="5" t="s">
        <v>1002</v>
      </c>
      <c r="G78" s="105" t="s">
        <v>1004</v>
      </c>
      <c r="H78" s="5" t="s">
        <v>318</v>
      </c>
      <c r="I78" s="26" t="s">
        <v>94</v>
      </c>
      <c r="J78" s="19"/>
      <c r="K78" s="5">
        <v>97650</v>
      </c>
      <c r="L78" s="4">
        <f t="shared" ref="L78:L88" si="21">IF(F78&lt;&gt;"",L77+J78-K78,0)</f>
        <v>2755363338</v>
      </c>
      <c r="M78" s="18"/>
    </row>
    <row r="79" spans="1:13" ht="17.25" customHeight="1">
      <c r="A79" s="6" t="str">
        <f t="shared" si="20"/>
        <v>C37</v>
      </c>
      <c r="B79" s="3">
        <v>42247</v>
      </c>
      <c r="C79" s="3">
        <v>42247</v>
      </c>
      <c r="D79" s="4"/>
      <c r="E79" s="20" t="s">
        <v>172</v>
      </c>
      <c r="F79" s="5" t="s">
        <v>1003</v>
      </c>
      <c r="G79" s="105" t="s">
        <v>1004</v>
      </c>
      <c r="H79" s="5" t="s">
        <v>318</v>
      </c>
      <c r="I79" s="26" t="s">
        <v>35</v>
      </c>
      <c r="J79" s="19"/>
      <c r="K79" s="5">
        <v>9765</v>
      </c>
      <c r="L79" s="4">
        <f t="shared" si="21"/>
        <v>2755353573</v>
      </c>
      <c r="M79" s="18"/>
    </row>
    <row r="80" spans="1:13" ht="17.25" customHeight="1">
      <c r="A80" s="6" t="str">
        <f t="shared" ref="A80" si="22">D80&amp;E80</f>
        <v>C38</v>
      </c>
      <c r="B80" s="3">
        <v>42247</v>
      </c>
      <c r="C80" s="3">
        <v>42247</v>
      </c>
      <c r="D80" s="4"/>
      <c r="E80" s="20" t="s">
        <v>336</v>
      </c>
      <c r="F80" s="5" t="s">
        <v>970</v>
      </c>
      <c r="G80" s="5"/>
      <c r="H80" s="5" t="s">
        <v>187</v>
      </c>
      <c r="I80" s="26" t="s">
        <v>36</v>
      </c>
      <c r="J80" s="19"/>
      <c r="K80" s="5">
        <v>900000000</v>
      </c>
      <c r="L80" s="4">
        <f t="shared" si="21"/>
        <v>1855353573</v>
      </c>
      <c r="M80" s="18"/>
    </row>
    <row r="81" spans="1:13" ht="17.25" customHeight="1">
      <c r="A81" s="6" t="str">
        <f t="shared" si="4"/>
        <v>C39</v>
      </c>
      <c r="B81" s="3">
        <v>42247</v>
      </c>
      <c r="C81" s="3">
        <v>42247</v>
      </c>
      <c r="D81" s="4"/>
      <c r="E81" s="20" t="s">
        <v>337</v>
      </c>
      <c r="F81" s="5" t="s">
        <v>987</v>
      </c>
      <c r="G81" s="105" t="s">
        <v>1024</v>
      </c>
      <c r="H81" s="5" t="s">
        <v>988</v>
      </c>
      <c r="I81" s="26" t="s">
        <v>94</v>
      </c>
      <c r="J81" s="19"/>
      <c r="K81" s="5">
        <v>900000</v>
      </c>
      <c r="L81" s="4">
        <f t="shared" si="21"/>
        <v>1854453573</v>
      </c>
      <c r="M81" s="18"/>
    </row>
    <row r="82" spans="1:13" ht="17.25" customHeight="1">
      <c r="A82" s="6" t="str">
        <f t="shared" ref="A82" si="23">D82&amp;E82</f>
        <v>C39</v>
      </c>
      <c r="B82" s="3">
        <v>42247</v>
      </c>
      <c r="C82" s="3">
        <v>42247</v>
      </c>
      <c r="D82" s="4"/>
      <c r="E82" s="20" t="s">
        <v>337</v>
      </c>
      <c r="F82" s="5" t="s">
        <v>989</v>
      </c>
      <c r="G82" s="105" t="s">
        <v>1024</v>
      </c>
      <c r="H82" s="5" t="s">
        <v>988</v>
      </c>
      <c r="I82" s="26" t="s">
        <v>35</v>
      </c>
      <c r="J82" s="19"/>
      <c r="K82" s="5">
        <v>45000</v>
      </c>
      <c r="L82" s="4">
        <f t="shared" si="21"/>
        <v>1854408573</v>
      </c>
      <c r="M82" s="18"/>
    </row>
    <row r="83" spans="1:13" ht="17.25" customHeight="1">
      <c r="A83" s="6" t="str">
        <f t="shared" ref="A83:A84" si="24">D83&amp;E83</f>
        <v>C40</v>
      </c>
      <c r="B83" s="3">
        <v>42247</v>
      </c>
      <c r="C83" s="3">
        <v>42247</v>
      </c>
      <c r="D83" s="4"/>
      <c r="E83" s="20" t="s">
        <v>338</v>
      </c>
      <c r="F83" s="5" t="s">
        <v>756</v>
      </c>
      <c r="G83" s="105" t="s">
        <v>1025</v>
      </c>
      <c r="H83" s="5" t="s">
        <v>192</v>
      </c>
      <c r="I83" s="26" t="s">
        <v>94</v>
      </c>
      <c r="J83" s="19"/>
      <c r="K83" s="5">
        <v>2642145</v>
      </c>
      <c r="L83" s="4">
        <f t="shared" si="21"/>
        <v>1851766428</v>
      </c>
      <c r="M83" s="18"/>
    </row>
    <row r="84" spans="1:13" ht="17.25" customHeight="1">
      <c r="A84" s="6" t="str">
        <f t="shared" si="24"/>
        <v>C40</v>
      </c>
      <c r="B84" s="3">
        <v>42247</v>
      </c>
      <c r="C84" s="3">
        <v>42247</v>
      </c>
      <c r="D84" s="4"/>
      <c r="E84" s="20" t="s">
        <v>338</v>
      </c>
      <c r="F84" s="5" t="s">
        <v>1005</v>
      </c>
      <c r="G84" s="105" t="s">
        <v>1025</v>
      </c>
      <c r="H84" s="5" t="s">
        <v>192</v>
      </c>
      <c r="I84" s="26" t="s">
        <v>35</v>
      </c>
      <c r="J84" s="19"/>
      <c r="K84" s="5">
        <v>264215</v>
      </c>
      <c r="L84" s="4">
        <f t="shared" si="21"/>
        <v>1851502213</v>
      </c>
      <c r="M84" s="18"/>
    </row>
    <row r="85" spans="1:13" ht="17.25" customHeight="1">
      <c r="A85" s="6" t="str">
        <f>D85&amp;E85</f>
        <v>C41</v>
      </c>
      <c r="B85" s="3">
        <v>42247</v>
      </c>
      <c r="C85" s="3">
        <v>42247</v>
      </c>
      <c r="D85" s="4"/>
      <c r="E85" s="20" t="s">
        <v>339</v>
      </c>
      <c r="F85" s="28" t="s">
        <v>1027</v>
      </c>
      <c r="G85" s="106" t="s">
        <v>1028</v>
      </c>
      <c r="H85" s="38" t="s">
        <v>721</v>
      </c>
      <c r="I85" s="26" t="s">
        <v>94</v>
      </c>
      <c r="J85" s="19"/>
      <c r="K85" s="5">
        <v>1000000</v>
      </c>
      <c r="L85" s="4">
        <f t="shared" si="21"/>
        <v>1850502213</v>
      </c>
      <c r="M85" s="18"/>
    </row>
    <row r="86" spans="1:13" ht="17.25" customHeight="1">
      <c r="A86" s="6" t="str">
        <f t="shared" ref="A86:A87" si="25">D86&amp;E86</f>
        <v>C42</v>
      </c>
      <c r="B86" s="3">
        <v>42247</v>
      </c>
      <c r="C86" s="3">
        <v>42247</v>
      </c>
      <c r="D86" s="4"/>
      <c r="E86" s="20" t="s">
        <v>340</v>
      </c>
      <c r="F86" s="5" t="s">
        <v>623</v>
      </c>
      <c r="G86" s="5"/>
      <c r="H86" s="5" t="s">
        <v>501</v>
      </c>
      <c r="I86" s="26" t="s">
        <v>94</v>
      </c>
      <c r="J86" s="19"/>
      <c r="K86" s="5">
        <v>1082000</v>
      </c>
      <c r="L86" s="4">
        <f t="shared" si="21"/>
        <v>1849420213</v>
      </c>
      <c r="M86" s="18"/>
    </row>
    <row r="87" spans="1:13" ht="17.25" customHeight="1">
      <c r="A87" s="6" t="str">
        <f t="shared" si="25"/>
        <v>C42</v>
      </c>
      <c r="B87" s="3">
        <v>42247</v>
      </c>
      <c r="C87" s="3">
        <v>42247</v>
      </c>
      <c r="D87" s="4"/>
      <c r="E87" s="20" t="s">
        <v>340</v>
      </c>
      <c r="F87" s="5" t="s">
        <v>499</v>
      </c>
      <c r="G87" s="5"/>
      <c r="H87" s="5" t="s">
        <v>501</v>
      </c>
      <c r="I87" s="26" t="s">
        <v>35</v>
      </c>
      <c r="J87" s="19"/>
      <c r="K87" s="5">
        <v>108000</v>
      </c>
      <c r="L87" s="4">
        <f t="shared" si="21"/>
        <v>1849312213</v>
      </c>
      <c r="M87" s="18"/>
    </row>
    <row r="88" spans="1:13" ht="17.25" customHeight="1">
      <c r="A88" s="6" t="str">
        <f t="shared" si="4"/>
        <v>C43</v>
      </c>
      <c r="B88" s="3">
        <v>42247</v>
      </c>
      <c r="C88" s="3">
        <f>B88</f>
        <v>42247</v>
      </c>
      <c r="D88" s="4"/>
      <c r="E88" s="20" t="s">
        <v>341</v>
      </c>
      <c r="F88" s="5" t="s">
        <v>1030</v>
      </c>
      <c r="G88" s="5"/>
      <c r="H88" s="5" t="s">
        <v>261</v>
      </c>
      <c r="I88" s="26" t="s">
        <v>37</v>
      </c>
      <c r="J88" s="19"/>
      <c r="K88" s="5">
        <v>132563877</v>
      </c>
      <c r="L88" s="4">
        <f t="shared" si="21"/>
        <v>1716748336</v>
      </c>
      <c r="M88" s="18"/>
    </row>
    <row r="89" spans="1:13" ht="17.25" customHeight="1"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7.25" customHeight="1"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4440000000</v>
      </c>
      <c r="K90" s="32">
        <f>SUM(K13:K89)</f>
        <v>4940702547</v>
      </c>
      <c r="L90" s="33" t="s">
        <v>30</v>
      </c>
      <c r="M90" s="33" t="s">
        <v>30</v>
      </c>
    </row>
    <row r="91" spans="1:13" s="34" customFormat="1" ht="17.25" customHeight="1"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1716748336</v>
      </c>
      <c r="M91" s="36" t="s">
        <v>30</v>
      </c>
    </row>
    <row r="92" spans="1:13" hidden="1"/>
    <row r="93" spans="1:13">
      <c r="B93" s="25" t="s">
        <v>47</v>
      </c>
    </row>
    <row r="94" spans="1:13">
      <c r="B94" s="25" t="s">
        <v>938</v>
      </c>
    </row>
    <row r="95" spans="1:13">
      <c r="L95" s="8" t="s">
        <v>939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9" s="2" customFormat="1">
      <c r="C97" s="2" t="s">
        <v>15</v>
      </c>
      <c r="F97" s="2" t="s">
        <v>15</v>
      </c>
      <c r="L97" s="2" t="s">
        <v>16</v>
      </c>
    </row>
    <row r="98" spans="3:19" s="2" customFormat="1"/>
    <row r="99" spans="3:19" s="2" customFormat="1"/>
    <row r="100" spans="3:19" s="2" customFormat="1"/>
    <row r="101" spans="3:19" s="2" customFormat="1"/>
    <row r="102" spans="3:19" s="2" customFormat="1"/>
    <row r="103" spans="3:19" s="419" customFormat="1">
      <c r="C103" s="420" t="s">
        <v>1388</v>
      </c>
      <c r="L103" s="420" t="s">
        <v>1389</v>
      </c>
      <c r="O103" s="6"/>
      <c r="P103" s="6"/>
      <c r="Q103" s="6"/>
      <c r="R103" s="6"/>
      <c r="S103" s="6"/>
    </row>
  </sheetData>
  <autoFilter ref="B11:M91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24 H49 H75">
    <cfRule type="expression" dxfId="20" priority="1" stopIfTrue="1">
      <formula>$C24&lt;&gt;""</formula>
    </cfRule>
  </conditionalFormatting>
  <printOptions horizontalCentered="1"/>
  <pageMargins left="0.9" right="0.3" top="0.3" bottom="0.3" header="0.23622047244094499" footer="0.15748031496063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81</vt:i4>
      </vt:variant>
    </vt:vector>
  </HeadingPairs>
  <TitlesOfParts>
    <vt:vector size="100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_DSC10</vt:lpstr>
      <vt:lpstr>_DSC11</vt:lpstr>
      <vt:lpstr>_DSC12</vt:lpstr>
      <vt:lpstr>_DSC2</vt:lpstr>
      <vt:lpstr>_DSC3</vt:lpstr>
      <vt:lpstr>_DSC4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'11'!Print_Area</vt:lpstr>
      <vt:lpstr>'12'!Print_Area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'09'!Print_Titles</vt:lpstr>
      <vt:lpstr>'10'!Print_Titles</vt:lpstr>
      <vt:lpstr>'11'!Print_Titles</vt:lpstr>
      <vt:lpstr>'12'!Print_Titles</vt:lpstr>
      <vt:lpstr>'CT-USD'!Print_Titles</vt:lpstr>
      <vt:lpstr>'CT-VND'!Print_Titles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2016-02-01T08:42:09Z</cp:lastPrinted>
  <dcterms:created xsi:type="dcterms:W3CDTF">2013-12-12T04:07:41Z</dcterms:created>
  <dcterms:modified xsi:type="dcterms:W3CDTF">2016-02-01T08:42:32Z</dcterms:modified>
</cp:coreProperties>
</file>