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555" windowWidth="14820" windowHeight="8265" tabRatio="894"/>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TH!$S$10:$S$1109</definedName>
    <definedName name="_C112">TH!$V$10:$V$1109</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TH!$A$9:$AA$987</definedName>
    <definedName name="_xlnm._FilterDatabase" localSheetId="20" hidden="1">TK!$A$1:$J$1</definedName>
    <definedName name="_N111">TH!$R$10:$R$1109</definedName>
    <definedName name="_N112">TH!$U$10:$U$1109</definedName>
    <definedName name="_TH">TH!$K$10:$K$1109</definedName>
    <definedName name="DG">TH!$J$10:$J$1109</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'331'!$B$4:$B$41</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TH!$H$10:$H$1109</definedName>
    <definedName name="KHC">TH!$O$10:$O$1109</definedName>
    <definedName name="KHN">TH!$N$10:$N$1109</definedName>
    <definedName name="Loai">OFFSET(TH!$P$5,,,COUNTA(TH!$P$5:$P$39419))</definedName>
    <definedName name="Loai1">OFFSET(TH!$Q$5,,,COUNTA(TH!$Q$5:$Q$39419))</definedName>
    <definedName name="Loai10">OFFSET(TH!$AD$5,,,COUNTA(TH!$AD$5:$AD$39419))</definedName>
    <definedName name="Loai11">OFFSET(TH!$Y$5,,,COUNTA(TH!$Y$5:$Y$39419))</definedName>
    <definedName name="Loai2">OFFSET(TH!$T$5,,,COUNTA(TH!$T$5:$T$39419))</definedName>
    <definedName name="Loai3">OFFSET('SO-TS'!$P$13,,,COUNTA('SO-TS'!$P$13:$P$3935))</definedName>
    <definedName name="Loai4">OFFSET(TH!$W$5,,,COUNTA(TH!$W$5:$W$39419))</definedName>
    <definedName name="Loai5">OFFSET(TH!$X$5,,,COUNTA(TH!$X$5:$X$39419))</definedName>
    <definedName name="Loai6">OFFSET(TH!$Z$5,,,COUNTA(TH!$Z$5:$Z$39419))</definedName>
    <definedName name="Loai7">OFFSET(TH!$AA$5,,,COUNTA(TH!$AA$5:$AA$39419))</definedName>
    <definedName name="Loai8">OFFSET(TH!$AB$5,,,COUNTA(TH!$AB$5:$AB$39419))</definedName>
    <definedName name="Loai9">OFFSET(TH!$AC$5,,,COUNTA(TH!$AC$5:$AC$39419))</definedName>
    <definedName name="MH">TH!$F$10:$F$1109</definedName>
    <definedName name="NXT">NXT!$A$12:$A$379</definedName>
    <definedName name="_xlnm.Print_Area" localSheetId="8">'111'!$A$1:$J$120</definedName>
    <definedName name="_xlnm.Print_Area" localSheetId="9">'112'!$A$1:$I$99</definedName>
    <definedName name="_xlnm.Print_Area" localSheetId="19">'152-CT'!$B$2:$M$37</definedName>
    <definedName name="_xlnm.Print_Area" localSheetId="12">'331'!$A$1:$H$42</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0">CDPS!$A$8:$H$72</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TH!$I$10:$I$1109</definedName>
    <definedName name="TH">TH!$M$10:$M$1109</definedName>
    <definedName name="TM">TH!$A$10:$O$1109</definedName>
  </definedNames>
  <calcPr calcId="124519"/>
</workbook>
</file>

<file path=xl/calcChain.xml><?xml version="1.0" encoding="utf-8"?>
<calcChain xmlns="http://schemas.openxmlformats.org/spreadsheetml/2006/main">
  <c r="F64" i="15"/>
  <c r="E64"/>
  <c r="F67"/>
  <c r="E67"/>
  <c r="F66"/>
  <c r="E66"/>
  <c r="G68" i="60"/>
  <c r="M770" i="34"/>
  <c r="M772" s="1"/>
  <c r="M769"/>
  <c r="M771" s="1"/>
  <c r="M768"/>
  <c r="M767"/>
  <c r="M766"/>
  <c r="M765"/>
  <c r="M764"/>
  <c r="M763"/>
  <c r="M762"/>
  <c r="M761"/>
  <c r="B856"/>
  <c r="B857"/>
  <c r="B858"/>
  <c r="B859"/>
  <c r="AD855"/>
  <c r="AC855"/>
  <c r="AB855"/>
  <c r="AA855"/>
  <c r="Y855"/>
  <c r="W855"/>
  <c r="V855"/>
  <c r="U855"/>
  <c r="T855"/>
  <c r="P855"/>
  <c r="B855"/>
  <c r="R855" s="1"/>
  <c r="AD854"/>
  <c r="AC854"/>
  <c r="AB854"/>
  <c r="AA854"/>
  <c r="Y854"/>
  <c r="W854"/>
  <c r="V854"/>
  <c r="U854"/>
  <c r="T854"/>
  <c r="P854"/>
  <c r="B854"/>
  <c r="R854" s="1"/>
  <c r="E853"/>
  <c r="E852"/>
  <c r="E851"/>
  <c r="B851"/>
  <c r="B852"/>
  <c r="B853"/>
  <c r="AC923"/>
  <c r="AB923"/>
  <c r="AA923"/>
  <c r="Y923"/>
  <c r="W923"/>
  <c r="P923"/>
  <c r="C923"/>
  <c r="AD923" s="1"/>
  <c r="K922"/>
  <c r="K921"/>
  <c r="AC922"/>
  <c r="AB922"/>
  <c r="AA922"/>
  <c r="Y922"/>
  <c r="W922"/>
  <c r="P922"/>
  <c r="C922"/>
  <c r="AD922" s="1"/>
  <c r="K920"/>
  <c r="AC921"/>
  <c r="AB921"/>
  <c r="AA921"/>
  <c r="Y921"/>
  <c r="W921"/>
  <c r="P921"/>
  <c r="C921"/>
  <c r="AD921" s="1"/>
  <c r="AC920"/>
  <c r="AB920"/>
  <c r="AA920"/>
  <c r="Y920"/>
  <c r="W920"/>
  <c r="P920"/>
  <c r="C920"/>
  <c r="AD920" s="1"/>
  <c r="K918"/>
  <c r="AC919"/>
  <c r="AB919"/>
  <c r="AA919"/>
  <c r="Y919"/>
  <c r="W919"/>
  <c r="P919"/>
  <c r="M919"/>
  <c r="C919"/>
  <c r="AD919" s="1"/>
  <c r="AC886"/>
  <c r="AB886"/>
  <c r="AA886"/>
  <c r="Y886"/>
  <c r="W886"/>
  <c r="P886"/>
  <c r="C886"/>
  <c r="AD886" s="1"/>
  <c r="AC885"/>
  <c r="AB885"/>
  <c r="AA885"/>
  <c r="Y885"/>
  <c r="W885"/>
  <c r="P885"/>
  <c r="C885"/>
  <c r="B885" s="1"/>
  <c r="AC887"/>
  <c r="AB887"/>
  <c r="AA887"/>
  <c r="Y887"/>
  <c r="W887"/>
  <c r="P887"/>
  <c r="C887"/>
  <c r="AD887" s="1"/>
  <c r="AC888"/>
  <c r="AB888"/>
  <c r="AA888"/>
  <c r="Y888"/>
  <c r="W888"/>
  <c r="P888"/>
  <c r="C888"/>
  <c r="AD888" s="1"/>
  <c r="AC900"/>
  <c r="AB900"/>
  <c r="Y900"/>
  <c r="W900"/>
  <c r="P900"/>
  <c r="C900"/>
  <c r="AD900" s="1"/>
  <c r="C911"/>
  <c r="C912"/>
  <c r="C913"/>
  <c r="C914"/>
  <c r="C915"/>
  <c r="C916"/>
  <c r="C917"/>
  <c r="C918"/>
  <c r="C924"/>
  <c r="C901"/>
  <c r="C902"/>
  <c r="C903"/>
  <c r="C904"/>
  <c r="C905"/>
  <c r="C906"/>
  <c r="C907"/>
  <c r="C908"/>
  <c r="C909"/>
  <c r="C910"/>
  <c r="C893"/>
  <c r="C894"/>
  <c r="C895"/>
  <c r="C896"/>
  <c r="C897"/>
  <c r="C898"/>
  <c r="C899"/>
  <c r="Q854" l="1"/>
  <c r="S854"/>
  <c r="Q855"/>
  <c r="S855"/>
  <c r="A854"/>
  <c r="A855"/>
  <c r="B923"/>
  <c r="B922"/>
  <c r="B921"/>
  <c r="B920"/>
  <c r="Q920" s="1"/>
  <c r="AD885"/>
  <c r="B919"/>
  <c r="V885"/>
  <c r="R885"/>
  <c r="U885"/>
  <c r="Q885"/>
  <c r="A885"/>
  <c r="T885"/>
  <c r="S885"/>
  <c r="B886"/>
  <c r="B887"/>
  <c r="B888"/>
  <c r="B900"/>
  <c r="C879"/>
  <c r="C880"/>
  <c r="C881"/>
  <c r="C882"/>
  <c r="C883"/>
  <c r="C884"/>
  <c r="C889"/>
  <c r="C890"/>
  <c r="C891"/>
  <c r="C892"/>
  <c r="C870"/>
  <c r="C871"/>
  <c r="C872"/>
  <c r="C873"/>
  <c r="C874"/>
  <c r="C875"/>
  <c r="C876"/>
  <c r="C877"/>
  <c r="C878"/>
  <c r="M864"/>
  <c r="M865"/>
  <c r="M866"/>
  <c r="M867"/>
  <c r="M868"/>
  <c r="M869"/>
  <c r="M861"/>
  <c r="M862"/>
  <c r="M863"/>
  <c r="M860"/>
  <c r="C861"/>
  <c r="B861" s="1"/>
  <c r="C862"/>
  <c r="C863"/>
  <c r="C864"/>
  <c r="C865"/>
  <c r="C866"/>
  <c r="C867"/>
  <c r="C868"/>
  <c r="C869"/>
  <c r="C860"/>
  <c r="B860" s="1"/>
  <c r="M842"/>
  <c r="B842"/>
  <c r="A842" s="1"/>
  <c r="E842"/>
  <c r="P842"/>
  <c r="T842"/>
  <c r="U842"/>
  <c r="V842"/>
  <c r="W842"/>
  <c r="Y842"/>
  <c r="AB842"/>
  <c r="AC842"/>
  <c r="AD842"/>
  <c r="B843"/>
  <c r="A843" s="1"/>
  <c r="E843"/>
  <c r="P843"/>
  <c r="T843"/>
  <c r="U843"/>
  <c r="V843"/>
  <c r="W843"/>
  <c r="Y843"/>
  <c r="AB843"/>
  <c r="AC843"/>
  <c r="AD843"/>
  <c r="B828"/>
  <c r="A828" s="1"/>
  <c r="E828"/>
  <c r="P828"/>
  <c r="T828"/>
  <c r="U828"/>
  <c r="V828"/>
  <c r="W828"/>
  <c r="Y828"/>
  <c r="AB828"/>
  <c r="AC828"/>
  <c r="AD828"/>
  <c r="B829"/>
  <c r="A829" s="1"/>
  <c r="E829"/>
  <c r="P829"/>
  <c r="T829"/>
  <c r="U829"/>
  <c r="V829"/>
  <c r="W829"/>
  <c r="Y829"/>
  <c r="AB829"/>
  <c r="AC829"/>
  <c r="AD829"/>
  <c r="B820"/>
  <c r="A820" s="1"/>
  <c r="P820"/>
  <c r="T820"/>
  <c r="U820"/>
  <c r="V820"/>
  <c r="W820"/>
  <c r="Y820"/>
  <c r="AB820"/>
  <c r="AC820"/>
  <c r="AD820"/>
  <c r="B821"/>
  <c r="A821" s="1"/>
  <c r="P821"/>
  <c r="T821"/>
  <c r="U821"/>
  <c r="V821"/>
  <c r="W821"/>
  <c r="Y821"/>
  <c r="AB821"/>
  <c r="AC821"/>
  <c r="AD821"/>
  <c r="B824"/>
  <c r="A824" s="1"/>
  <c r="P824"/>
  <c r="T824"/>
  <c r="U824"/>
  <c r="V824"/>
  <c r="W824"/>
  <c r="Y824"/>
  <c r="AB824"/>
  <c r="AC824"/>
  <c r="AD824"/>
  <c r="B825"/>
  <c r="A825" s="1"/>
  <c r="P825"/>
  <c r="T825"/>
  <c r="U825"/>
  <c r="V825"/>
  <c r="W825"/>
  <c r="Y825"/>
  <c r="AB825"/>
  <c r="AC825"/>
  <c r="AD825"/>
  <c r="A15" i="12"/>
  <c r="B849" i="34"/>
  <c r="A849" s="1"/>
  <c r="E849"/>
  <c r="P849"/>
  <c r="T849"/>
  <c r="U849"/>
  <c r="V849"/>
  <c r="W849"/>
  <c r="Y849"/>
  <c r="AB849"/>
  <c r="AC849"/>
  <c r="AD849"/>
  <c r="B850"/>
  <c r="A850" s="1"/>
  <c r="E850"/>
  <c r="P850"/>
  <c r="T850"/>
  <c r="U850"/>
  <c r="V850"/>
  <c r="W850"/>
  <c r="Y850"/>
  <c r="AB850"/>
  <c r="AC850"/>
  <c r="AD850"/>
  <c r="A18" i="12"/>
  <c r="B724" i="34"/>
  <c r="A724" s="1"/>
  <c r="P724"/>
  <c r="T724"/>
  <c r="U724"/>
  <c r="V724"/>
  <c r="W724"/>
  <c r="Y724"/>
  <c r="AB724"/>
  <c r="AC724"/>
  <c r="AD724"/>
  <c r="B822"/>
  <c r="A822" s="1"/>
  <c r="P822"/>
  <c r="T822"/>
  <c r="U822"/>
  <c r="V822"/>
  <c r="W822"/>
  <c r="Y822"/>
  <c r="AB822"/>
  <c r="AC822"/>
  <c r="AD822"/>
  <c r="B823"/>
  <c r="A823" s="1"/>
  <c r="P823"/>
  <c r="T823"/>
  <c r="U823"/>
  <c r="V823"/>
  <c r="W823"/>
  <c r="Y823"/>
  <c r="AB823"/>
  <c r="AC823"/>
  <c r="AD823"/>
  <c r="E840"/>
  <c r="E841"/>
  <c r="M840"/>
  <c r="B840"/>
  <c r="A840" s="1"/>
  <c r="P840"/>
  <c r="T840"/>
  <c r="U840"/>
  <c r="V840"/>
  <c r="W840"/>
  <c r="Y840"/>
  <c r="AB840"/>
  <c r="AC840"/>
  <c r="AD840"/>
  <c r="B841"/>
  <c r="A841" s="1"/>
  <c r="P841"/>
  <c r="T841"/>
  <c r="U841"/>
  <c r="V841"/>
  <c r="W841"/>
  <c r="Y841"/>
  <c r="AB841"/>
  <c r="AC841"/>
  <c r="AD841"/>
  <c r="B819"/>
  <c r="A819" s="1"/>
  <c r="P819"/>
  <c r="T819"/>
  <c r="U819"/>
  <c r="V819"/>
  <c r="W819"/>
  <c r="Y819"/>
  <c r="AB819"/>
  <c r="AC819"/>
  <c r="AD819"/>
  <c r="E847"/>
  <c r="E848"/>
  <c r="E846"/>
  <c r="B806"/>
  <c r="A806" s="1"/>
  <c r="E806"/>
  <c r="P806"/>
  <c r="T806"/>
  <c r="U806"/>
  <c r="V806"/>
  <c r="W806"/>
  <c r="Y806"/>
  <c r="AB806"/>
  <c r="AC806"/>
  <c r="AD806"/>
  <c r="B845"/>
  <c r="A845" s="1"/>
  <c r="E845"/>
  <c r="P845"/>
  <c r="T845"/>
  <c r="U845"/>
  <c r="V845"/>
  <c r="W845"/>
  <c r="Y845"/>
  <c r="AB845"/>
  <c r="AC845"/>
  <c r="AD845"/>
  <c r="E844"/>
  <c r="B813"/>
  <c r="A813" s="1"/>
  <c r="E813"/>
  <c r="P813"/>
  <c r="T813"/>
  <c r="U813"/>
  <c r="V813"/>
  <c r="W813"/>
  <c r="Y813"/>
  <c r="AB813"/>
  <c r="AC813"/>
  <c r="AD813"/>
  <c r="A14" i="12"/>
  <c r="B21" i="55"/>
  <c r="A21" s="1"/>
  <c r="B839" i="34"/>
  <c r="A839" s="1"/>
  <c r="E839"/>
  <c r="P839"/>
  <c r="T839"/>
  <c r="U839"/>
  <c r="V839"/>
  <c r="W839"/>
  <c r="Y839"/>
  <c r="AB839"/>
  <c r="AC839"/>
  <c r="AD839"/>
  <c r="M838"/>
  <c r="B838"/>
  <c r="A838" s="1"/>
  <c r="E838"/>
  <c r="P838"/>
  <c r="T838"/>
  <c r="U838"/>
  <c r="V838"/>
  <c r="W838"/>
  <c r="Y838"/>
  <c r="AB838"/>
  <c r="AC838"/>
  <c r="AD838"/>
  <c r="B837"/>
  <c r="A837" s="1"/>
  <c r="E837"/>
  <c r="P837"/>
  <c r="T837"/>
  <c r="U837"/>
  <c r="V837"/>
  <c r="W837"/>
  <c r="Y837"/>
  <c r="AB837"/>
  <c r="AC837"/>
  <c r="AD837"/>
  <c r="M836"/>
  <c r="B836"/>
  <c r="A836" s="1"/>
  <c r="E836"/>
  <c r="P836"/>
  <c r="T836"/>
  <c r="U836"/>
  <c r="V836"/>
  <c r="W836"/>
  <c r="Y836"/>
  <c r="AB836"/>
  <c r="AC836"/>
  <c r="AD836"/>
  <c r="B835"/>
  <c r="A835" s="1"/>
  <c r="E835"/>
  <c r="P835"/>
  <c r="T835"/>
  <c r="U835"/>
  <c r="V835"/>
  <c r="W835"/>
  <c r="Y835"/>
  <c r="AB835"/>
  <c r="AC835"/>
  <c r="AD835"/>
  <c r="M834"/>
  <c r="B834"/>
  <c r="A834" s="1"/>
  <c r="E834"/>
  <c r="P834"/>
  <c r="T834"/>
  <c r="U834"/>
  <c r="V834"/>
  <c r="W834"/>
  <c r="Y834"/>
  <c r="AB834"/>
  <c r="AC834"/>
  <c r="AD834"/>
  <c r="B833"/>
  <c r="A833" s="1"/>
  <c r="E833"/>
  <c r="P833"/>
  <c r="T833"/>
  <c r="U833"/>
  <c r="V833"/>
  <c r="W833"/>
  <c r="Y833"/>
  <c r="AB833"/>
  <c r="AC833"/>
  <c r="AD833"/>
  <c r="B832"/>
  <c r="A832" s="1"/>
  <c r="E832"/>
  <c r="M832"/>
  <c r="P832"/>
  <c r="Q832"/>
  <c r="T832"/>
  <c r="U832"/>
  <c r="V832"/>
  <c r="W832"/>
  <c r="Y832"/>
  <c r="AB832"/>
  <c r="AC832"/>
  <c r="AD832"/>
  <c r="AD831"/>
  <c r="AC831"/>
  <c r="AB831"/>
  <c r="Y831"/>
  <c r="W831"/>
  <c r="V831"/>
  <c r="U831"/>
  <c r="T831"/>
  <c r="P831"/>
  <c r="M831"/>
  <c r="E831"/>
  <c r="B831"/>
  <c r="S831" s="1"/>
  <c r="E830"/>
  <c r="B827"/>
  <c r="A827" s="1"/>
  <c r="E827"/>
  <c r="P827"/>
  <c r="T827"/>
  <c r="U827"/>
  <c r="V827"/>
  <c r="W827"/>
  <c r="Y827"/>
  <c r="AB827"/>
  <c r="AC827"/>
  <c r="AD827"/>
  <c r="E826"/>
  <c r="B818"/>
  <c r="A818" s="1"/>
  <c r="E818"/>
  <c r="P818"/>
  <c r="T818"/>
  <c r="U818"/>
  <c r="V818"/>
  <c r="W818"/>
  <c r="Y818"/>
  <c r="AB818"/>
  <c r="AC818"/>
  <c r="AD818"/>
  <c r="E817"/>
  <c r="E816"/>
  <c r="E815"/>
  <c r="E814"/>
  <c r="B812"/>
  <c r="A812" s="1"/>
  <c r="E812"/>
  <c r="P812"/>
  <c r="T812"/>
  <c r="U812"/>
  <c r="V812"/>
  <c r="W812"/>
  <c r="Y812"/>
  <c r="AB812"/>
  <c r="AC812"/>
  <c r="AD812"/>
  <c r="E811"/>
  <c r="B810"/>
  <c r="A810" s="1"/>
  <c r="E810"/>
  <c r="P810"/>
  <c r="T810"/>
  <c r="U810"/>
  <c r="V810"/>
  <c r="W810"/>
  <c r="Y810"/>
  <c r="AB810"/>
  <c r="AC810"/>
  <c r="AD810"/>
  <c r="B808"/>
  <c r="A808" s="1"/>
  <c r="E808"/>
  <c r="P808"/>
  <c r="T808"/>
  <c r="U808"/>
  <c r="V808"/>
  <c r="W808"/>
  <c r="Y808"/>
  <c r="AB808"/>
  <c r="AC808"/>
  <c r="AD808"/>
  <c r="B809"/>
  <c r="A809" s="1"/>
  <c r="E809"/>
  <c r="P809"/>
  <c r="T809"/>
  <c r="U809"/>
  <c r="V809"/>
  <c r="W809"/>
  <c r="Y809"/>
  <c r="AB809"/>
  <c r="AC809"/>
  <c r="AD809"/>
  <c r="B807"/>
  <c r="A807" s="1"/>
  <c r="E807"/>
  <c r="P807"/>
  <c r="T807"/>
  <c r="U807"/>
  <c r="V807"/>
  <c r="W807"/>
  <c r="Y807"/>
  <c r="AB807"/>
  <c r="AC807"/>
  <c r="AD807"/>
  <c r="U923" l="1"/>
  <c r="Q923"/>
  <c r="T923"/>
  <c r="A923"/>
  <c r="S923"/>
  <c r="V923"/>
  <c r="R923"/>
  <c r="U922"/>
  <c r="Q922"/>
  <c r="T922"/>
  <c r="A922"/>
  <c r="S922"/>
  <c r="V922"/>
  <c r="R922"/>
  <c r="U921"/>
  <c r="Q921"/>
  <c r="R921"/>
  <c r="T921"/>
  <c r="A921"/>
  <c r="V921"/>
  <c r="S921"/>
  <c r="R920"/>
  <c r="V920"/>
  <c r="A920"/>
  <c r="U920"/>
  <c r="T920"/>
  <c r="S920"/>
  <c r="U919"/>
  <c r="Q919"/>
  <c r="T919"/>
  <c r="A919"/>
  <c r="S919"/>
  <c r="V919"/>
  <c r="R919"/>
  <c r="U886"/>
  <c r="Q886"/>
  <c r="A886"/>
  <c r="T886"/>
  <c r="S886"/>
  <c r="V886"/>
  <c r="R886"/>
  <c r="U887"/>
  <c r="Q887"/>
  <c r="A887"/>
  <c r="T887"/>
  <c r="S887"/>
  <c r="V887"/>
  <c r="R887"/>
  <c r="U888"/>
  <c r="Q888"/>
  <c r="A888"/>
  <c r="T888"/>
  <c r="S888"/>
  <c r="V888"/>
  <c r="R888"/>
  <c r="Q900"/>
  <c r="A900"/>
  <c r="S900"/>
  <c r="R900"/>
  <c r="R850"/>
  <c r="Q825"/>
  <c r="S825"/>
  <c r="Q724"/>
  <c r="S824"/>
  <c r="Q821"/>
  <c r="Q820"/>
  <c r="S820"/>
  <c r="R829"/>
  <c r="R828"/>
  <c r="R843"/>
  <c r="R842"/>
  <c r="S829"/>
  <c r="Q823"/>
  <c r="S822"/>
  <c r="R849"/>
  <c r="R824"/>
  <c r="Q829"/>
  <c r="R819"/>
  <c r="R841"/>
  <c r="R840"/>
  <c r="Q822"/>
  <c r="S724"/>
  <c r="Q824"/>
  <c r="S821"/>
  <c r="S843"/>
  <c r="Q843"/>
  <c r="S842"/>
  <c r="Q842"/>
  <c r="S828"/>
  <c r="Q828"/>
  <c r="R821"/>
  <c r="R820"/>
  <c r="R825"/>
  <c r="S849"/>
  <c r="Q849"/>
  <c r="S850"/>
  <c r="Q850"/>
  <c r="R724"/>
  <c r="S823"/>
  <c r="R818"/>
  <c r="A831"/>
  <c r="S832"/>
  <c r="S833"/>
  <c r="R836"/>
  <c r="S837"/>
  <c r="R823"/>
  <c r="R822"/>
  <c r="Q833"/>
  <c r="R835"/>
  <c r="R838"/>
  <c r="S839"/>
  <c r="R806"/>
  <c r="R834"/>
  <c r="S835"/>
  <c r="Q835"/>
  <c r="Q837"/>
  <c r="Q839"/>
  <c r="R845"/>
  <c r="S840"/>
  <c r="Q840"/>
  <c r="S841"/>
  <c r="Q841"/>
  <c r="S819"/>
  <c r="Q819"/>
  <c r="S806"/>
  <c r="Q806"/>
  <c r="S845"/>
  <c r="Q845"/>
  <c r="R813"/>
  <c r="S813"/>
  <c r="Q813"/>
  <c r="R839"/>
  <c r="S838"/>
  <c r="Q838"/>
  <c r="R837"/>
  <c r="S836"/>
  <c r="Q836"/>
  <c r="S834"/>
  <c r="Q834"/>
  <c r="R833"/>
  <c r="R832"/>
  <c r="R807"/>
  <c r="R809"/>
  <c r="R812"/>
  <c r="R827"/>
  <c r="R831"/>
  <c r="Q831"/>
  <c r="S827"/>
  <c r="Q827"/>
  <c r="S818"/>
  <c r="Q818"/>
  <c r="S809"/>
  <c r="Q809"/>
  <c r="R808"/>
  <c r="R810"/>
  <c r="S812"/>
  <c r="Q812"/>
  <c r="S810"/>
  <c r="Q810"/>
  <c r="S808"/>
  <c r="Q808"/>
  <c r="S807"/>
  <c r="Q807"/>
  <c r="B488"/>
  <c r="B508"/>
  <c r="B513"/>
  <c r="B511"/>
  <c r="B509"/>
  <c r="B493"/>
  <c r="A493" s="1"/>
  <c r="B491"/>
  <c r="B489"/>
  <c r="B564"/>
  <c r="A564" s="1"/>
  <c r="P564"/>
  <c r="T564"/>
  <c r="U564"/>
  <c r="V564"/>
  <c r="W564"/>
  <c r="Y564"/>
  <c r="AB564"/>
  <c r="AC564"/>
  <c r="AD564"/>
  <c r="B565"/>
  <c r="A565" s="1"/>
  <c r="P565"/>
  <c r="T565"/>
  <c r="U565"/>
  <c r="V565"/>
  <c r="W565"/>
  <c r="Y565"/>
  <c r="AB565"/>
  <c r="AC565"/>
  <c r="AD565"/>
  <c r="B560"/>
  <c r="A560" s="1"/>
  <c r="P560"/>
  <c r="T560"/>
  <c r="U560"/>
  <c r="V560"/>
  <c r="W560"/>
  <c r="Y560"/>
  <c r="AB560"/>
  <c r="AC560"/>
  <c r="AD560"/>
  <c r="B561"/>
  <c r="A561" s="1"/>
  <c r="P561"/>
  <c r="T561"/>
  <c r="U561"/>
  <c r="V561"/>
  <c r="W561"/>
  <c r="Y561"/>
  <c r="AB561"/>
  <c r="AC561"/>
  <c r="AD561"/>
  <c r="B562"/>
  <c r="A562" s="1"/>
  <c r="P562"/>
  <c r="T562"/>
  <c r="U562"/>
  <c r="V562"/>
  <c r="W562"/>
  <c r="Y562"/>
  <c r="AB562"/>
  <c r="AC562"/>
  <c r="AD562"/>
  <c r="B563"/>
  <c r="A563" s="1"/>
  <c r="P563"/>
  <c r="T563"/>
  <c r="U563"/>
  <c r="V563"/>
  <c r="W563"/>
  <c r="Y563"/>
  <c r="AB563"/>
  <c r="AC563"/>
  <c r="AD563"/>
  <c r="B486"/>
  <c r="A486" s="1"/>
  <c r="P486"/>
  <c r="T486"/>
  <c r="U486"/>
  <c r="V486"/>
  <c r="W486"/>
  <c r="Y486"/>
  <c r="AB486"/>
  <c r="AC486"/>
  <c r="AD486"/>
  <c r="B487"/>
  <c r="A487" s="1"/>
  <c r="P487"/>
  <c r="T487"/>
  <c r="U487"/>
  <c r="V487"/>
  <c r="W487"/>
  <c r="Y487"/>
  <c r="AB487"/>
  <c r="AC487"/>
  <c r="AD487"/>
  <c r="B492"/>
  <c r="A492" s="1"/>
  <c r="P492"/>
  <c r="T492"/>
  <c r="U492"/>
  <c r="V492"/>
  <c r="W492"/>
  <c r="Y492"/>
  <c r="AB492"/>
  <c r="AC492"/>
  <c r="AD492"/>
  <c r="P493"/>
  <c r="T493"/>
  <c r="U493"/>
  <c r="V493"/>
  <c r="W493"/>
  <c r="Y493"/>
  <c r="AB493"/>
  <c r="AC493"/>
  <c r="AD493"/>
  <c r="B660"/>
  <c r="A660" s="1"/>
  <c r="E805"/>
  <c r="E802"/>
  <c r="E803"/>
  <c r="E804"/>
  <c r="P20"/>
  <c r="T20"/>
  <c r="U20"/>
  <c r="V20"/>
  <c r="W20"/>
  <c r="Y20"/>
  <c r="AB20"/>
  <c r="AC20"/>
  <c r="P21"/>
  <c r="T21"/>
  <c r="U21"/>
  <c r="V21"/>
  <c r="W21"/>
  <c r="Y21"/>
  <c r="AB21"/>
  <c r="AC21"/>
  <c r="P22"/>
  <c r="T22"/>
  <c r="U22"/>
  <c r="V22"/>
  <c r="W22"/>
  <c r="Y22"/>
  <c r="AB22"/>
  <c r="AC22"/>
  <c r="P23"/>
  <c r="T23"/>
  <c r="U23"/>
  <c r="V23"/>
  <c r="W23"/>
  <c r="Y23"/>
  <c r="AB23"/>
  <c r="AC23"/>
  <c r="P24"/>
  <c r="T24"/>
  <c r="U24"/>
  <c r="V24"/>
  <c r="W24"/>
  <c r="Y24"/>
  <c r="AB24"/>
  <c r="AC24"/>
  <c r="P25"/>
  <c r="T25"/>
  <c r="U25"/>
  <c r="V25"/>
  <c r="W25"/>
  <c r="Y25"/>
  <c r="AB25"/>
  <c r="AC25"/>
  <c r="AD25"/>
  <c r="P26"/>
  <c r="T26"/>
  <c r="U26"/>
  <c r="V26"/>
  <c r="W26"/>
  <c r="Y26"/>
  <c r="AB26"/>
  <c r="AC26"/>
  <c r="AD26"/>
  <c r="P27"/>
  <c r="T27"/>
  <c r="U27"/>
  <c r="V27"/>
  <c r="W27"/>
  <c r="Y27"/>
  <c r="AB27"/>
  <c r="AC27"/>
  <c r="AD27"/>
  <c r="P28"/>
  <c r="T28"/>
  <c r="U28"/>
  <c r="V28"/>
  <c r="W28"/>
  <c r="Y28"/>
  <c r="AB28"/>
  <c r="AC28"/>
  <c r="AD28"/>
  <c r="P29"/>
  <c r="T29"/>
  <c r="U29"/>
  <c r="V29"/>
  <c r="W29"/>
  <c r="Y29"/>
  <c r="AB29"/>
  <c r="AC29"/>
  <c r="AD29"/>
  <c r="P30"/>
  <c r="T30"/>
  <c r="U30"/>
  <c r="V30"/>
  <c r="W30"/>
  <c r="Y30"/>
  <c r="AB30"/>
  <c r="AC30"/>
  <c r="AD30"/>
  <c r="P31"/>
  <c r="T31"/>
  <c r="U31"/>
  <c r="V31"/>
  <c r="W31"/>
  <c r="Y31"/>
  <c r="AB31"/>
  <c r="AC31"/>
  <c r="AD31"/>
  <c r="P32"/>
  <c r="T32"/>
  <c r="U32"/>
  <c r="V32"/>
  <c r="W32"/>
  <c r="Y32"/>
  <c r="AB32"/>
  <c r="AC32"/>
  <c r="AD32"/>
  <c r="P33"/>
  <c r="T33"/>
  <c r="U33"/>
  <c r="V33"/>
  <c r="W33"/>
  <c r="Y33"/>
  <c r="AB33"/>
  <c r="AC33"/>
  <c r="AD33"/>
  <c r="P34"/>
  <c r="T34"/>
  <c r="U34"/>
  <c r="V34"/>
  <c r="W34"/>
  <c r="Y34"/>
  <c r="AB34"/>
  <c r="AC34"/>
  <c r="AD34"/>
  <c r="P35"/>
  <c r="T35"/>
  <c r="U35"/>
  <c r="V35"/>
  <c r="W35"/>
  <c r="Y35"/>
  <c r="AB35"/>
  <c r="AC35"/>
  <c r="AD35"/>
  <c r="P36"/>
  <c r="T36"/>
  <c r="U36"/>
  <c r="V36"/>
  <c r="W36"/>
  <c r="Y36"/>
  <c r="AB36"/>
  <c r="AC36"/>
  <c r="AD36"/>
  <c r="P37"/>
  <c r="T37"/>
  <c r="U37"/>
  <c r="V37"/>
  <c r="W37"/>
  <c r="Y37"/>
  <c r="AB37"/>
  <c r="AC37"/>
  <c r="AD37"/>
  <c r="P38"/>
  <c r="T38"/>
  <c r="U38"/>
  <c r="V38"/>
  <c r="W38"/>
  <c r="Y38"/>
  <c r="AB38"/>
  <c r="AC38"/>
  <c r="AD38"/>
  <c r="P39"/>
  <c r="T39"/>
  <c r="U39"/>
  <c r="V39"/>
  <c r="W39"/>
  <c r="Y39"/>
  <c r="AB39"/>
  <c r="AC39"/>
  <c r="AD39"/>
  <c r="P40"/>
  <c r="T40"/>
  <c r="U40"/>
  <c r="V40"/>
  <c r="W40"/>
  <c r="Y40"/>
  <c r="AB40"/>
  <c r="AC40"/>
  <c r="AD40"/>
  <c r="P41"/>
  <c r="T41"/>
  <c r="U41"/>
  <c r="V41"/>
  <c r="W41"/>
  <c r="Y41"/>
  <c r="AB41"/>
  <c r="AC41"/>
  <c r="AD41"/>
  <c r="P42"/>
  <c r="T42"/>
  <c r="U42"/>
  <c r="V42"/>
  <c r="W42"/>
  <c r="Y42"/>
  <c r="AB42"/>
  <c r="AC42"/>
  <c r="AD42"/>
  <c r="P43"/>
  <c r="T43"/>
  <c r="U43"/>
  <c r="V43"/>
  <c r="W43"/>
  <c r="Y43"/>
  <c r="AB43"/>
  <c r="AC43"/>
  <c r="AD43"/>
  <c r="P44"/>
  <c r="T44"/>
  <c r="U44"/>
  <c r="V44"/>
  <c r="W44"/>
  <c r="Y44"/>
  <c r="AB44"/>
  <c r="AC44"/>
  <c r="AD44"/>
  <c r="P45"/>
  <c r="T45"/>
  <c r="U45"/>
  <c r="V45"/>
  <c r="W45"/>
  <c r="Y45"/>
  <c r="AB45"/>
  <c r="AC45"/>
  <c r="AD45"/>
  <c r="P46"/>
  <c r="T46"/>
  <c r="U46"/>
  <c r="V46"/>
  <c r="W46"/>
  <c r="Y46"/>
  <c r="AB46"/>
  <c r="AC46"/>
  <c r="AD46"/>
  <c r="P47"/>
  <c r="T47"/>
  <c r="U47"/>
  <c r="V47"/>
  <c r="W47"/>
  <c r="Y47"/>
  <c r="AB47"/>
  <c r="AC47"/>
  <c r="AD47"/>
  <c r="P48"/>
  <c r="T48"/>
  <c r="U48"/>
  <c r="V48"/>
  <c r="W48"/>
  <c r="Y48"/>
  <c r="AB48"/>
  <c r="AC48"/>
  <c r="AD48"/>
  <c r="P49"/>
  <c r="T49"/>
  <c r="U49"/>
  <c r="V49"/>
  <c r="W49"/>
  <c r="Y49"/>
  <c r="AB49"/>
  <c r="AC49"/>
  <c r="AD49"/>
  <c r="P50"/>
  <c r="T50"/>
  <c r="U50"/>
  <c r="V50"/>
  <c r="W50"/>
  <c r="Y50"/>
  <c r="AB50"/>
  <c r="AC50"/>
  <c r="AD50"/>
  <c r="P51"/>
  <c r="T51"/>
  <c r="U51"/>
  <c r="V51"/>
  <c r="W51"/>
  <c r="Y51"/>
  <c r="AB51"/>
  <c r="AC51"/>
  <c r="AD51"/>
  <c r="P52"/>
  <c r="T52"/>
  <c r="U52"/>
  <c r="V52"/>
  <c r="W52"/>
  <c r="Y52"/>
  <c r="AB52"/>
  <c r="AC52"/>
  <c r="AD52"/>
  <c r="P53"/>
  <c r="T53"/>
  <c r="U53"/>
  <c r="V53"/>
  <c r="W53"/>
  <c r="Y53"/>
  <c r="AB53"/>
  <c r="AC53"/>
  <c r="AD53"/>
  <c r="P54"/>
  <c r="T54"/>
  <c r="U54"/>
  <c r="V54"/>
  <c r="W54"/>
  <c r="Y54"/>
  <c r="AB54"/>
  <c r="AC54"/>
  <c r="AD54"/>
  <c r="P55"/>
  <c r="T55"/>
  <c r="U55"/>
  <c r="V55"/>
  <c r="W55"/>
  <c r="Y55"/>
  <c r="AB55"/>
  <c r="AC55"/>
  <c r="AD55"/>
  <c r="P56"/>
  <c r="T56"/>
  <c r="U56"/>
  <c r="V56"/>
  <c r="W56"/>
  <c r="Y56"/>
  <c r="AB56"/>
  <c r="AC56"/>
  <c r="AD56"/>
  <c r="P57"/>
  <c r="T57"/>
  <c r="U57"/>
  <c r="V57"/>
  <c r="W57"/>
  <c r="Y57"/>
  <c r="AB57"/>
  <c r="AC57"/>
  <c r="AD57"/>
  <c r="P58"/>
  <c r="T58"/>
  <c r="U58"/>
  <c r="V58"/>
  <c r="W58"/>
  <c r="Y58"/>
  <c r="AB58"/>
  <c r="AC58"/>
  <c r="AD58"/>
  <c r="P59"/>
  <c r="T59"/>
  <c r="U59"/>
  <c r="V59"/>
  <c r="W59"/>
  <c r="Y59"/>
  <c r="AB59"/>
  <c r="AC59"/>
  <c r="AD59"/>
  <c r="P60"/>
  <c r="T60"/>
  <c r="U60"/>
  <c r="V60"/>
  <c r="W60"/>
  <c r="Y60"/>
  <c r="AB60"/>
  <c r="AC60"/>
  <c r="AD60"/>
  <c r="P61"/>
  <c r="T61"/>
  <c r="U61"/>
  <c r="V61"/>
  <c r="W61"/>
  <c r="Y61"/>
  <c r="AB61"/>
  <c r="AC61"/>
  <c r="AD61"/>
  <c r="P62"/>
  <c r="T62"/>
  <c r="U62"/>
  <c r="V62"/>
  <c r="W62"/>
  <c r="Y62"/>
  <c r="AB62"/>
  <c r="AC62"/>
  <c r="AD62"/>
  <c r="P63"/>
  <c r="T63"/>
  <c r="U63"/>
  <c r="V63"/>
  <c r="W63"/>
  <c r="Y63"/>
  <c r="AB63"/>
  <c r="AC63"/>
  <c r="AD63"/>
  <c r="P64"/>
  <c r="T64"/>
  <c r="U64"/>
  <c r="V64"/>
  <c r="W64"/>
  <c r="Y64"/>
  <c r="AB64"/>
  <c r="AC64"/>
  <c r="AD64"/>
  <c r="P65"/>
  <c r="T65"/>
  <c r="U65"/>
  <c r="V65"/>
  <c r="W65"/>
  <c r="Y65"/>
  <c r="AB65"/>
  <c r="AC65"/>
  <c r="AD65"/>
  <c r="P66"/>
  <c r="T66"/>
  <c r="U66"/>
  <c r="V66"/>
  <c r="W66"/>
  <c r="Y66"/>
  <c r="AB66"/>
  <c r="AC66"/>
  <c r="AD66"/>
  <c r="P67"/>
  <c r="T67"/>
  <c r="U67"/>
  <c r="V67"/>
  <c r="W67"/>
  <c r="Y67"/>
  <c r="AB67"/>
  <c r="AC67"/>
  <c r="AD67"/>
  <c r="P68"/>
  <c r="T68"/>
  <c r="U68"/>
  <c r="V68"/>
  <c r="W68"/>
  <c r="Y68"/>
  <c r="AB68"/>
  <c r="AC68"/>
  <c r="AD68"/>
  <c r="P69"/>
  <c r="T69"/>
  <c r="U69"/>
  <c r="V69"/>
  <c r="W69"/>
  <c r="Y69"/>
  <c r="AB69"/>
  <c r="AC69"/>
  <c r="AD69"/>
  <c r="P70"/>
  <c r="T70"/>
  <c r="U70"/>
  <c r="V70"/>
  <c r="W70"/>
  <c r="Y70"/>
  <c r="AB70"/>
  <c r="AC70"/>
  <c r="AD70"/>
  <c r="P71"/>
  <c r="T71"/>
  <c r="U71"/>
  <c r="V71"/>
  <c r="W71"/>
  <c r="Y71"/>
  <c r="AB71"/>
  <c r="AC71"/>
  <c r="AD71"/>
  <c r="P72"/>
  <c r="T72"/>
  <c r="U72"/>
  <c r="V72"/>
  <c r="W72"/>
  <c r="Y72"/>
  <c r="AB72"/>
  <c r="AC72"/>
  <c r="AD72"/>
  <c r="P73"/>
  <c r="T73"/>
  <c r="U73"/>
  <c r="V73"/>
  <c r="W73"/>
  <c r="Y73"/>
  <c r="AB73"/>
  <c r="AC73"/>
  <c r="AD73"/>
  <c r="P74"/>
  <c r="T74"/>
  <c r="U74"/>
  <c r="V74"/>
  <c r="W74"/>
  <c r="Y74"/>
  <c r="AB74"/>
  <c r="AC74"/>
  <c r="AD74"/>
  <c r="P75"/>
  <c r="T75"/>
  <c r="U75"/>
  <c r="V75"/>
  <c r="W75"/>
  <c r="Y75"/>
  <c r="AB75"/>
  <c r="AC75"/>
  <c r="AD75"/>
  <c r="P76"/>
  <c r="T76"/>
  <c r="U76"/>
  <c r="V76"/>
  <c r="W76"/>
  <c r="Y76"/>
  <c r="AB76"/>
  <c r="AC76"/>
  <c r="AD76"/>
  <c r="P77"/>
  <c r="T77"/>
  <c r="U77"/>
  <c r="V77"/>
  <c r="W77"/>
  <c r="Y77"/>
  <c r="AB77"/>
  <c r="AC77"/>
  <c r="AD77"/>
  <c r="P78"/>
  <c r="T78"/>
  <c r="U78"/>
  <c r="V78"/>
  <c r="W78"/>
  <c r="Y78"/>
  <c r="AB78"/>
  <c r="AC78"/>
  <c r="AD78"/>
  <c r="P79"/>
  <c r="T79"/>
  <c r="U79"/>
  <c r="V79"/>
  <c r="W79"/>
  <c r="Y79"/>
  <c r="AB79"/>
  <c r="AC79"/>
  <c r="AD79"/>
  <c r="P80"/>
  <c r="T80"/>
  <c r="U80"/>
  <c r="V80"/>
  <c r="W80"/>
  <c r="Y80"/>
  <c r="AB80"/>
  <c r="AC80"/>
  <c r="P81"/>
  <c r="T81"/>
  <c r="U81"/>
  <c r="V81"/>
  <c r="W81"/>
  <c r="Y81"/>
  <c r="AB81"/>
  <c r="AC81"/>
  <c r="P82"/>
  <c r="T82"/>
  <c r="U82"/>
  <c r="V82"/>
  <c r="W82"/>
  <c r="Y82"/>
  <c r="AB82"/>
  <c r="AC82"/>
  <c r="P83"/>
  <c r="T83"/>
  <c r="U83"/>
  <c r="V83"/>
  <c r="W83"/>
  <c r="Y83"/>
  <c r="AB83"/>
  <c r="AC83"/>
  <c r="P84"/>
  <c r="T84"/>
  <c r="U84"/>
  <c r="V84"/>
  <c r="W84"/>
  <c r="Y84"/>
  <c r="AB84"/>
  <c r="AC84"/>
  <c r="P85"/>
  <c r="T85"/>
  <c r="U85"/>
  <c r="V85"/>
  <c r="W85"/>
  <c r="Y85"/>
  <c r="AB85"/>
  <c r="AC85"/>
  <c r="P86"/>
  <c r="T86"/>
  <c r="U86"/>
  <c r="V86"/>
  <c r="W86"/>
  <c r="Y86"/>
  <c r="AB86"/>
  <c r="AC86"/>
  <c r="P87"/>
  <c r="T87"/>
  <c r="U87"/>
  <c r="V87"/>
  <c r="W87"/>
  <c r="Y87"/>
  <c r="AB87"/>
  <c r="AC87"/>
  <c r="P88"/>
  <c r="T88"/>
  <c r="U88"/>
  <c r="V88"/>
  <c r="W88"/>
  <c r="Y88"/>
  <c r="AB88"/>
  <c r="AC88"/>
  <c r="P89"/>
  <c r="T89"/>
  <c r="U89"/>
  <c r="V89"/>
  <c r="W89"/>
  <c r="Y89"/>
  <c r="AB89"/>
  <c r="AC89"/>
  <c r="P90"/>
  <c r="T90"/>
  <c r="U90"/>
  <c r="V90"/>
  <c r="W90"/>
  <c r="Y90"/>
  <c r="AB90"/>
  <c r="AC90"/>
  <c r="AD90"/>
  <c r="P91"/>
  <c r="T91"/>
  <c r="U91"/>
  <c r="V91"/>
  <c r="W91"/>
  <c r="Y91"/>
  <c r="AB91"/>
  <c r="AC91"/>
  <c r="P92"/>
  <c r="T92"/>
  <c r="U92"/>
  <c r="V92"/>
  <c r="W92"/>
  <c r="Y92"/>
  <c r="AB92"/>
  <c r="AC92"/>
  <c r="P93"/>
  <c r="T93"/>
  <c r="U93"/>
  <c r="V93"/>
  <c r="W93"/>
  <c r="Y93"/>
  <c r="AB93"/>
  <c r="AC93"/>
  <c r="P94"/>
  <c r="T94"/>
  <c r="U94"/>
  <c r="V94"/>
  <c r="W94"/>
  <c r="Y94"/>
  <c r="AB94"/>
  <c r="AC94"/>
  <c r="P95"/>
  <c r="T95"/>
  <c r="U95"/>
  <c r="V95"/>
  <c r="W95"/>
  <c r="Y95"/>
  <c r="AB95"/>
  <c r="AC95"/>
  <c r="P96"/>
  <c r="T96"/>
  <c r="U96"/>
  <c r="V96"/>
  <c r="W96"/>
  <c r="Y96"/>
  <c r="AB96"/>
  <c r="AC96"/>
  <c r="P97"/>
  <c r="T97"/>
  <c r="U97"/>
  <c r="V97"/>
  <c r="W97"/>
  <c r="Y97"/>
  <c r="AB97"/>
  <c r="AC97"/>
  <c r="P98"/>
  <c r="T98"/>
  <c r="U98"/>
  <c r="V98"/>
  <c r="W98"/>
  <c r="Y98"/>
  <c r="AB98"/>
  <c r="AC98"/>
  <c r="P99"/>
  <c r="T99"/>
  <c r="U99"/>
  <c r="V99"/>
  <c r="W99"/>
  <c r="Y99"/>
  <c r="AB99"/>
  <c r="AC99"/>
  <c r="P100"/>
  <c r="T100"/>
  <c r="U100"/>
  <c r="V100"/>
  <c r="W100"/>
  <c r="Y100"/>
  <c r="AB100"/>
  <c r="AC100"/>
  <c r="P101"/>
  <c r="T101"/>
  <c r="U101"/>
  <c r="V101"/>
  <c r="W101"/>
  <c r="Y101"/>
  <c r="AB101"/>
  <c r="AC101"/>
  <c r="P102"/>
  <c r="T102"/>
  <c r="U102"/>
  <c r="V102"/>
  <c r="W102"/>
  <c r="Y102"/>
  <c r="AB102"/>
  <c r="AC102"/>
  <c r="P103"/>
  <c r="T103"/>
  <c r="U103"/>
  <c r="V103"/>
  <c r="W103"/>
  <c r="Y103"/>
  <c r="AB103"/>
  <c r="AC103"/>
  <c r="P104"/>
  <c r="T104"/>
  <c r="U104"/>
  <c r="V104"/>
  <c r="W104"/>
  <c r="Y104"/>
  <c r="AB104"/>
  <c r="AC104"/>
  <c r="P105"/>
  <c r="T105"/>
  <c r="U105"/>
  <c r="V105"/>
  <c r="W105"/>
  <c r="Y105"/>
  <c r="AB105"/>
  <c r="AC105"/>
  <c r="P106"/>
  <c r="T106"/>
  <c r="U106"/>
  <c r="V106"/>
  <c r="W106"/>
  <c r="Y106"/>
  <c r="AB106"/>
  <c r="AC106"/>
  <c r="P107"/>
  <c r="T107"/>
  <c r="U107"/>
  <c r="V107"/>
  <c r="W107"/>
  <c r="Y107"/>
  <c r="AB107"/>
  <c r="AC107"/>
  <c r="P108"/>
  <c r="T108"/>
  <c r="U108"/>
  <c r="V108"/>
  <c r="W108"/>
  <c r="Y108"/>
  <c r="AB108"/>
  <c r="AC108"/>
  <c r="P109"/>
  <c r="T109"/>
  <c r="U109"/>
  <c r="V109"/>
  <c r="W109"/>
  <c r="Y109"/>
  <c r="AB109"/>
  <c r="AC109"/>
  <c r="P110"/>
  <c r="T110"/>
  <c r="U110"/>
  <c r="V110"/>
  <c r="W110"/>
  <c r="Y110"/>
  <c r="AB110"/>
  <c r="AC110"/>
  <c r="P111"/>
  <c r="T111"/>
  <c r="U111"/>
  <c r="V111"/>
  <c r="W111"/>
  <c r="Y111"/>
  <c r="AB111"/>
  <c r="AC111"/>
  <c r="P112"/>
  <c r="T112"/>
  <c r="U112"/>
  <c r="V112"/>
  <c r="W112"/>
  <c r="Y112"/>
  <c r="AB112"/>
  <c r="AC112"/>
  <c r="P113"/>
  <c r="T113"/>
  <c r="U113"/>
  <c r="V113"/>
  <c r="W113"/>
  <c r="Y113"/>
  <c r="AB113"/>
  <c r="AC113"/>
  <c r="P114"/>
  <c r="T114"/>
  <c r="U114"/>
  <c r="V114"/>
  <c r="W114"/>
  <c r="Y114"/>
  <c r="AB114"/>
  <c r="AC114"/>
  <c r="P115"/>
  <c r="T115"/>
  <c r="U115"/>
  <c r="V115"/>
  <c r="W115"/>
  <c r="Y115"/>
  <c r="AB115"/>
  <c r="AC115"/>
  <c r="P116"/>
  <c r="T116"/>
  <c r="U116"/>
  <c r="V116"/>
  <c r="W116"/>
  <c r="Y116"/>
  <c r="AB116"/>
  <c r="AC116"/>
  <c r="P117"/>
  <c r="T117"/>
  <c r="U117"/>
  <c r="V117"/>
  <c r="W117"/>
  <c r="Y117"/>
  <c r="AB117"/>
  <c r="AC117"/>
  <c r="P118"/>
  <c r="T118"/>
  <c r="U118"/>
  <c r="V118"/>
  <c r="W118"/>
  <c r="Y118"/>
  <c r="AB118"/>
  <c r="AC118"/>
  <c r="P119"/>
  <c r="T119"/>
  <c r="U119"/>
  <c r="V119"/>
  <c r="W119"/>
  <c r="Y119"/>
  <c r="AB119"/>
  <c r="AC119"/>
  <c r="P120"/>
  <c r="T120"/>
  <c r="U120"/>
  <c r="V120"/>
  <c r="W120"/>
  <c r="Y120"/>
  <c r="AB120"/>
  <c r="AC120"/>
  <c r="P121"/>
  <c r="T121"/>
  <c r="U121"/>
  <c r="V121"/>
  <c r="W121"/>
  <c r="Y121"/>
  <c r="AB121"/>
  <c r="AC121"/>
  <c r="P122"/>
  <c r="T122"/>
  <c r="U122"/>
  <c r="V122"/>
  <c r="W122"/>
  <c r="Y122"/>
  <c r="AB122"/>
  <c r="AC122"/>
  <c r="P123"/>
  <c r="T123"/>
  <c r="U123"/>
  <c r="V123"/>
  <c r="W123"/>
  <c r="Y123"/>
  <c r="AB123"/>
  <c r="AC123"/>
  <c r="P124"/>
  <c r="T124"/>
  <c r="U124"/>
  <c r="V124"/>
  <c r="W124"/>
  <c r="Y124"/>
  <c r="AB124"/>
  <c r="AC124"/>
  <c r="P125"/>
  <c r="T125"/>
  <c r="U125"/>
  <c r="V125"/>
  <c r="W125"/>
  <c r="Y125"/>
  <c r="AB125"/>
  <c r="AC125"/>
  <c r="P126"/>
  <c r="T126"/>
  <c r="U126"/>
  <c r="V126"/>
  <c r="W126"/>
  <c r="Y126"/>
  <c r="AB126"/>
  <c r="AC126"/>
  <c r="P127"/>
  <c r="T127"/>
  <c r="U127"/>
  <c r="V127"/>
  <c r="W127"/>
  <c r="Y127"/>
  <c r="AB127"/>
  <c r="AC127"/>
  <c r="P128"/>
  <c r="T128"/>
  <c r="U128"/>
  <c r="V128"/>
  <c r="W128"/>
  <c r="Y128"/>
  <c r="AB128"/>
  <c r="AC128"/>
  <c r="P129"/>
  <c r="T129"/>
  <c r="U129"/>
  <c r="V129"/>
  <c r="W129"/>
  <c r="Y129"/>
  <c r="AB129"/>
  <c r="AC129"/>
  <c r="P130"/>
  <c r="T130"/>
  <c r="U130"/>
  <c r="V130"/>
  <c r="W130"/>
  <c r="Y130"/>
  <c r="AB130"/>
  <c r="AC130"/>
  <c r="AD130"/>
  <c r="P131"/>
  <c r="T131"/>
  <c r="U131"/>
  <c r="V131"/>
  <c r="W131"/>
  <c r="Y131"/>
  <c r="AB131"/>
  <c r="AC131"/>
  <c r="AD131"/>
  <c r="P132"/>
  <c r="T132"/>
  <c r="U132"/>
  <c r="V132"/>
  <c r="W132"/>
  <c r="Y132"/>
  <c r="AB132"/>
  <c r="AC132"/>
  <c r="AD132"/>
  <c r="P133"/>
  <c r="T133"/>
  <c r="U133"/>
  <c r="V133"/>
  <c r="W133"/>
  <c r="Y133"/>
  <c r="AB133"/>
  <c r="AC133"/>
  <c r="AD133"/>
  <c r="P134"/>
  <c r="T134"/>
  <c r="U134"/>
  <c r="V134"/>
  <c r="W134"/>
  <c r="Y134"/>
  <c r="AB134"/>
  <c r="AC134"/>
  <c r="AD134"/>
  <c r="P135"/>
  <c r="T135"/>
  <c r="U135"/>
  <c r="V135"/>
  <c r="W135"/>
  <c r="Y135"/>
  <c r="AB135"/>
  <c r="AC135"/>
  <c r="AD135"/>
  <c r="P136"/>
  <c r="T136"/>
  <c r="U136"/>
  <c r="V136"/>
  <c r="W136"/>
  <c r="Y136"/>
  <c r="AB136"/>
  <c r="AC136"/>
  <c r="AD136"/>
  <c r="P137"/>
  <c r="T137"/>
  <c r="U137"/>
  <c r="V137"/>
  <c r="W137"/>
  <c r="Y137"/>
  <c r="AB137"/>
  <c r="AC137"/>
  <c r="AD137"/>
  <c r="P138"/>
  <c r="T138"/>
  <c r="U138"/>
  <c r="V138"/>
  <c r="W138"/>
  <c r="Y138"/>
  <c r="AB138"/>
  <c r="AC138"/>
  <c r="AD138"/>
  <c r="P139"/>
  <c r="T139"/>
  <c r="U139"/>
  <c r="V139"/>
  <c r="W139"/>
  <c r="Y139"/>
  <c r="AB139"/>
  <c r="AC139"/>
  <c r="AD139"/>
  <c r="P140"/>
  <c r="T140"/>
  <c r="U140"/>
  <c r="V140"/>
  <c r="W140"/>
  <c r="Y140"/>
  <c r="AB140"/>
  <c r="AC140"/>
  <c r="AD140"/>
  <c r="P141"/>
  <c r="T141"/>
  <c r="U141"/>
  <c r="V141"/>
  <c r="W141"/>
  <c r="Y141"/>
  <c r="AB141"/>
  <c r="AC141"/>
  <c r="AD141"/>
  <c r="P142"/>
  <c r="T142"/>
  <c r="U142"/>
  <c r="V142"/>
  <c r="W142"/>
  <c r="Y142"/>
  <c r="AB142"/>
  <c r="AC142"/>
  <c r="AD142"/>
  <c r="P143"/>
  <c r="T143"/>
  <c r="U143"/>
  <c r="V143"/>
  <c r="W143"/>
  <c r="Y143"/>
  <c r="AB143"/>
  <c r="AC143"/>
  <c r="AD143"/>
  <c r="P144"/>
  <c r="T144"/>
  <c r="U144"/>
  <c r="V144"/>
  <c r="W144"/>
  <c r="Y144"/>
  <c r="AB144"/>
  <c r="AC144"/>
  <c r="AD144"/>
  <c r="P145"/>
  <c r="T145"/>
  <c r="U145"/>
  <c r="V145"/>
  <c r="W145"/>
  <c r="Y145"/>
  <c r="AB145"/>
  <c r="AC145"/>
  <c r="AD145"/>
  <c r="P146"/>
  <c r="T146"/>
  <c r="U146"/>
  <c r="V146"/>
  <c r="W146"/>
  <c r="Y146"/>
  <c r="AB146"/>
  <c r="AC146"/>
  <c r="AD146"/>
  <c r="P147"/>
  <c r="T147"/>
  <c r="U147"/>
  <c r="V147"/>
  <c r="W147"/>
  <c r="Y147"/>
  <c r="AB147"/>
  <c r="AC147"/>
  <c r="AD147"/>
  <c r="P148"/>
  <c r="T148"/>
  <c r="U148"/>
  <c r="V148"/>
  <c r="W148"/>
  <c r="Y148"/>
  <c r="AB148"/>
  <c r="AC148"/>
  <c r="AD148"/>
  <c r="P149"/>
  <c r="T149"/>
  <c r="U149"/>
  <c r="V149"/>
  <c r="W149"/>
  <c r="Y149"/>
  <c r="AB149"/>
  <c r="AC149"/>
  <c r="AD149"/>
  <c r="P150"/>
  <c r="T150"/>
  <c r="U150"/>
  <c r="V150"/>
  <c r="W150"/>
  <c r="Y150"/>
  <c r="AB150"/>
  <c r="AC150"/>
  <c r="AD150"/>
  <c r="P151"/>
  <c r="T151"/>
  <c r="U151"/>
  <c r="V151"/>
  <c r="W151"/>
  <c r="Y151"/>
  <c r="AB151"/>
  <c r="AC151"/>
  <c r="P152"/>
  <c r="T152"/>
  <c r="U152"/>
  <c r="V152"/>
  <c r="W152"/>
  <c r="Y152"/>
  <c r="AB152"/>
  <c r="AC152"/>
  <c r="P153"/>
  <c r="T153"/>
  <c r="U153"/>
  <c r="V153"/>
  <c r="W153"/>
  <c r="Y153"/>
  <c r="AB153"/>
  <c r="AC153"/>
  <c r="P154"/>
  <c r="T154"/>
  <c r="U154"/>
  <c r="V154"/>
  <c r="W154"/>
  <c r="Y154"/>
  <c r="AB154"/>
  <c r="AC154"/>
  <c r="P155"/>
  <c r="T155"/>
  <c r="U155"/>
  <c r="V155"/>
  <c r="W155"/>
  <c r="Y155"/>
  <c r="AB155"/>
  <c r="AC155"/>
  <c r="P156"/>
  <c r="T156"/>
  <c r="U156"/>
  <c r="V156"/>
  <c r="W156"/>
  <c r="Y156"/>
  <c r="AB156"/>
  <c r="AC156"/>
  <c r="P157"/>
  <c r="T157"/>
  <c r="U157"/>
  <c r="V157"/>
  <c r="W157"/>
  <c r="Y157"/>
  <c r="AB157"/>
  <c r="AC157"/>
  <c r="P158"/>
  <c r="T158"/>
  <c r="U158"/>
  <c r="V158"/>
  <c r="W158"/>
  <c r="Y158"/>
  <c r="AB158"/>
  <c r="AC158"/>
  <c r="P159"/>
  <c r="T159"/>
  <c r="U159"/>
  <c r="V159"/>
  <c r="W159"/>
  <c r="Y159"/>
  <c r="AB159"/>
  <c r="AC159"/>
  <c r="P160"/>
  <c r="T160"/>
  <c r="U160"/>
  <c r="V160"/>
  <c r="W160"/>
  <c r="Y160"/>
  <c r="AB160"/>
  <c r="AC160"/>
  <c r="P161"/>
  <c r="T161"/>
  <c r="U161"/>
  <c r="V161"/>
  <c r="W161"/>
  <c r="Y161"/>
  <c r="AB161"/>
  <c r="AC161"/>
  <c r="P162"/>
  <c r="T162"/>
  <c r="U162"/>
  <c r="V162"/>
  <c r="W162"/>
  <c r="Y162"/>
  <c r="AB162"/>
  <c r="AC162"/>
  <c r="P163"/>
  <c r="T163"/>
  <c r="U163"/>
  <c r="V163"/>
  <c r="W163"/>
  <c r="Y163"/>
  <c r="AB163"/>
  <c r="AC163"/>
  <c r="P164"/>
  <c r="T164"/>
  <c r="U164"/>
  <c r="V164"/>
  <c r="W164"/>
  <c r="Y164"/>
  <c r="AB164"/>
  <c r="AC164"/>
  <c r="P165"/>
  <c r="T165"/>
  <c r="U165"/>
  <c r="V165"/>
  <c r="W165"/>
  <c r="Y165"/>
  <c r="AB165"/>
  <c r="AC165"/>
  <c r="P166"/>
  <c r="T166"/>
  <c r="U166"/>
  <c r="V166"/>
  <c r="W166"/>
  <c r="Y166"/>
  <c r="AB166"/>
  <c r="AC166"/>
  <c r="P167"/>
  <c r="T167"/>
  <c r="U167"/>
  <c r="V167"/>
  <c r="W167"/>
  <c r="Y167"/>
  <c r="AB167"/>
  <c r="AC167"/>
  <c r="P168"/>
  <c r="T168"/>
  <c r="U168"/>
  <c r="V168"/>
  <c r="W168"/>
  <c r="Y168"/>
  <c r="AB168"/>
  <c r="AC168"/>
  <c r="P169"/>
  <c r="T169"/>
  <c r="U169"/>
  <c r="V169"/>
  <c r="W169"/>
  <c r="Y169"/>
  <c r="AB169"/>
  <c r="AC169"/>
  <c r="P170"/>
  <c r="T170"/>
  <c r="U170"/>
  <c r="V170"/>
  <c r="W170"/>
  <c r="Y170"/>
  <c r="AB170"/>
  <c r="AC170"/>
  <c r="P171"/>
  <c r="T171"/>
  <c r="U171"/>
  <c r="V171"/>
  <c r="W171"/>
  <c r="Y171"/>
  <c r="AB171"/>
  <c r="AC171"/>
  <c r="P172"/>
  <c r="T172"/>
  <c r="U172"/>
  <c r="V172"/>
  <c r="W172"/>
  <c r="Y172"/>
  <c r="AB172"/>
  <c r="AC172"/>
  <c r="P173"/>
  <c r="T173"/>
  <c r="U173"/>
  <c r="V173"/>
  <c r="W173"/>
  <c r="Y173"/>
  <c r="AB173"/>
  <c r="AC173"/>
  <c r="P174"/>
  <c r="T174"/>
  <c r="U174"/>
  <c r="V174"/>
  <c r="W174"/>
  <c r="Y174"/>
  <c r="AB174"/>
  <c r="AC174"/>
  <c r="P175"/>
  <c r="T175"/>
  <c r="U175"/>
  <c r="V175"/>
  <c r="W175"/>
  <c r="Y175"/>
  <c r="AB175"/>
  <c r="AC175"/>
  <c r="P176"/>
  <c r="T176"/>
  <c r="U176"/>
  <c r="V176"/>
  <c r="W176"/>
  <c r="Y176"/>
  <c r="AB176"/>
  <c r="AC176"/>
  <c r="P177"/>
  <c r="T177"/>
  <c r="U177"/>
  <c r="V177"/>
  <c r="W177"/>
  <c r="Y177"/>
  <c r="AB177"/>
  <c r="AC177"/>
  <c r="P178"/>
  <c r="T178"/>
  <c r="U178"/>
  <c r="V178"/>
  <c r="W178"/>
  <c r="Y178"/>
  <c r="AB178"/>
  <c r="AC178"/>
  <c r="P179"/>
  <c r="T179"/>
  <c r="U179"/>
  <c r="V179"/>
  <c r="W179"/>
  <c r="Y179"/>
  <c r="AB179"/>
  <c r="AC179"/>
  <c r="P180"/>
  <c r="T180"/>
  <c r="U180"/>
  <c r="V180"/>
  <c r="W180"/>
  <c r="Y180"/>
  <c r="AB180"/>
  <c r="AC180"/>
  <c r="P181"/>
  <c r="T181"/>
  <c r="U181"/>
  <c r="V181"/>
  <c r="W181"/>
  <c r="Y181"/>
  <c r="AB181"/>
  <c r="AC181"/>
  <c r="P182"/>
  <c r="T182"/>
  <c r="U182"/>
  <c r="V182"/>
  <c r="W182"/>
  <c r="Y182"/>
  <c r="AB182"/>
  <c r="AC182"/>
  <c r="P183"/>
  <c r="T183"/>
  <c r="U183"/>
  <c r="V183"/>
  <c r="W183"/>
  <c r="Y183"/>
  <c r="AB183"/>
  <c r="AC183"/>
  <c r="P184"/>
  <c r="T184"/>
  <c r="U184"/>
  <c r="V184"/>
  <c r="W184"/>
  <c r="Y184"/>
  <c r="AB184"/>
  <c r="AC184"/>
  <c r="P185"/>
  <c r="T185"/>
  <c r="U185"/>
  <c r="V185"/>
  <c r="W185"/>
  <c r="Y185"/>
  <c r="AB185"/>
  <c r="AC185"/>
  <c r="P186"/>
  <c r="T186"/>
  <c r="U186"/>
  <c r="V186"/>
  <c r="W186"/>
  <c r="Y186"/>
  <c r="AB186"/>
  <c r="AC186"/>
  <c r="P187"/>
  <c r="T187"/>
  <c r="U187"/>
  <c r="V187"/>
  <c r="W187"/>
  <c r="Y187"/>
  <c r="AB187"/>
  <c r="AC187"/>
  <c r="P188"/>
  <c r="T188"/>
  <c r="U188"/>
  <c r="V188"/>
  <c r="W188"/>
  <c r="Y188"/>
  <c r="AB188"/>
  <c r="AC188"/>
  <c r="P189"/>
  <c r="T189"/>
  <c r="U189"/>
  <c r="V189"/>
  <c r="W189"/>
  <c r="Y189"/>
  <c r="AB189"/>
  <c r="AC189"/>
  <c r="P190"/>
  <c r="T190"/>
  <c r="U190"/>
  <c r="V190"/>
  <c r="W190"/>
  <c r="Y190"/>
  <c r="AB190"/>
  <c r="AC190"/>
  <c r="P191"/>
  <c r="T191"/>
  <c r="U191"/>
  <c r="V191"/>
  <c r="W191"/>
  <c r="Y191"/>
  <c r="AB191"/>
  <c r="AC191"/>
  <c r="P192"/>
  <c r="T192"/>
  <c r="U192"/>
  <c r="V192"/>
  <c r="W192"/>
  <c r="Y192"/>
  <c r="AB192"/>
  <c r="AC192"/>
  <c r="P193"/>
  <c r="T193"/>
  <c r="U193"/>
  <c r="V193"/>
  <c r="W193"/>
  <c r="Y193"/>
  <c r="AB193"/>
  <c r="AC193"/>
  <c r="P194"/>
  <c r="T194"/>
  <c r="U194"/>
  <c r="V194"/>
  <c r="W194"/>
  <c r="Y194"/>
  <c r="AB194"/>
  <c r="AC194"/>
  <c r="P195"/>
  <c r="T195"/>
  <c r="U195"/>
  <c r="V195"/>
  <c r="W195"/>
  <c r="Y195"/>
  <c r="AB195"/>
  <c r="AC195"/>
  <c r="P196"/>
  <c r="T196"/>
  <c r="U196"/>
  <c r="V196"/>
  <c r="W196"/>
  <c r="Y196"/>
  <c r="AB196"/>
  <c r="AC196"/>
  <c r="P197"/>
  <c r="T197"/>
  <c r="U197"/>
  <c r="V197"/>
  <c r="W197"/>
  <c r="Y197"/>
  <c r="AB197"/>
  <c r="AC197"/>
  <c r="P198"/>
  <c r="T198"/>
  <c r="U198"/>
  <c r="V198"/>
  <c r="W198"/>
  <c r="Y198"/>
  <c r="AB198"/>
  <c r="AC198"/>
  <c r="P199"/>
  <c r="T199"/>
  <c r="U199"/>
  <c r="V199"/>
  <c r="W199"/>
  <c r="Y199"/>
  <c r="AB199"/>
  <c r="AC199"/>
  <c r="P200"/>
  <c r="T200"/>
  <c r="U200"/>
  <c r="V200"/>
  <c r="W200"/>
  <c r="Y200"/>
  <c r="AB200"/>
  <c r="AC200"/>
  <c r="P201"/>
  <c r="T201"/>
  <c r="U201"/>
  <c r="V201"/>
  <c r="W201"/>
  <c r="Y201"/>
  <c r="AB201"/>
  <c r="AC201"/>
  <c r="P202"/>
  <c r="T202"/>
  <c r="U202"/>
  <c r="V202"/>
  <c r="W202"/>
  <c r="Y202"/>
  <c r="AB202"/>
  <c r="AC202"/>
  <c r="P203"/>
  <c r="T203"/>
  <c r="U203"/>
  <c r="V203"/>
  <c r="W203"/>
  <c r="Y203"/>
  <c r="AB203"/>
  <c r="AC203"/>
  <c r="P204"/>
  <c r="T204"/>
  <c r="U204"/>
  <c r="V204"/>
  <c r="W204"/>
  <c r="Y204"/>
  <c r="AB204"/>
  <c r="AC204"/>
  <c r="P205"/>
  <c r="T205"/>
  <c r="U205"/>
  <c r="V205"/>
  <c r="W205"/>
  <c r="Y205"/>
  <c r="AB205"/>
  <c r="AC205"/>
  <c r="AD205"/>
  <c r="P206"/>
  <c r="T206"/>
  <c r="U206"/>
  <c r="V206"/>
  <c r="W206"/>
  <c r="Y206"/>
  <c r="AB206"/>
  <c r="AC206"/>
  <c r="AD206"/>
  <c r="P207"/>
  <c r="T207"/>
  <c r="U207"/>
  <c r="V207"/>
  <c r="W207"/>
  <c r="Y207"/>
  <c r="AB207"/>
  <c r="AC207"/>
  <c r="AD207"/>
  <c r="P208"/>
  <c r="T208"/>
  <c r="U208"/>
  <c r="V208"/>
  <c r="W208"/>
  <c r="Y208"/>
  <c r="AB208"/>
  <c r="AC208"/>
  <c r="AD208"/>
  <c r="P209"/>
  <c r="T209"/>
  <c r="U209"/>
  <c r="V209"/>
  <c r="W209"/>
  <c r="Y209"/>
  <c r="AB209"/>
  <c r="AC209"/>
  <c r="AD209"/>
  <c r="P210"/>
  <c r="T210"/>
  <c r="U210"/>
  <c r="V210"/>
  <c r="W210"/>
  <c r="Y210"/>
  <c r="AB210"/>
  <c r="AC210"/>
  <c r="AD210"/>
  <c r="P211"/>
  <c r="T211"/>
  <c r="U211"/>
  <c r="V211"/>
  <c r="W211"/>
  <c r="Y211"/>
  <c r="AB211"/>
  <c r="AC211"/>
  <c r="AD211"/>
  <c r="P212"/>
  <c r="T212"/>
  <c r="U212"/>
  <c r="V212"/>
  <c r="W212"/>
  <c r="Y212"/>
  <c r="AB212"/>
  <c r="AC212"/>
  <c r="AD212"/>
  <c r="P213"/>
  <c r="T213"/>
  <c r="U213"/>
  <c r="V213"/>
  <c r="W213"/>
  <c r="Y213"/>
  <c r="AB213"/>
  <c r="AC213"/>
  <c r="AD213"/>
  <c r="P214"/>
  <c r="T214"/>
  <c r="U214"/>
  <c r="V214"/>
  <c r="W214"/>
  <c r="Y214"/>
  <c r="AB214"/>
  <c r="AC214"/>
  <c r="AD214"/>
  <c r="P215"/>
  <c r="T215"/>
  <c r="U215"/>
  <c r="V215"/>
  <c r="W215"/>
  <c r="Y215"/>
  <c r="AB215"/>
  <c r="AC215"/>
  <c r="AD215"/>
  <c r="P216"/>
  <c r="W216"/>
  <c r="Y216"/>
  <c r="AB216"/>
  <c r="AC216"/>
  <c r="AD216"/>
  <c r="P217"/>
  <c r="W217"/>
  <c r="Y217"/>
  <c r="AB217"/>
  <c r="AC217"/>
  <c r="AD217"/>
  <c r="P218"/>
  <c r="T218"/>
  <c r="U218"/>
  <c r="V218"/>
  <c r="W218"/>
  <c r="Y218"/>
  <c r="AB218"/>
  <c r="AC218"/>
  <c r="AD218"/>
  <c r="P219"/>
  <c r="T219"/>
  <c r="U219"/>
  <c r="V219"/>
  <c r="W219"/>
  <c r="Y219"/>
  <c r="AB219"/>
  <c r="AC219"/>
  <c r="AD219"/>
  <c r="P220"/>
  <c r="T220"/>
  <c r="U220"/>
  <c r="V220"/>
  <c r="W220"/>
  <c r="Y220"/>
  <c r="AB220"/>
  <c r="AC220"/>
  <c r="AD220"/>
  <c r="P221"/>
  <c r="T221"/>
  <c r="U221"/>
  <c r="V221"/>
  <c r="W221"/>
  <c r="Y221"/>
  <c r="AB221"/>
  <c r="AC221"/>
  <c r="AD221"/>
  <c r="P222"/>
  <c r="T222"/>
  <c r="U222"/>
  <c r="V222"/>
  <c r="W222"/>
  <c r="Y222"/>
  <c r="AB222"/>
  <c r="AC222"/>
  <c r="AD222"/>
  <c r="P223"/>
  <c r="T223"/>
  <c r="U223"/>
  <c r="V223"/>
  <c r="W223"/>
  <c r="Y223"/>
  <c r="AB223"/>
  <c r="AC223"/>
  <c r="AD223"/>
  <c r="P224"/>
  <c r="T224"/>
  <c r="U224"/>
  <c r="V224"/>
  <c r="W224"/>
  <c r="Y224"/>
  <c r="AB224"/>
  <c r="AC224"/>
  <c r="AD224"/>
  <c r="P225"/>
  <c r="T225"/>
  <c r="U225"/>
  <c r="V225"/>
  <c r="W225"/>
  <c r="Y225"/>
  <c r="AB225"/>
  <c r="AC225"/>
  <c r="AD225"/>
  <c r="P226"/>
  <c r="T226"/>
  <c r="U226"/>
  <c r="V226"/>
  <c r="W226"/>
  <c r="Y226"/>
  <c r="AB226"/>
  <c r="AC226"/>
  <c r="AD226"/>
  <c r="P227"/>
  <c r="T227"/>
  <c r="U227"/>
  <c r="V227"/>
  <c r="W227"/>
  <c r="Y227"/>
  <c r="AB227"/>
  <c r="AC227"/>
  <c r="AD227"/>
  <c r="P228"/>
  <c r="T228"/>
  <c r="U228"/>
  <c r="V228"/>
  <c r="W228"/>
  <c r="Y228"/>
  <c r="AB228"/>
  <c r="AC228"/>
  <c r="AD228"/>
  <c r="P229"/>
  <c r="T229"/>
  <c r="U229"/>
  <c r="V229"/>
  <c r="W229"/>
  <c r="Y229"/>
  <c r="AB229"/>
  <c r="AC229"/>
  <c r="AD229"/>
  <c r="P230"/>
  <c r="T230"/>
  <c r="U230"/>
  <c r="V230"/>
  <c r="W230"/>
  <c r="Y230"/>
  <c r="AB230"/>
  <c r="AC230"/>
  <c r="AD230"/>
  <c r="P231"/>
  <c r="T231"/>
  <c r="U231"/>
  <c r="V231"/>
  <c r="W231"/>
  <c r="Y231"/>
  <c r="AB231"/>
  <c r="AC231"/>
  <c r="AD231"/>
  <c r="P232"/>
  <c r="T232"/>
  <c r="U232"/>
  <c r="V232"/>
  <c r="W232"/>
  <c r="Y232"/>
  <c r="AB232"/>
  <c r="AC232"/>
  <c r="AD232"/>
  <c r="P233"/>
  <c r="W233"/>
  <c r="Y233"/>
  <c r="AB233"/>
  <c r="AC233"/>
  <c r="AD233"/>
  <c r="P234"/>
  <c r="W234"/>
  <c r="Y234"/>
  <c r="AB234"/>
  <c r="AC234"/>
  <c r="AD234"/>
  <c r="P235"/>
  <c r="W235"/>
  <c r="Y235"/>
  <c r="AB235"/>
  <c r="AC235"/>
  <c r="AD235"/>
  <c r="P236"/>
  <c r="W236"/>
  <c r="Y236"/>
  <c r="AB236"/>
  <c r="AC236"/>
  <c r="AD236"/>
  <c r="P237"/>
  <c r="W237"/>
  <c r="Y237"/>
  <c r="AB237"/>
  <c r="AC237"/>
  <c r="AD237"/>
  <c r="P238"/>
  <c r="W238"/>
  <c r="Y238"/>
  <c r="AB238"/>
  <c r="AC238"/>
  <c r="AD238"/>
  <c r="P239"/>
  <c r="W239"/>
  <c r="Y239"/>
  <c r="AB239"/>
  <c r="AC239"/>
  <c r="AD239"/>
  <c r="P240"/>
  <c r="T240"/>
  <c r="U240"/>
  <c r="V240"/>
  <c r="W240"/>
  <c r="Y240"/>
  <c r="AB240"/>
  <c r="AC240"/>
  <c r="AD240"/>
  <c r="P241"/>
  <c r="T241"/>
  <c r="U241"/>
  <c r="V241"/>
  <c r="W241"/>
  <c r="Y241"/>
  <c r="AB241"/>
  <c r="AC241"/>
  <c r="AD241"/>
  <c r="P242"/>
  <c r="W242"/>
  <c r="Y242"/>
  <c r="AB242"/>
  <c r="AC242"/>
  <c r="AD242"/>
  <c r="P243"/>
  <c r="W243"/>
  <c r="Y243"/>
  <c r="AB243"/>
  <c r="AC243"/>
  <c r="AD243"/>
  <c r="P244"/>
  <c r="W244"/>
  <c r="Y244"/>
  <c r="AB244"/>
  <c r="AC244"/>
  <c r="AD244"/>
  <c r="P245"/>
  <c r="W245"/>
  <c r="Y245"/>
  <c r="AB245"/>
  <c r="AC245"/>
  <c r="AD245"/>
  <c r="P246"/>
  <c r="W246"/>
  <c r="Y246"/>
  <c r="AB246"/>
  <c r="AC246"/>
  <c r="AD246"/>
  <c r="P247"/>
  <c r="T247"/>
  <c r="U247"/>
  <c r="V247"/>
  <c r="W247"/>
  <c r="Y247"/>
  <c r="AB247"/>
  <c r="AC247"/>
  <c r="AD247"/>
  <c r="P248"/>
  <c r="T248"/>
  <c r="U248"/>
  <c r="V248"/>
  <c r="W248"/>
  <c r="Y248"/>
  <c r="AB248"/>
  <c r="AC248"/>
  <c r="AD248"/>
  <c r="P249"/>
  <c r="T249"/>
  <c r="U249"/>
  <c r="V249"/>
  <c r="W249"/>
  <c r="Y249"/>
  <c r="AB249"/>
  <c r="AC249"/>
  <c r="AD249"/>
  <c r="P250"/>
  <c r="T250"/>
  <c r="U250"/>
  <c r="V250"/>
  <c r="W250"/>
  <c r="Y250"/>
  <c r="AB250"/>
  <c r="AC250"/>
  <c r="AD250"/>
  <c r="P251"/>
  <c r="W251"/>
  <c r="Y251"/>
  <c r="AB251"/>
  <c r="AC251"/>
  <c r="AD251"/>
  <c r="P252"/>
  <c r="W252"/>
  <c r="Y252"/>
  <c r="AB252"/>
  <c r="AC252"/>
  <c r="AD252"/>
  <c r="P253"/>
  <c r="T253"/>
  <c r="U253"/>
  <c r="V253"/>
  <c r="W253"/>
  <c r="Y253"/>
  <c r="AB253"/>
  <c r="AC253"/>
  <c r="AD253"/>
  <c r="P254"/>
  <c r="T254"/>
  <c r="U254"/>
  <c r="V254"/>
  <c r="W254"/>
  <c r="Y254"/>
  <c r="AB254"/>
  <c r="AC254"/>
  <c r="AD254"/>
  <c r="P255"/>
  <c r="T255"/>
  <c r="U255"/>
  <c r="V255"/>
  <c r="W255"/>
  <c r="Y255"/>
  <c r="AB255"/>
  <c r="AC255"/>
  <c r="P256"/>
  <c r="T256"/>
  <c r="U256"/>
  <c r="V256"/>
  <c r="W256"/>
  <c r="Y256"/>
  <c r="AB256"/>
  <c r="AC256"/>
  <c r="AD256"/>
  <c r="P257"/>
  <c r="T257"/>
  <c r="U257"/>
  <c r="V257"/>
  <c r="W257"/>
  <c r="Y257"/>
  <c r="AB257"/>
  <c r="AC257"/>
  <c r="AD257"/>
  <c r="P258"/>
  <c r="T258"/>
  <c r="U258"/>
  <c r="V258"/>
  <c r="W258"/>
  <c r="Y258"/>
  <c r="AB258"/>
  <c r="AC258"/>
  <c r="AD258"/>
  <c r="P259"/>
  <c r="T259"/>
  <c r="U259"/>
  <c r="V259"/>
  <c r="W259"/>
  <c r="Y259"/>
  <c r="AB259"/>
  <c r="AC259"/>
  <c r="AD259"/>
  <c r="P260"/>
  <c r="W260"/>
  <c r="Y260"/>
  <c r="AB260"/>
  <c r="AC260"/>
  <c r="AD260"/>
  <c r="P261"/>
  <c r="T261"/>
  <c r="U261"/>
  <c r="V261"/>
  <c r="W261"/>
  <c r="Y261"/>
  <c r="AB261"/>
  <c r="AC261"/>
  <c r="AD261"/>
  <c r="P262"/>
  <c r="W262"/>
  <c r="Y262"/>
  <c r="AB262"/>
  <c r="AC262"/>
  <c r="AD262"/>
  <c r="P263"/>
  <c r="W263"/>
  <c r="Y263"/>
  <c r="AB263"/>
  <c r="AC263"/>
  <c r="AD263"/>
  <c r="P264"/>
  <c r="W264"/>
  <c r="Y264"/>
  <c r="AB264"/>
  <c r="AC264"/>
  <c r="AD264"/>
  <c r="P265"/>
  <c r="W265"/>
  <c r="Y265"/>
  <c r="AB265"/>
  <c r="AC265"/>
  <c r="AD265"/>
  <c r="P266"/>
  <c r="W266"/>
  <c r="Y266"/>
  <c r="AB266"/>
  <c r="AC266"/>
  <c r="AD266"/>
  <c r="P267"/>
  <c r="T267"/>
  <c r="U267"/>
  <c r="V267"/>
  <c r="W267"/>
  <c r="Y267"/>
  <c r="AB267"/>
  <c r="AC267"/>
  <c r="AD267"/>
  <c r="P268"/>
  <c r="T268"/>
  <c r="U268"/>
  <c r="V268"/>
  <c r="W268"/>
  <c r="Y268"/>
  <c r="AB268"/>
  <c r="AC268"/>
  <c r="AD268"/>
  <c r="P269"/>
  <c r="W269"/>
  <c r="Y269"/>
  <c r="AB269"/>
  <c r="AC269"/>
  <c r="AD269"/>
  <c r="P270"/>
  <c r="T270"/>
  <c r="U270"/>
  <c r="V270"/>
  <c r="W270"/>
  <c r="Y270"/>
  <c r="AB270"/>
  <c r="AC270"/>
  <c r="AD270"/>
  <c r="P271"/>
  <c r="T271"/>
  <c r="U271"/>
  <c r="V271"/>
  <c r="W271"/>
  <c r="Y271"/>
  <c r="AB271"/>
  <c r="AC271"/>
  <c r="AD271"/>
  <c r="P272"/>
  <c r="T272"/>
  <c r="U272"/>
  <c r="V272"/>
  <c r="W272"/>
  <c r="Y272"/>
  <c r="AB272"/>
  <c r="AC272"/>
  <c r="AD272"/>
  <c r="P273"/>
  <c r="T273"/>
  <c r="U273"/>
  <c r="V273"/>
  <c r="W273"/>
  <c r="Y273"/>
  <c r="AB273"/>
  <c r="AC273"/>
  <c r="AD273"/>
  <c r="P274"/>
  <c r="T274"/>
  <c r="U274"/>
  <c r="V274"/>
  <c r="W274"/>
  <c r="Y274"/>
  <c r="AB274"/>
  <c r="AC274"/>
  <c r="AD274"/>
  <c r="P275"/>
  <c r="T275"/>
  <c r="U275"/>
  <c r="V275"/>
  <c r="W275"/>
  <c r="Y275"/>
  <c r="AB275"/>
  <c r="AC275"/>
  <c r="AD275"/>
  <c r="P276"/>
  <c r="T276"/>
  <c r="U276"/>
  <c r="V276"/>
  <c r="W276"/>
  <c r="Y276"/>
  <c r="AB276"/>
  <c r="AC276"/>
  <c r="AD276"/>
  <c r="P277"/>
  <c r="T277"/>
  <c r="U277"/>
  <c r="V277"/>
  <c r="W277"/>
  <c r="Y277"/>
  <c r="AB277"/>
  <c r="AC277"/>
  <c r="AD277"/>
  <c r="P278"/>
  <c r="W278"/>
  <c r="Y278"/>
  <c r="AB278"/>
  <c r="AC278"/>
  <c r="AD278"/>
  <c r="P279"/>
  <c r="W279"/>
  <c r="Y279"/>
  <c r="AB279"/>
  <c r="AC279"/>
  <c r="AD279"/>
  <c r="P280"/>
  <c r="W280"/>
  <c r="Y280"/>
  <c r="AB280"/>
  <c r="AC280"/>
  <c r="AD280"/>
  <c r="P281"/>
  <c r="T281"/>
  <c r="U281"/>
  <c r="V281"/>
  <c r="W281"/>
  <c r="Y281"/>
  <c r="AB281"/>
  <c r="AC281"/>
  <c r="AD281"/>
  <c r="P282"/>
  <c r="T282"/>
  <c r="U282"/>
  <c r="V282"/>
  <c r="W282"/>
  <c r="Y282"/>
  <c r="AB282"/>
  <c r="AC282"/>
  <c r="AD282"/>
  <c r="P283"/>
  <c r="T283"/>
  <c r="U283"/>
  <c r="V283"/>
  <c r="W283"/>
  <c r="Y283"/>
  <c r="AB283"/>
  <c r="AC283"/>
  <c r="AD283"/>
  <c r="P284"/>
  <c r="T284"/>
  <c r="U284"/>
  <c r="V284"/>
  <c r="W284"/>
  <c r="Y284"/>
  <c r="AB284"/>
  <c r="AC284"/>
  <c r="AD284"/>
  <c r="P285"/>
  <c r="T285"/>
  <c r="U285"/>
  <c r="V285"/>
  <c r="W285"/>
  <c r="Y285"/>
  <c r="AB285"/>
  <c r="AC285"/>
  <c r="AD285"/>
  <c r="P286"/>
  <c r="T286"/>
  <c r="U286"/>
  <c r="V286"/>
  <c r="W286"/>
  <c r="Y286"/>
  <c r="AB286"/>
  <c r="AC286"/>
  <c r="AD286"/>
  <c r="P287"/>
  <c r="T287"/>
  <c r="U287"/>
  <c r="V287"/>
  <c r="W287"/>
  <c r="Y287"/>
  <c r="AB287"/>
  <c r="AC287"/>
  <c r="AD287"/>
  <c r="P288"/>
  <c r="T288"/>
  <c r="U288"/>
  <c r="V288"/>
  <c r="W288"/>
  <c r="Y288"/>
  <c r="AB288"/>
  <c r="AC288"/>
  <c r="AD288"/>
  <c r="P289"/>
  <c r="T289"/>
  <c r="U289"/>
  <c r="V289"/>
  <c r="W289"/>
  <c r="Y289"/>
  <c r="AB289"/>
  <c r="AC289"/>
  <c r="AD289"/>
  <c r="P290"/>
  <c r="T290"/>
  <c r="U290"/>
  <c r="V290"/>
  <c r="W290"/>
  <c r="Y290"/>
  <c r="AB290"/>
  <c r="AC290"/>
  <c r="P291"/>
  <c r="W291"/>
  <c r="Y291"/>
  <c r="AB291"/>
  <c r="AC291"/>
  <c r="AD291"/>
  <c r="P292"/>
  <c r="W292"/>
  <c r="Y292"/>
  <c r="AB292"/>
  <c r="AC292"/>
  <c r="AD292"/>
  <c r="P293"/>
  <c r="W293"/>
  <c r="Y293"/>
  <c r="AB293"/>
  <c r="AC293"/>
  <c r="AD293"/>
  <c r="P294"/>
  <c r="W294"/>
  <c r="Y294"/>
  <c r="AB294"/>
  <c r="AC294"/>
  <c r="AD294"/>
  <c r="P295"/>
  <c r="W295"/>
  <c r="Y295"/>
  <c r="AB295"/>
  <c r="AC295"/>
  <c r="AD295"/>
  <c r="P296"/>
  <c r="W296"/>
  <c r="Y296"/>
  <c r="AB296"/>
  <c r="AC296"/>
  <c r="AD296"/>
  <c r="P297"/>
  <c r="W297"/>
  <c r="Y297"/>
  <c r="AB297"/>
  <c r="AC297"/>
  <c r="AD297"/>
  <c r="P298"/>
  <c r="T298"/>
  <c r="U298"/>
  <c r="V298"/>
  <c r="W298"/>
  <c r="Y298"/>
  <c r="AB298"/>
  <c r="AC298"/>
  <c r="P299"/>
  <c r="T299"/>
  <c r="U299"/>
  <c r="V299"/>
  <c r="W299"/>
  <c r="Y299"/>
  <c r="AB299"/>
  <c r="AC299"/>
  <c r="AD299"/>
  <c r="P300"/>
  <c r="T300"/>
  <c r="U300"/>
  <c r="V300"/>
  <c r="W300"/>
  <c r="Y300"/>
  <c r="AB300"/>
  <c r="AC300"/>
  <c r="AD300"/>
  <c r="P301"/>
  <c r="W301"/>
  <c r="Y301"/>
  <c r="AB301"/>
  <c r="AC301"/>
  <c r="AD301"/>
  <c r="P302"/>
  <c r="W302"/>
  <c r="Y302"/>
  <c r="AB302"/>
  <c r="AC302"/>
  <c r="AD302"/>
  <c r="P303"/>
  <c r="W303"/>
  <c r="Y303"/>
  <c r="AB303"/>
  <c r="AC303"/>
  <c r="AD303"/>
  <c r="P304"/>
  <c r="W304"/>
  <c r="Y304"/>
  <c r="AB304"/>
  <c r="AC304"/>
  <c r="AD304"/>
  <c r="P305"/>
  <c r="W305"/>
  <c r="Y305"/>
  <c r="AB305"/>
  <c r="AC305"/>
  <c r="AD305"/>
  <c r="P306"/>
  <c r="W306"/>
  <c r="Y306"/>
  <c r="AB306"/>
  <c r="AC306"/>
  <c r="AD306"/>
  <c r="P307"/>
  <c r="W307"/>
  <c r="Y307"/>
  <c r="AB307"/>
  <c r="AC307"/>
  <c r="AD307"/>
  <c r="P308"/>
  <c r="W308"/>
  <c r="Y308"/>
  <c r="AB308"/>
  <c r="AC308"/>
  <c r="AD308"/>
  <c r="P309"/>
  <c r="W309"/>
  <c r="Y309"/>
  <c r="AB309"/>
  <c r="AC309"/>
  <c r="AD309"/>
  <c r="P310"/>
  <c r="W310"/>
  <c r="Y310"/>
  <c r="AB310"/>
  <c r="AC310"/>
  <c r="AD310"/>
  <c r="P311"/>
  <c r="T311"/>
  <c r="U311"/>
  <c r="V311"/>
  <c r="W311"/>
  <c r="Y311"/>
  <c r="AB311"/>
  <c r="AC311"/>
  <c r="AD311"/>
  <c r="P312"/>
  <c r="T312"/>
  <c r="U312"/>
  <c r="V312"/>
  <c r="W312"/>
  <c r="Y312"/>
  <c r="AB312"/>
  <c r="AC312"/>
  <c r="AD312"/>
  <c r="P313"/>
  <c r="W313"/>
  <c r="Y313"/>
  <c r="AB313"/>
  <c r="AC313"/>
  <c r="AD313"/>
  <c r="P314"/>
  <c r="W314"/>
  <c r="Y314"/>
  <c r="AB314"/>
  <c r="AC314"/>
  <c r="AD314"/>
  <c r="P315"/>
  <c r="W315"/>
  <c r="Y315"/>
  <c r="AB315"/>
  <c r="AC315"/>
  <c r="AD315"/>
  <c r="P316"/>
  <c r="W316"/>
  <c r="Y316"/>
  <c r="AB316"/>
  <c r="AC316"/>
  <c r="AD316"/>
  <c r="P317"/>
  <c r="W317"/>
  <c r="Y317"/>
  <c r="AB317"/>
  <c r="AC317"/>
  <c r="AD317"/>
  <c r="P318"/>
  <c r="W318"/>
  <c r="Y318"/>
  <c r="AB318"/>
  <c r="AC318"/>
  <c r="AD318"/>
  <c r="P319"/>
  <c r="W319"/>
  <c r="Y319"/>
  <c r="AB319"/>
  <c r="AC319"/>
  <c r="AD319"/>
  <c r="P320"/>
  <c r="W320"/>
  <c r="Y320"/>
  <c r="AB320"/>
  <c r="AC320"/>
  <c r="P321"/>
  <c r="W321"/>
  <c r="Y321"/>
  <c r="AB321"/>
  <c r="AC321"/>
  <c r="P322"/>
  <c r="W322"/>
  <c r="Y322"/>
  <c r="AB322"/>
  <c r="AC322"/>
  <c r="P323"/>
  <c r="W323"/>
  <c r="Y323"/>
  <c r="AB323"/>
  <c r="AC323"/>
  <c r="AD323"/>
  <c r="P324"/>
  <c r="W324"/>
  <c r="Y324"/>
  <c r="AB324"/>
  <c r="AC324"/>
  <c r="AD324"/>
  <c r="P325"/>
  <c r="W325"/>
  <c r="Y325"/>
  <c r="AB325"/>
  <c r="AC325"/>
  <c r="AD325"/>
  <c r="P326"/>
  <c r="W326"/>
  <c r="Y326"/>
  <c r="AB326"/>
  <c r="AC326"/>
  <c r="AD326"/>
  <c r="P327"/>
  <c r="W327"/>
  <c r="Y327"/>
  <c r="AB327"/>
  <c r="AC327"/>
  <c r="AD327"/>
  <c r="P328"/>
  <c r="T328"/>
  <c r="U328"/>
  <c r="V328"/>
  <c r="W328"/>
  <c r="Y328"/>
  <c r="AB328"/>
  <c r="AC328"/>
  <c r="P329"/>
  <c r="W329"/>
  <c r="Y329"/>
  <c r="AB329"/>
  <c r="AC329"/>
  <c r="AD329"/>
  <c r="P330"/>
  <c r="W330"/>
  <c r="Y330"/>
  <c r="AB330"/>
  <c r="AC330"/>
  <c r="P331"/>
  <c r="W331"/>
  <c r="Y331"/>
  <c r="AB331"/>
  <c r="AC331"/>
  <c r="P332"/>
  <c r="W332"/>
  <c r="Y332"/>
  <c r="AB332"/>
  <c r="AC332"/>
  <c r="AD332"/>
  <c r="P333"/>
  <c r="W333"/>
  <c r="Y333"/>
  <c r="AB333"/>
  <c r="AC333"/>
  <c r="AD333"/>
  <c r="P334"/>
  <c r="W334"/>
  <c r="Y334"/>
  <c r="AB334"/>
  <c r="AC334"/>
  <c r="AD334"/>
  <c r="P335"/>
  <c r="W335"/>
  <c r="Y335"/>
  <c r="AB335"/>
  <c r="AC335"/>
  <c r="AD335"/>
  <c r="P336"/>
  <c r="W336"/>
  <c r="Y336"/>
  <c r="AB336"/>
  <c r="AC336"/>
  <c r="AD336"/>
  <c r="P337"/>
  <c r="T337"/>
  <c r="U337"/>
  <c r="V337"/>
  <c r="W337"/>
  <c r="Y337"/>
  <c r="AB337"/>
  <c r="AC337"/>
  <c r="AD337"/>
  <c r="P338"/>
  <c r="W338"/>
  <c r="Y338"/>
  <c r="AB338"/>
  <c r="AC338"/>
  <c r="AD338"/>
  <c r="P339"/>
  <c r="W339"/>
  <c r="Y339"/>
  <c r="AB339"/>
  <c r="AC339"/>
  <c r="AD339"/>
  <c r="P340"/>
  <c r="W340"/>
  <c r="Y340"/>
  <c r="AB340"/>
  <c r="AC340"/>
  <c r="AD340"/>
  <c r="P341"/>
  <c r="W341"/>
  <c r="Y341"/>
  <c r="AB341"/>
  <c r="AC341"/>
  <c r="AD341"/>
  <c r="P342"/>
  <c r="W342"/>
  <c r="Y342"/>
  <c r="AB342"/>
  <c r="AC342"/>
  <c r="AD342"/>
  <c r="P343"/>
  <c r="W343"/>
  <c r="Y343"/>
  <c r="AB343"/>
  <c r="AC343"/>
  <c r="AD343"/>
  <c r="P344"/>
  <c r="T344"/>
  <c r="U344"/>
  <c r="V344"/>
  <c r="W344"/>
  <c r="Y344"/>
  <c r="AB344"/>
  <c r="AC344"/>
  <c r="AD344"/>
  <c r="P345"/>
  <c r="T345"/>
  <c r="U345"/>
  <c r="V345"/>
  <c r="W345"/>
  <c r="Y345"/>
  <c r="AB345"/>
  <c r="AC345"/>
  <c r="AD345"/>
  <c r="P346"/>
  <c r="W346"/>
  <c r="Y346"/>
  <c r="AB346"/>
  <c r="AC346"/>
  <c r="AD346"/>
  <c r="P347"/>
  <c r="W347"/>
  <c r="Y347"/>
  <c r="AB347"/>
  <c r="AC347"/>
  <c r="AD347"/>
  <c r="P348"/>
  <c r="W348"/>
  <c r="Y348"/>
  <c r="AB348"/>
  <c r="AC348"/>
  <c r="AD348"/>
  <c r="P349"/>
  <c r="W349"/>
  <c r="Y349"/>
  <c r="AB349"/>
  <c r="AC349"/>
  <c r="AD349"/>
  <c r="P350"/>
  <c r="W350"/>
  <c r="Y350"/>
  <c r="AB350"/>
  <c r="AC350"/>
  <c r="AD350"/>
  <c r="P351"/>
  <c r="W351"/>
  <c r="Y351"/>
  <c r="AB351"/>
  <c r="AC351"/>
  <c r="AD351"/>
  <c r="P352"/>
  <c r="W352"/>
  <c r="Y352"/>
  <c r="AB352"/>
  <c r="AC352"/>
  <c r="AD352"/>
  <c r="P353"/>
  <c r="W353"/>
  <c r="Y353"/>
  <c r="AB353"/>
  <c r="AC353"/>
  <c r="AD353"/>
  <c r="P354"/>
  <c r="W354"/>
  <c r="Y354"/>
  <c r="AB354"/>
  <c r="AC354"/>
  <c r="AD354"/>
  <c r="P355"/>
  <c r="T355"/>
  <c r="U355"/>
  <c r="V355"/>
  <c r="W355"/>
  <c r="Y355"/>
  <c r="AB355"/>
  <c r="AC355"/>
  <c r="AD355"/>
  <c r="P356"/>
  <c r="T356"/>
  <c r="U356"/>
  <c r="V356"/>
  <c r="W356"/>
  <c r="Y356"/>
  <c r="AB356"/>
  <c r="AC356"/>
  <c r="AD356"/>
  <c r="P357"/>
  <c r="T357"/>
  <c r="U357"/>
  <c r="V357"/>
  <c r="W357"/>
  <c r="Y357"/>
  <c r="AB357"/>
  <c r="AC357"/>
  <c r="AD357"/>
  <c r="P358"/>
  <c r="T358"/>
  <c r="U358"/>
  <c r="V358"/>
  <c r="W358"/>
  <c r="Y358"/>
  <c r="AB358"/>
  <c r="AC358"/>
  <c r="AD358"/>
  <c r="P359"/>
  <c r="T359"/>
  <c r="U359"/>
  <c r="V359"/>
  <c r="W359"/>
  <c r="Y359"/>
  <c r="AB359"/>
  <c r="AC359"/>
  <c r="AD359"/>
  <c r="P360"/>
  <c r="T360"/>
  <c r="U360"/>
  <c r="V360"/>
  <c r="W360"/>
  <c r="Y360"/>
  <c r="AB360"/>
  <c r="AC360"/>
  <c r="AD360"/>
  <c r="P361"/>
  <c r="T361"/>
  <c r="U361"/>
  <c r="V361"/>
  <c r="W361"/>
  <c r="Y361"/>
  <c r="AB361"/>
  <c r="AC361"/>
  <c r="AD361"/>
  <c r="P362"/>
  <c r="T362"/>
  <c r="U362"/>
  <c r="V362"/>
  <c r="W362"/>
  <c r="Y362"/>
  <c r="AB362"/>
  <c r="AC362"/>
  <c r="AD362"/>
  <c r="P363"/>
  <c r="T363"/>
  <c r="U363"/>
  <c r="V363"/>
  <c r="W363"/>
  <c r="Y363"/>
  <c r="AB363"/>
  <c r="AC363"/>
  <c r="AD363"/>
  <c r="P364"/>
  <c r="T364"/>
  <c r="U364"/>
  <c r="V364"/>
  <c r="W364"/>
  <c r="Y364"/>
  <c r="AB364"/>
  <c r="AC364"/>
  <c r="AD364"/>
  <c r="P365"/>
  <c r="T365"/>
  <c r="U365"/>
  <c r="V365"/>
  <c r="W365"/>
  <c r="Y365"/>
  <c r="AB365"/>
  <c r="AC365"/>
  <c r="P366"/>
  <c r="T366"/>
  <c r="U366"/>
  <c r="V366"/>
  <c r="W366"/>
  <c r="Y366"/>
  <c r="AB366"/>
  <c r="AC366"/>
  <c r="AD366"/>
  <c r="P367"/>
  <c r="T367"/>
  <c r="U367"/>
  <c r="V367"/>
  <c r="W367"/>
  <c r="Y367"/>
  <c r="AB367"/>
  <c r="AC367"/>
  <c r="AD367"/>
  <c r="P368"/>
  <c r="T368"/>
  <c r="U368"/>
  <c r="V368"/>
  <c r="W368"/>
  <c r="Y368"/>
  <c r="AB368"/>
  <c r="AC368"/>
  <c r="AD368"/>
  <c r="P369"/>
  <c r="T369"/>
  <c r="U369"/>
  <c r="V369"/>
  <c r="W369"/>
  <c r="Y369"/>
  <c r="AB369"/>
  <c r="AC369"/>
  <c r="AD369"/>
  <c r="P370"/>
  <c r="T370"/>
  <c r="U370"/>
  <c r="V370"/>
  <c r="W370"/>
  <c r="Y370"/>
  <c r="AB370"/>
  <c r="AC370"/>
  <c r="AD370"/>
  <c r="P371"/>
  <c r="W371"/>
  <c r="Y371"/>
  <c r="AB371"/>
  <c r="AC371"/>
  <c r="AD371"/>
  <c r="P372"/>
  <c r="W372"/>
  <c r="Y372"/>
  <c r="AB372"/>
  <c r="AC372"/>
  <c r="AD372"/>
  <c r="P373"/>
  <c r="W373"/>
  <c r="Y373"/>
  <c r="AB373"/>
  <c r="AC373"/>
  <c r="AD373"/>
  <c r="P374"/>
  <c r="W374"/>
  <c r="Y374"/>
  <c r="AB374"/>
  <c r="AC374"/>
  <c r="AD374"/>
  <c r="P375"/>
  <c r="W375"/>
  <c r="Y375"/>
  <c r="AB375"/>
  <c r="AC375"/>
  <c r="AD375"/>
  <c r="P376"/>
  <c r="W376"/>
  <c r="Y376"/>
  <c r="AB376"/>
  <c r="AC376"/>
  <c r="P377"/>
  <c r="W377"/>
  <c r="Y377"/>
  <c r="AB377"/>
  <c r="AC377"/>
  <c r="P378"/>
  <c r="W378"/>
  <c r="Y378"/>
  <c r="AB378"/>
  <c r="AC378"/>
  <c r="AD378"/>
  <c r="P379"/>
  <c r="T379"/>
  <c r="U379"/>
  <c r="V379"/>
  <c r="W379"/>
  <c r="Y379"/>
  <c r="AB379"/>
  <c r="AC379"/>
  <c r="AD379"/>
  <c r="P380"/>
  <c r="T380"/>
  <c r="U380"/>
  <c r="V380"/>
  <c r="W380"/>
  <c r="Y380"/>
  <c r="AB380"/>
  <c r="AC380"/>
  <c r="AD380"/>
  <c r="P381"/>
  <c r="T381"/>
  <c r="U381"/>
  <c r="V381"/>
  <c r="W381"/>
  <c r="Y381"/>
  <c r="AB381"/>
  <c r="AC381"/>
  <c r="AD381"/>
  <c r="P382"/>
  <c r="T382"/>
  <c r="U382"/>
  <c r="V382"/>
  <c r="W382"/>
  <c r="Y382"/>
  <c r="AB382"/>
  <c r="AC382"/>
  <c r="AD382"/>
  <c r="P383"/>
  <c r="W383"/>
  <c r="Y383"/>
  <c r="AB383"/>
  <c r="AC383"/>
  <c r="AD383"/>
  <c r="P384"/>
  <c r="W384"/>
  <c r="Y384"/>
  <c r="AB384"/>
  <c r="AC384"/>
  <c r="AD384"/>
  <c r="P385"/>
  <c r="W385"/>
  <c r="Y385"/>
  <c r="AB385"/>
  <c r="AC385"/>
  <c r="AD385"/>
  <c r="P386"/>
  <c r="W386"/>
  <c r="Y386"/>
  <c r="AB386"/>
  <c r="AC386"/>
  <c r="AD386"/>
  <c r="P387"/>
  <c r="W387"/>
  <c r="Y387"/>
  <c r="AB387"/>
  <c r="AC387"/>
  <c r="AD387"/>
  <c r="P388"/>
  <c r="W388"/>
  <c r="Y388"/>
  <c r="AB388"/>
  <c r="AC388"/>
  <c r="AD388"/>
  <c r="P389"/>
  <c r="W389"/>
  <c r="Y389"/>
  <c r="AB389"/>
  <c r="AC389"/>
  <c r="AD389"/>
  <c r="P390"/>
  <c r="W390"/>
  <c r="Y390"/>
  <c r="AB390"/>
  <c r="AC390"/>
  <c r="AD390"/>
  <c r="P391"/>
  <c r="W391"/>
  <c r="Y391"/>
  <c r="AB391"/>
  <c r="AC391"/>
  <c r="AD391"/>
  <c r="P392"/>
  <c r="W392"/>
  <c r="Y392"/>
  <c r="AB392"/>
  <c r="AC392"/>
  <c r="AD392"/>
  <c r="P393"/>
  <c r="W393"/>
  <c r="Y393"/>
  <c r="AB393"/>
  <c r="AC393"/>
  <c r="AD393"/>
  <c r="P394"/>
  <c r="W394"/>
  <c r="Y394"/>
  <c r="AB394"/>
  <c r="AC394"/>
  <c r="AD394"/>
  <c r="P395"/>
  <c r="W395"/>
  <c r="Y395"/>
  <c r="AB395"/>
  <c r="AC395"/>
  <c r="AD395"/>
  <c r="P396"/>
  <c r="W396"/>
  <c r="Y396"/>
  <c r="AB396"/>
  <c r="AC396"/>
  <c r="AD396"/>
  <c r="P397"/>
  <c r="W397"/>
  <c r="Y397"/>
  <c r="AB397"/>
  <c r="AC397"/>
  <c r="AD397"/>
  <c r="P398"/>
  <c r="T398"/>
  <c r="U398"/>
  <c r="V398"/>
  <c r="W398"/>
  <c r="Y398"/>
  <c r="AB398"/>
  <c r="AC398"/>
  <c r="AD398"/>
  <c r="P399"/>
  <c r="T399"/>
  <c r="U399"/>
  <c r="V399"/>
  <c r="W399"/>
  <c r="Y399"/>
  <c r="AB399"/>
  <c r="AC399"/>
  <c r="AD399"/>
  <c r="P400"/>
  <c r="W400"/>
  <c r="Y400"/>
  <c r="AB400"/>
  <c r="AC400"/>
  <c r="AD400"/>
  <c r="P401"/>
  <c r="W401"/>
  <c r="Y401"/>
  <c r="AB401"/>
  <c r="AC401"/>
  <c r="AD401"/>
  <c r="P402"/>
  <c r="W402"/>
  <c r="Y402"/>
  <c r="AB402"/>
  <c r="AC402"/>
  <c r="AD402"/>
  <c r="P403"/>
  <c r="W403"/>
  <c r="Y403"/>
  <c r="AB403"/>
  <c r="AC403"/>
  <c r="P404"/>
  <c r="W404"/>
  <c r="Y404"/>
  <c r="AB404"/>
  <c r="AC404"/>
  <c r="P405"/>
  <c r="W405"/>
  <c r="Y405"/>
  <c r="AB405"/>
  <c r="AC405"/>
  <c r="P406"/>
  <c r="W406"/>
  <c r="Y406"/>
  <c r="AB406"/>
  <c r="AC406"/>
  <c r="P407"/>
  <c r="T407"/>
  <c r="U407"/>
  <c r="V407"/>
  <c r="W407"/>
  <c r="Y407"/>
  <c r="AB407"/>
  <c r="AC407"/>
  <c r="P408"/>
  <c r="T408"/>
  <c r="U408"/>
  <c r="V408"/>
  <c r="W408"/>
  <c r="Y408"/>
  <c r="AB408"/>
  <c r="AC408"/>
  <c r="P409"/>
  <c r="T409"/>
  <c r="U409"/>
  <c r="V409"/>
  <c r="W409"/>
  <c r="Y409"/>
  <c r="AB409"/>
  <c r="AC409"/>
  <c r="AD409"/>
  <c r="P410"/>
  <c r="T410"/>
  <c r="U410"/>
  <c r="V410"/>
  <c r="W410"/>
  <c r="Y410"/>
  <c r="AB410"/>
  <c r="AC410"/>
  <c r="AD410"/>
  <c r="P411"/>
  <c r="W411"/>
  <c r="Y411"/>
  <c r="AB411"/>
  <c r="AC411"/>
  <c r="AD411"/>
  <c r="P412"/>
  <c r="W412"/>
  <c r="Y412"/>
  <c r="AB412"/>
  <c r="AC412"/>
  <c r="AD412"/>
  <c r="P413"/>
  <c r="W413"/>
  <c r="Y413"/>
  <c r="AB413"/>
  <c r="AC413"/>
  <c r="AD413"/>
  <c r="P414"/>
  <c r="W414"/>
  <c r="Y414"/>
  <c r="AB414"/>
  <c r="AC414"/>
  <c r="AD414"/>
  <c r="P415"/>
  <c r="W415"/>
  <c r="Y415"/>
  <c r="AB415"/>
  <c r="AC415"/>
  <c r="AD415"/>
  <c r="P416"/>
  <c r="W416"/>
  <c r="Y416"/>
  <c r="AB416"/>
  <c r="AC416"/>
  <c r="AD416"/>
  <c r="P417"/>
  <c r="W417"/>
  <c r="Y417"/>
  <c r="AB417"/>
  <c r="AC417"/>
  <c r="AD417"/>
  <c r="P418"/>
  <c r="W418"/>
  <c r="Y418"/>
  <c r="AB418"/>
  <c r="AC418"/>
  <c r="AD418"/>
  <c r="P419"/>
  <c r="T419"/>
  <c r="U419"/>
  <c r="V419"/>
  <c r="W419"/>
  <c r="Y419"/>
  <c r="AB419"/>
  <c r="AC419"/>
  <c r="P420"/>
  <c r="T420"/>
  <c r="U420"/>
  <c r="V420"/>
  <c r="W420"/>
  <c r="Y420"/>
  <c r="AB420"/>
  <c r="AC420"/>
  <c r="AD420"/>
  <c r="P421"/>
  <c r="T421"/>
  <c r="U421"/>
  <c r="V421"/>
  <c r="W421"/>
  <c r="Y421"/>
  <c r="AB421"/>
  <c r="AC421"/>
  <c r="AD421"/>
  <c r="P422"/>
  <c r="T422"/>
  <c r="U422"/>
  <c r="V422"/>
  <c r="W422"/>
  <c r="Y422"/>
  <c r="AB422"/>
  <c r="AC422"/>
  <c r="AD422"/>
  <c r="P423"/>
  <c r="T423"/>
  <c r="U423"/>
  <c r="V423"/>
  <c r="W423"/>
  <c r="Y423"/>
  <c r="AB423"/>
  <c r="AC423"/>
  <c r="AD423"/>
  <c r="P424"/>
  <c r="W424"/>
  <c r="Y424"/>
  <c r="AB424"/>
  <c r="AC424"/>
  <c r="AD424"/>
  <c r="P425"/>
  <c r="W425"/>
  <c r="Y425"/>
  <c r="AB425"/>
  <c r="AC425"/>
  <c r="P426"/>
  <c r="W426"/>
  <c r="Y426"/>
  <c r="AB426"/>
  <c r="AC426"/>
  <c r="P427"/>
  <c r="W427"/>
  <c r="Y427"/>
  <c r="AB427"/>
  <c r="AC427"/>
  <c r="P428"/>
  <c r="W428"/>
  <c r="Y428"/>
  <c r="AB428"/>
  <c r="AC428"/>
  <c r="P429"/>
  <c r="T429"/>
  <c r="U429"/>
  <c r="V429"/>
  <c r="W429"/>
  <c r="Y429"/>
  <c r="AB429"/>
  <c r="AC429"/>
  <c r="P430"/>
  <c r="W430"/>
  <c r="Y430"/>
  <c r="AB430"/>
  <c r="AC430"/>
  <c r="AD430"/>
  <c r="P431"/>
  <c r="W431"/>
  <c r="Y431"/>
  <c r="AB431"/>
  <c r="AC431"/>
  <c r="AD431"/>
  <c r="P432"/>
  <c r="W432"/>
  <c r="Y432"/>
  <c r="AB432"/>
  <c r="AC432"/>
  <c r="AD432"/>
  <c r="P433"/>
  <c r="W433"/>
  <c r="Y433"/>
  <c r="AB433"/>
  <c r="AC433"/>
  <c r="AD433"/>
  <c r="P434"/>
  <c r="W434"/>
  <c r="Y434"/>
  <c r="AB434"/>
  <c r="AC434"/>
  <c r="AD434"/>
  <c r="P435"/>
  <c r="W435"/>
  <c r="Y435"/>
  <c r="AB435"/>
  <c r="AC435"/>
  <c r="AD435"/>
  <c r="P436"/>
  <c r="W436"/>
  <c r="Y436"/>
  <c r="AB436"/>
  <c r="AC436"/>
  <c r="AD436"/>
  <c r="P437"/>
  <c r="W437"/>
  <c r="Y437"/>
  <c r="AB437"/>
  <c r="AC437"/>
  <c r="AD437"/>
  <c r="P438"/>
  <c r="T438"/>
  <c r="U438"/>
  <c r="V438"/>
  <c r="W438"/>
  <c r="Y438"/>
  <c r="AB438"/>
  <c r="AC438"/>
  <c r="AD438"/>
  <c r="P439"/>
  <c r="T439"/>
  <c r="U439"/>
  <c r="V439"/>
  <c r="W439"/>
  <c r="Y439"/>
  <c r="AB439"/>
  <c r="AC439"/>
  <c r="AD439"/>
  <c r="P440"/>
  <c r="W440"/>
  <c r="Y440"/>
  <c r="AB440"/>
  <c r="AC440"/>
  <c r="AD440"/>
  <c r="P441"/>
  <c r="W441"/>
  <c r="Y441"/>
  <c r="AB441"/>
  <c r="AC441"/>
  <c r="AD441"/>
  <c r="P442"/>
  <c r="W442"/>
  <c r="Y442"/>
  <c r="AB442"/>
  <c r="AC442"/>
  <c r="AD442"/>
  <c r="P443"/>
  <c r="W443"/>
  <c r="Y443"/>
  <c r="AB443"/>
  <c r="AC443"/>
  <c r="P444"/>
  <c r="W444"/>
  <c r="Y444"/>
  <c r="AB444"/>
  <c r="AC444"/>
  <c r="P445"/>
  <c r="W445"/>
  <c r="Y445"/>
  <c r="AB445"/>
  <c r="AC445"/>
  <c r="P446"/>
  <c r="T446"/>
  <c r="U446"/>
  <c r="V446"/>
  <c r="W446"/>
  <c r="Y446"/>
  <c r="AB446"/>
  <c r="AC446"/>
  <c r="P447"/>
  <c r="W447"/>
  <c r="Y447"/>
  <c r="AB447"/>
  <c r="AC447"/>
  <c r="AD447"/>
  <c r="P448"/>
  <c r="T448"/>
  <c r="U448"/>
  <c r="V448"/>
  <c r="W448"/>
  <c r="Y448"/>
  <c r="AB448"/>
  <c r="AC448"/>
  <c r="AD448"/>
  <c r="P449"/>
  <c r="T449"/>
  <c r="U449"/>
  <c r="V449"/>
  <c r="W449"/>
  <c r="Y449"/>
  <c r="AB449"/>
  <c r="AC449"/>
  <c r="AD449"/>
  <c r="P450"/>
  <c r="W450"/>
  <c r="Y450"/>
  <c r="AB450"/>
  <c r="AC450"/>
  <c r="AD450"/>
  <c r="P451"/>
  <c r="W451"/>
  <c r="Y451"/>
  <c r="AB451"/>
  <c r="AC451"/>
  <c r="AD451"/>
  <c r="P452"/>
  <c r="W452"/>
  <c r="Y452"/>
  <c r="AB452"/>
  <c r="AC452"/>
  <c r="AD452"/>
  <c r="P453"/>
  <c r="W453"/>
  <c r="Y453"/>
  <c r="AB453"/>
  <c r="AC453"/>
  <c r="AD453"/>
  <c r="P454"/>
  <c r="W454"/>
  <c r="Y454"/>
  <c r="AB454"/>
  <c r="AC454"/>
  <c r="AD454"/>
  <c r="P455"/>
  <c r="W455"/>
  <c r="Y455"/>
  <c r="AB455"/>
  <c r="AC455"/>
  <c r="AD455"/>
  <c r="P456"/>
  <c r="T456"/>
  <c r="U456"/>
  <c r="V456"/>
  <c r="W456"/>
  <c r="Y456"/>
  <c r="AB456"/>
  <c r="AC456"/>
  <c r="AD456"/>
  <c r="P457"/>
  <c r="W457"/>
  <c r="Y457"/>
  <c r="AB457"/>
  <c r="AC457"/>
  <c r="AD457"/>
  <c r="P458"/>
  <c r="T458"/>
  <c r="U458"/>
  <c r="V458"/>
  <c r="W458"/>
  <c r="Y458"/>
  <c r="AB458"/>
  <c r="AC458"/>
  <c r="AD458"/>
  <c r="P459"/>
  <c r="T459"/>
  <c r="U459"/>
  <c r="V459"/>
  <c r="W459"/>
  <c r="Y459"/>
  <c r="AB459"/>
  <c r="AC459"/>
  <c r="AD459"/>
  <c r="P460"/>
  <c r="W460"/>
  <c r="Y460"/>
  <c r="AB460"/>
  <c r="AC460"/>
  <c r="AD460"/>
  <c r="P461"/>
  <c r="W461"/>
  <c r="Y461"/>
  <c r="AB461"/>
  <c r="AC461"/>
  <c r="AD461"/>
  <c r="P462"/>
  <c r="W462"/>
  <c r="Y462"/>
  <c r="AB462"/>
  <c r="AC462"/>
  <c r="AD462"/>
  <c r="P463"/>
  <c r="W463"/>
  <c r="Y463"/>
  <c r="AB463"/>
  <c r="AC463"/>
  <c r="AD463"/>
  <c r="P464"/>
  <c r="W464"/>
  <c r="Y464"/>
  <c r="AB464"/>
  <c r="AC464"/>
  <c r="AD464"/>
  <c r="P465"/>
  <c r="W465"/>
  <c r="Y465"/>
  <c r="AB465"/>
  <c r="AC465"/>
  <c r="AD465"/>
  <c r="P466"/>
  <c r="W466"/>
  <c r="Y466"/>
  <c r="AB466"/>
  <c r="AC466"/>
  <c r="AD466"/>
  <c r="P467"/>
  <c r="T467"/>
  <c r="U467"/>
  <c r="V467"/>
  <c r="W467"/>
  <c r="Y467"/>
  <c r="AB467"/>
  <c r="AC467"/>
  <c r="AD467"/>
  <c r="P468"/>
  <c r="T468"/>
  <c r="U468"/>
  <c r="V468"/>
  <c r="W468"/>
  <c r="Y468"/>
  <c r="AB468"/>
  <c r="AC468"/>
  <c r="AD468"/>
  <c r="P469"/>
  <c r="W469"/>
  <c r="Y469"/>
  <c r="AB469"/>
  <c r="AC469"/>
  <c r="AD469"/>
  <c r="P470"/>
  <c r="T470"/>
  <c r="U470"/>
  <c r="V470"/>
  <c r="W470"/>
  <c r="Y470"/>
  <c r="AB470"/>
  <c r="AC470"/>
  <c r="AD470"/>
  <c r="P471"/>
  <c r="T471"/>
  <c r="U471"/>
  <c r="V471"/>
  <c r="W471"/>
  <c r="Y471"/>
  <c r="AB471"/>
  <c r="AC471"/>
  <c r="AD471"/>
  <c r="P472"/>
  <c r="T472"/>
  <c r="U472"/>
  <c r="V472"/>
  <c r="W472"/>
  <c r="Y472"/>
  <c r="AB472"/>
  <c r="AC472"/>
  <c r="AD472"/>
  <c r="P473"/>
  <c r="T473"/>
  <c r="U473"/>
  <c r="V473"/>
  <c r="W473"/>
  <c r="Y473"/>
  <c r="AB473"/>
  <c r="AC473"/>
  <c r="AD473"/>
  <c r="P474"/>
  <c r="T474"/>
  <c r="U474"/>
  <c r="V474"/>
  <c r="W474"/>
  <c r="Y474"/>
  <c r="AB474"/>
  <c r="AC474"/>
  <c r="AD474"/>
  <c r="P475"/>
  <c r="T475"/>
  <c r="U475"/>
  <c r="V475"/>
  <c r="W475"/>
  <c r="Y475"/>
  <c r="AB475"/>
  <c r="AC475"/>
  <c r="AD475"/>
  <c r="P476"/>
  <c r="T476"/>
  <c r="U476"/>
  <c r="V476"/>
  <c r="W476"/>
  <c r="Y476"/>
  <c r="AB476"/>
  <c r="AC476"/>
  <c r="AD476"/>
  <c r="P477"/>
  <c r="T477"/>
  <c r="U477"/>
  <c r="V477"/>
  <c r="W477"/>
  <c r="Y477"/>
  <c r="AB477"/>
  <c r="AC477"/>
  <c r="AD477"/>
  <c r="P478"/>
  <c r="T478"/>
  <c r="U478"/>
  <c r="V478"/>
  <c r="W478"/>
  <c r="Y478"/>
  <c r="AB478"/>
  <c r="AC478"/>
  <c r="AD478"/>
  <c r="P479"/>
  <c r="T479"/>
  <c r="U479"/>
  <c r="V479"/>
  <c r="W479"/>
  <c r="Y479"/>
  <c r="AB479"/>
  <c r="AC479"/>
  <c r="AD479"/>
  <c r="P480"/>
  <c r="T480"/>
  <c r="U480"/>
  <c r="V480"/>
  <c r="W480"/>
  <c r="Y480"/>
  <c r="AB480"/>
  <c r="AC480"/>
  <c r="AD480"/>
  <c r="P481"/>
  <c r="T481"/>
  <c r="U481"/>
  <c r="V481"/>
  <c r="W481"/>
  <c r="Y481"/>
  <c r="AB481"/>
  <c r="AC481"/>
  <c r="AD481"/>
  <c r="P482"/>
  <c r="T482"/>
  <c r="U482"/>
  <c r="V482"/>
  <c r="W482"/>
  <c r="Y482"/>
  <c r="AB482"/>
  <c r="AC482"/>
  <c r="AD482"/>
  <c r="P483"/>
  <c r="T483"/>
  <c r="U483"/>
  <c r="V483"/>
  <c r="W483"/>
  <c r="Y483"/>
  <c r="AB483"/>
  <c r="AC483"/>
  <c r="AD483"/>
  <c r="P484"/>
  <c r="T484"/>
  <c r="U484"/>
  <c r="V484"/>
  <c r="W484"/>
  <c r="Y484"/>
  <c r="AB484"/>
  <c r="AC484"/>
  <c r="AD484"/>
  <c r="P485"/>
  <c r="T485"/>
  <c r="U485"/>
  <c r="V485"/>
  <c r="W485"/>
  <c r="Y485"/>
  <c r="AB485"/>
  <c r="AC485"/>
  <c r="AD485"/>
  <c r="P490"/>
  <c r="T490"/>
  <c r="U490"/>
  <c r="V490"/>
  <c r="W490"/>
  <c r="Y490"/>
  <c r="AB490"/>
  <c r="AC490"/>
  <c r="AD490"/>
  <c r="P491"/>
  <c r="T491"/>
  <c r="U491"/>
  <c r="V491"/>
  <c r="W491"/>
  <c r="Y491"/>
  <c r="AB491"/>
  <c r="AC491"/>
  <c r="AD491"/>
  <c r="P494"/>
  <c r="W494"/>
  <c r="Y494"/>
  <c r="AB494"/>
  <c r="AC494"/>
  <c r="AD494"/>
  <c r="P495"/>
  <c r="T495"/>
  <c r="U495"/>
  <c r="V495"/>
  <c r="W495"/>
  <c r="Y495"/>
  <c r="AB495"/>
  <c r="AC495"/>
  <c r="AD495"/>
  <c r="P496"/>
  <c r="T496"/>
  <c r="U496"/>
  <c r="V496"/>
  <c r="W496"/>
  <c r="Y496"/>
  <c r="AB496"/>
  <c r="AC496"/>
  <c r="AD496"/>
  <c r="P497"/>
  <c r="T497"/>
  <c r="U497"/>
  <c r="V497"/>
  <c r="W497"/>
  <c r="Y497"/>
  <c r="AB497"/>
  <c r="AC497"/>
  <c r="AD497"/>
  <c r="P498"/>
  <c r="T498"/>
  <c r="U498"/>
  <c r="V498"/>
  <c r="W498"/>
  <c r="Y498"/>
  <c r="AB498"/>
  <c r="AC498"/>
  <c r="AD498"/>
  <c r="P499"/>
  <c r="W499"/>
  <c r="Y499"/>
  <c r="AB499"/>
  <c r="AC499"/>
  <c r="AD499"/>
  <c r="P500"/>
  <c r="W500"/>
  <c r="Y500"/>
  <c r="AB500"/>
  <c r="AC500"/>
  <c r="AD500"/>
  <c r="P501"/>
  <c r="W501"/>
  <c r="Y501"/>
  <c r="AB501"/>
  <c r="AC501"/>
  <c r="AD501"/>
  <c r="P502"/>
  <c r="T502"/>
  <c r="U502"/>
  <c r="V502"/>
  <c r="W502"/>
  <c r="Y502"/>
  <c r="AB502"/>
  <c r="AC502"/>
  <c r="AD502"/>
  <c r="P503"/>
  <c r="T503"/>
  <c r="U503"/>
  <c r="V503"/>
  <c r="W503"/>
  <c r="Y503"/>
  <c r="AB503"/>
  <c r="AC503"/>
  <c r="AD503"/>
  <c r="P504"/>
  <c r="T504"/>
  <c r="U504"/>
  <c r="V504"/>
  <c r="W504"/>
  <c r="Y504"/>
  <c r="AB504"/>
  <c r="AC504"/>
  <c r="AD504"/>
  <c r="P505"/>
  <c r="T505"/>
  <c r="U505"/>
  <c r="V505"/>
  <c r="W505"/>
  <c r="Y505"/>
  <c r="AB505"/>
  <c r="AC505"/>
  <c r="AD505"/>
  <c r="P506"/>
  <c r="T506"/>
  <c r="U506"/>
  <c r="V506"/>
  <c r="W506"/>
  <c r="Y506"/>
  <c r="AB506"/>
  <c r="AC506"/>
  <c r="AD506"/>
  <c r="P507"/>
  <c r="T507"/>
  <c r="U507"/>
  <c r="V507"/>
  <c r="W507"/>
  <c r="Y507"/>
  <c r="AB507"/>
  <c r="AC507"/>
  <c r="AD507"/>
  <c r="P510"/>
  <c r="T510"/>
  <c r="U510"/>
  <c r="V510"/>
  <c r="W510"/>
  <c r="Y510"/>
  <c r="AB510"/>
  <c r="AC510"/>
  <c r="AD510"/>
  <c r="P511"/>
  <c r="T511"/>
  <c r="U511"/>
  <c r="V511"/>
  <c r="W511"/>
  <c r="Y511"/>
  <c r="AB511"/>
  <c r="AC511"/>
  <c r="AD511"/>
  <c r="P512"/>
  <c r="T512"/>
  <c r="U512"/>
  <c r="V512"/>
  <c r="W512"/>
  <c r="Y512"/>
  <c r="AB512"/>
  <c r="AC512"/>
  <c r="AD512"/>
  <c r="P513"/>
  <c r="T513"/>
  <c r="U513"/>
  <c r="V513"/>
  <c r="W513"/>
  <c r="Y513"/>
  <c r="AB513"/>
  <c r="AC513"/>
  <c r="AD513"/>
  <c r="P514"/>
  <c r="T514"/>
  <c r="U514"/>
  <c r="V514"/>
  <c r="W514"/>
  <c r="Y514"/>
  <c r="AB514"/>
  <c r="AC514"/>
  <c r="AD514"/>
  <c r="P515"/>
  <c r="T515"/>
  <c r="U515"/>
  <c r="V515"/>
  <c r="W515"/>
  <c r="Y515"/>
  <c r="AB515"/>
  <c r="AC515"/>
  <c r="AD515"/>
  <c r="P516"/>
  <c r="T516"/>
  <c r="U516"/>
  <c r="V516"/>
  <c r="W516"/>
  <c r="Y516"/>
  <c r="AB516"/>
  <c r="AC516"/>
  <c r="AD516"/>
  <c r="P517"/>
  <c r="T517"/>
  <c r="U517"/>
  <c r="V517"/>
  <c r="W517"/>
  <c r="Y517"/>
  <c r="AB517"/>
  <c r="AC517"/>
  <c r="AD517"/>
  <c r="P518"/>
  <c r="W518"/>
  <c r="Y518"/>
  <c r="AB518"/>
  <c r="AC518"/>
  <c r="AD518"/>
  <c r="P519"/>
  <c r="W519"/>
  <c r="Y519"/>
  <c r="AB519"/>
  <c r="AC519"/>
  <c r="AD519"/>
  <c r="P520"/>
  <c r="W520"/>
  <c r="Y520"/>
  <c r="AB520"/>
  <c r="AC520"/>
  <c r="AD520"/>
  <c r="P521"/>
  <c r="W521"/>
  <c r="Y521"/>
  <c r="AB521"/>
  <c r="AC521"/>
  <c r="AD521"/>
  <c r="P522"/>
  <c r="W522"/>
  <c r="Y522"/>
  <c r="AB522"/>
  <c r="AC522"/>
  <c r="AD522"/>
  <c r="P523"/>
  <c r="W523"/>
  <c r="Y523"/>
  <c r="AB523"/>
  <c r="AC523"/>
  <c r="AD523"/>
  <c r="P524"/>
  <c r="W524"/>
  <c r="Y524"/>
  <c r="AB524"/>
  <c r="AC524"/>
  <c r="AD524"/>
  <c r="P525"/>
  <c r="W525"/>
  <c r="Y525"/>
  <c r="AB525"/>
  <c r="AC525"/>
  <c r="AD525"/>
  <c r="P526"/>
  <c r="W526"/>
  <c r="Y526"/>
  <c r="AB526"/>
  <c r="AC526"/>
  <c r="AD526"/>
  <c r="P527"/>
  <c r="W527"/>
  <c r="Y527"/>
  <c r="AB527"/>
  <c r="AC527"/>
  <c r="AD527"/>
  <c r="P528"/>
  <c r="W528"/>
  <c r="Y528"/>
  <c r="AB528"/>
  <c r="AC528"/>
  <c r="AD528"/>
  <c r="P529"/>
  <c r="W529"/>
  <c r="Y529"/>
  <c r="AB529"/>
  <c r="AC529"/>
  <c r="AD529"/>
  <c r="P530"/>
  <c r="W530"/>
  <c r="Y530"/>
  <c r="AB530"/>
  <c r="AC530"/>
  <c r="AD530"/>
  <c r="P531"/>
  <c r="W531"/>
  <c r="Y531"/>
  <c r="AB531"/>
  <c r="AC531"/>
  <c r="AD531"/>
  <c r="P532"/>
  <c r="W532"/>
  <c r="Y532"/>
  <c r="AB532"/>
  <c r="AC532"/>
  <c r="AD532"/>
  <c r="P533"/>
  <c r="T533"/>
  <c r="U533"/>
  <c r="V533"/>
  <c r="W533"/>
  <c r="Y533"/>
  <c r="AB533"/>
  <c r="AC533"/>
  <c r="AD533"/>
  <c r="P534"/>
  <c r="T534"/>
  <c r="U534"/>
  <c r="V534"/>
  <c r="W534"/>
  <c r="Y534"/>
  <c r="AB534"/>
  <c r="AC534"/>
  <c r="AD534"/>
  <c r="P535"/>
  <c r="W535"/>
  <c r="Y535"/>
  <c r="AB535"/>
  <c r="AC535"/>
  <c r="AD535"/>
  <c r="P536"/>
  <c r="W536"/>
  <c r="Y536"/>
  <c r="AB536"/>
  <c r="AC536"/>
  <c r="AD536"/>
  <c r="P537"/>
  <c r="W537"/>
  <c r="Y537"/>
  <c r="AB537"/>
  <c r="AC537"/>
  <c r="AD537"/>
  <c r="P538"/>
  <c r="W538"/>
  <c r="Y538"/>
  <c r="AB538"/>
  <c r="AC538"/>
  <c r="AD538"/>
  <c r="P539"/>
  <c r="W539"/>
  <c r="Y539"/>
  <c r="AB539"/>
  <c r="AC539"/>
  <c r="AD539"/>
  <c r="P540"/>
  <c r="W540"/>
  <c r="Y540"/>
  <c r="AB540"/>
  <c r="AC540"/>
  <c r="AD540"/>
  <c r="P541"/>
  <c r="W541"/>
  <c r="Y541"/>
  <c r="AB541"/>
  <c r="AC541"/>
  <c r="AD541"/>
  <c r="P542"/>
  <c r="W542"/>
  <c r="Y542"/>
  <c r="AB542"/>
  <c r="AC542"/>
  <c r="AD542"/>
  <c r="P543"/>
  <c r="W543"/>
  <c r="Y543"/>
  <c r="AB543"/>
  <c r="AC543"/>
  <c r="AD543"/>
  <c r="P544"/>
  <c r="W544"/>
  <c r="Y544"/>
  <c r="AB544"/>
  <c r="AC544"/>
  <c r="AD544"/>
  <c r="P545"/>
  <c r="W545"/>
  <c r="Y545"/>
  <c r="AB545"/>
  <c r="AC545"/>
  <c r="AD545"/>
  <c r="P546"/>
  <c r="T546"/>
  <c r="U546"/>
  <c r="V546"/>
  <c r="W546"/>
  <c r="Y546"/>
  <c r="AB546"/>
  <c r="AC546"/>
  <c r="AD546"/>
  <c r="P547"/>
  <c r="W547"/>
  <c r="Y547"/>
  <c r="AB547"/>
  <c r="AC547"/>
  <c r="AD547"/>
  <c r="P548"/>
  <c r="T548"/>
  <c r="U548"/>
  <c r="V548"/>
  <c r="W548"/>
  <c r="Y548"/>
  <c r="AB548"/>
  <c r="AC548"/>
  <c r="AD548"/>
  <c r="P549"/>
  <c r="T549"/>
  <c r="U549"/>
  <c r="V549"/>
  <c r="W549"/>
  <c r="Y549"/>
  <c r="AB549"/>
  <c r="AC549"/>
  <c r="AD549"/>
  <c r="P550"/>
  <c r="T550"/>
  <c r="U550"/>
  <c r="V550"/>
  <c r="W550"/>
  <c r="Y550"/>
  <c r="AB550"/>
  <c r="AC550"/>
  <c r="AD550"/>
  <c r="P551"/>
  <c r="T551"/>
  <c r="U551"/>
  <c r="V551"/>
  <c r="W551"/>
  <c r="Y551"/>
  <c r="AB551"/>
  <c r="AC551"/>
  <c r="AD551"/>
  <c r="P552"/>
  <c r="T552"/>
  <c r="U552"/>
  <c r="V552"/>
  <c r="W552"/>
  <c r="Y552"/>
  <c r="AB552"/>
  <c r="AC552"/>
  <c r="AD552"/>
  <c r="P553"/>
  <c r="T553"/>
  <c r="U553"/>
  <c r="V553"/>
  <c r="W553"/>
  <c r="Y553"/>
  <c r="AB553"/>
  <c r="AC553"/>
  <c r="AD553"/>
  <c r="P554"/>
  <c r="T554"/>
  <c r="U554"/>
  <c r="V554"/>
  <c r="W554"/>
  <c r="Y554"/>
  <c r="AB554"/>
  <c r="AC554"/>
  <c r="AD554"/>
  <c r="P555"/>
  <c r="T555"/>
  <c r="U555"/>
  <c r="V555"/>
  <c r="W555"/>
  <c r="Y555"/>
  <c r="AB555"/>
  <c r="AC555"/>
  <c r="AD555"/>
  <c r="P556"/>
  <c r="T556"/>
  <c r="U556"/>
  <c r="V556"/>
  <c r="W556"/>
  <c r="Y556"/>
  <c r="AB556"/>
  <c r="AC556"/>
  <c r="AD556"/>
  <c r="P557"/>
  <c r="T557"/>
  <c r="U557"/>
  <c r="V557"/>
  <c r="W557"/>
  <c r="Y557"/>
  <c r="AB557"/>
  <c r="AC557"/>
  <c r="AD557"/>
  <c r="P558"/>
  <c r="T558"/>
  <c r="U558"/>
  <c r="V558"/>
  <c r="W558"/>
  <c r="Y558"/>
  <c r="AB558"/>
  <c r="AC558"/>
  <c r="AD558"/>
  <c r="P559"/>
  <c r="T559"/>
  <c r="U559"/>
  <c r="V559"/>
  <c r="W559"/>
  <c r="Y559"/>
  <c r="AB559"/>
  <c r="AC559"/>
  <c r="AD559"/>
  <c r="P566"/>
  <c r="W566"/>
  <c r="Y566"/>
  <c r="AB566"/>
  <c r="AC566"/>
  <c r="AD566"/>
  <c r="P567"/>
  <c r="W567"/>
  <c r="Y567"/>
  <c r="AB567"/>
  <c r="AC567"/>
  <c r="AD567"/>
  <c r="P568"/>
  <c r="T568"/>
  <c r="U568"/>
  <c r="V568"/>
  <c r="W568"/>
  <c r="Y568"/>
  <c r="AB568"/>
  <c r="AC568"/>
  <c r="P569"/>
  <c r="W569"/>
  <c r="Y569"/>
  <c r="AB569"/>
  <c r="AC569"/>
  <c r="AD569"/>
  <c r="P570"/>
  <c r="W570"/>
  <c r="Y570"/>
  <c r="AB570"/>
  <c r="AC570"/>
  <c r="AD570"/>
  <c r="P571"/>
  <c r="W571"/>
  <c r="Y571"/>
  <c r="AB571"/>
  <c r="AC571"/>
  <c r="AD571"/>
  <c r="P572"/>
  <c r="W572"/>
  <c r="Y572"/>
  <c r="AB572"/>
  <c r="AC572"/>
  <c r="AD572"/>
  <c r="P573"/>
  <c r="W573"/>
  <c r="Y573"/>
  <c r="AB573"/>
  <c r="AC573"/>
  <c r="AD573"/>
  <c r="P574"/>
  <c r="W574"/>
  <c r="Y574"/>
  <c r="AB574"/>
  <c r="AC574"/>
  <c r="AD574"/>
  <c r="P575"/>
  <c r="W575"/>
  <c r="Y575"/>
  <c r="AB575"/>
  <c r="AC575"/>
  <c r="AD575"/>
  <c r="P576"/>
  <c r="W576"/>
  <c r="Y576"/>
  <c r="AB576"/>
  <c r="AC576"/>
  <c r="AD576"/>
  <c r="P577"/>
  <c r="W577"/>
  <c r="Y577"/>
  <c r="AB577"/>
  <c r="AC577"/>
  <c r="AD577"/>
  <c r="P578"/>
  <c r="W578"/>
  <c r="Y578"/>
  <c r="AB578"/>
  <c r="AC578"/>
  <c r="AD578"/>
  <c r="P579"/>
  <c r="W579"/>
  <c r="Y579"/>
  <c r="AB579"/>
  <c r="AC579"/>
  <c r="AD579"/>
  <c r="P580"/>
  <c r="W580"/>
  <c r="Y580"/>
  <c r="AB580"/>
  <c r="AC580"/>
  <c r="AD580"/>
  <c r="P581"/>
  <c r="W581"/>
  <c r="Y581"/>
  <c r="AB581"/>
  <c r="AC581"/>
  <c r="AD581"/>
  <c r="P582"/>
  <c r="W582"/>
  <c r="Y582"/>
  <c r="AB582"/>
  <c r="AC582"/>
  <c r="AD582"/>
  <c r="P583"/>
  <c r="W583"/>
  <c r="Y583"/>
  <c r="AB583"/>
  <c r="AC583"/>
  <c r="AD583"/>
  <c r="P584"/>
  <c r="W584"/>
  <c r="Y584"/>
  <c r="AB584"/>
  <c r="AC584"/>
  <c r="AD584"/>
  <c r="P585"/>
  <c r="W585"/>
  <c r="Y585"/>
  <c r="AB585"/>
  <c r="AC585"/>
  <c r="AD585"/>
  <c r="P586"/>
  <c r="W586"/>
  <c r="Y586"/>
  <c r="AB586"/>
  <c r="AC586"/>
  <c r="AD586"/>
  <c r="P587"/>
  <c r="W587"/>
  <c r="Y587"/>
  <c r="AB587"/>
  <c r="AC587"/>
  <c r="AD587"/>
  <c r="P588"/>
  <c r="W588"/>
  <c r="Y588"/>
  <c r="AB588"/>
  <c r="AC588"/>
  <c r="AD588"/>
  <c r="P589"/>
  <c r="W589"/>
  <c r="Y589"/>
  <c r="AB589"/>
  <c r="AC589"/>
  <c r="AD589"/>
  <c r="P590"/>
  <c r="W590"/>
  <c r="Y590"/>
  <c r="AB590"/>
  <c r="AC590"/>
  <c r="AD590"/>
  <c r="P591"/>
  <c r="W591"/>
  <c r="Y591"/>
  <c r="AB591"/>
  <c r="AC591"/>
  <c r="AD591"/>
  <c r="P592"/>
  <c r="W592"/>
  <c r="Y592"/>
  <c r="AB592"/>
  <c r="AC592"/>
  <c r="AD592"/>
  <c r="P593"/>
  <c r="W593"/>
  <c r="Y593"/>
  <c r="AB593"/>
  <c r="AC593"/>
  <c r="AD593"/>
  <c r="P594"/>
  <c r="W594"/>
  <c r="Y594"/>
  <c r="AB594"/>
  <c r="AC594"/>
  <c r="AD594"/>
  <c r="P595"/>
  <c r="W595"/>
  <c r="Y595"/>
  <c r="AB595"/>
  <c r="AC595"/>
  <c r="AD595"/>
  <c r="P596"/>
  <c r="W596"/>
  <c r="Y596"/>
  <c r="AB596"/>
  <c r="AC596"/>
  <c r="AD596"/>
  <c r="P597"/>
  <c r="W597"/>
  <c r="Y597"/>
  <c r="AB597"/>
  <c r="AC597"/>
  <c r="AD597"/>
  <c r="P598"/>
  <c r="W598"/>
  <c r="Y598"/>
  <c r="AB598"/>
  <c r="AC598"/>
  <c r="AD598"/>
  <c r="P599"/>
  <c r="W599"/>
  <c r="Y599"/>
  <c r="AB599"/>
  <c r="AC599"/>
  <c r="AD599"/>
  <c r="P600"/>
  <c r="W600"/>
  <c r="Y600"/>
  <c r="AB600"/>
  <c r="AC600"/>
  <c r="AD600"/>
  <c r="P601"/>
  <c r="W601"/>
  <c r="Y601"/>
  <c r="AB601"/>
  <c r="AC601"/>
  <c r="AD601"/>
  <c r="P602"/>
  <c r="W602"/>
  <c r="Y602"/>
  <c r="AB602"/>
  <c r="AC602"/>
  <c r="AD602"/>
  <c r="P603"/>
  <c r="W603"/>
  <c r="Y603"/>
  <c r="AB603"/>
  <c r="AC603"/>
  <c r="AD603"/>
  <c r="P604"/>
  <c r="W604"/>
  <c r="Y604"/>
  <c r="AB604"/>
  <c r="AC604"/>
  <c r="AD604"/>
  <c r="P605"/>
  <c r="W605"/>
  <c r="Y605"/>
  <c r="AB605"/>
  <c r="AC605"/>
  <c r="AD605"/>
  <c r="P606"/>
  <c r="T606"/>
  <c r="U606"/>
  <c r="V606"/>
  <c r="W606"/>
  <c r="Y606"/>
  <c r="AB606"/>
  <c r="AC606"/>
  <c r="AD606"/>
  <c r="P607"/>
  <c r="T607"/>
  <c r="U607"/>
  <c r="V607"/>
  <c r="W607"/>
  <c r="Y607"/>
  <c r="AB607"/>
  <c r="AC607"/>
  <c r="AD607"/>
  <c r="P608"/>
  <c r="T608"/>
  <c r="U608"/>
  <c r="V608"/>
  <c r="W608"/>
  <c r="Y608"/>
  <c r="AB608"/>
  <c r="AC608"/>
  <c r="AD608"/>
  <c r="P609"/>
  <c r="T609"/>
  <c r="U609"/>
  <c r="V609"/>
  <c r="W609"/>
  <c r="Y609"/>
  <c r="AB609"/>
  <c r="AC609"/>
  <c r="AD609"/>
  <c r="P610"/>
  <c r="T610"/>
  <c r="U610"/>
  <c r="V610"/>
  <c r="W610"/>
  <c r="Y610"/>
  <c r="AB610"/>
  <c r="AC610"/>
  <c r="AD610"/>
  <c r="P611"/>
  <c r="W611"/>
  <c r="Y611"/>
  <c r="AB611"/>
  <c r="AC611"/>
  <c r="AD611"/>
  <c r="P612"/>
  <c r="W612"/>
  <c r="Y612"/>
  <c r="AB612"/>
  <c r="AC612"/>
  <c r="AD612"/>
  <c r="P613"/>
  <c r="W613"/>
  <c r="Y613"/>
  <c r="AB613"/>
  <c r="AC613"/>
  <c r="AD613"/>
  <c r="P614"/>
  <c r="W614"/>
  <c r="Y614"/>
  <c r="AB614"/>
  <c r="AC614"/>
  <c r="AD614"/>
  <c r="P615"/>
  <c r="W615"/>
  <c r="Y615"/>
  <c r="AB615"/>
  <c r="AC615"/>
  <c r="AD615"/>
  <c r="P616"/>
  <c r="W616"/>
  <c r="Y616"/>
  <c r="AB616"/>
  <c r="AC616"/>
  <c r="AD616"/>
  <c r="P617"/>
  <c r="W617"/>
  <c r="Y617"/>
  <c r="AB617"/>
  <c r="AC617"/>
  <c r="AD617"/>
  <c r="P618"/>
  <c r="W618"/>
  <c r="Y618"/>
  <c r="AB618"/>
  <c r="AC618"/>
  <c r="AD618"/>
  <c r="P619"/>
  <c r="T619"/>
  <c r="U619"/>
  <c r="V619"/>
  <c r="W619"/>
  <c r="Y619"/>
  <c r="AB619"/>
  <c r="AC619"/>
  <c r="AD619"/>
  <c r="P620"/>
  <c r="T620"/>
  <c r="U620"/>
  <c r="V620"/>
  <c r="W620"/>
  <c r="Y620"/>
  <c r="AB620"/>
  <c r="AC620"/>
  <c r="AD620"/>
  <c r="P621"/>
  <c r="T621"/>
  <c r="U621"/>
  <c r="V621"/>
  <c r="W621"/>
  <c r="Y621"/>
  <c r="AB621"/>
  <c r="AC621"/>
  <c r="AD621"/>
  <c r="P622"/>
  <c r="T622"/>
  <c r="U622"/>
  <c r="V622"/>
  <c r="W622"/>
  <c r="Y622"/>
  <c r="AB622"/>
  <c r="AC622"/>
  <c r="AD622"/>
  <c r="P623"/>
  <c r="W623"/>
  <c r="Y623"/>
  <c r="AB623"/>
  <c r="AC623"/>
  <c r="AD623"/>
  <c r="P624"/>
  <c r="W624"/>
  <c r="Y624"/>
  <c r="AB624"/>
  <c r="AC624"/>
  <c r="AD624"/>
  <c r="P625"/>
  <c r="W625"/>
  <c r="Y625"/>
  <c r="AB625"/>
  <c r="AC625"/>
  <c r="AD625"/>
  <c r="P626"/>
  <c r="W626"/>
  <c r="Y626"/>
  <c r="AB626"/>
  <c r="AC626"/>
  <c r="AD626"/>
  <c r="P627"/>
  <c r="W627"/>
  <c r="Y627"/>
  <c r="AB627"/>
  <c r="AC627"/>
  <c r="AD627"/>
  <c r="P628"/>
  <c r="W628"/>
  <c r="Y628"/>
  <c r="AB628"/>
  <c r="AC628"/>
  <c r="AD628"/>
  <c r="P629"/>
  <c r="W629"/>
  <c r="Y629"/>
  <c r="AB629"/>
  <c r="AC629"/>
  <c r="AD629"/>
  <c r="P630"/>
  <c r="W630"/>
  <c r="Y630"/>
  <c r="AB630"/>
  <c r="AC630"/>
  <c r="AD630"/>
  <c r="P631"/>
  <c r="W631"/>
  <c r="Y631"/>
  <c r="AB631"/>
  <c r="AC631"/>
  <c r="AD631"/>
  <c r="P632"/>
  <c r="T632"/>
  <c r="U632"/>
  <c r="V632"/>
  <c r="W632"/>
  <c r="Y632"/>
  <c r="AB632"/>
  <c r="AC632"/>
  <c r="AD632"/>
  <c r="P633"/>
  <c r="T633"/>
  <c r="U633"/>
  <c r="V633"/>
  <c r="W633"/>
  <c r="Y633"/>
  <c r="AB633"/>
  <c r="AC633"/>
  <c r="AD633"/>
  <c r="P634"/>
  <c r="T634"/>
  <c r="U634"/>
  <c r="V634"/>
  <c r="W634"/>
  <c r="Y634"/>
  <c r="AB634"/>
  <c r="AC634"/>
  <c r="AD634"/>
  <c r="P635"/>
  <c r="T635"/>
  <c r="U635"/>
  <c r="V635"/>
  <c r="W635"/>
  <c r="Y635"/>
  <c r="AB635"/>
  <c r="AC635"/>
  <c r="AD635"/>
  <c r="P636"/>
  <c r="W636"/>
  <c r="Y636"/>
  <c r="AB636"/>
  <c r="AC636"/>
  <c r="AD636"/>
  <c r="P637"/>
  <c r="T637"/>
  <c r="U637"/>
  <c r="V637"/>
  <c r="W637"/>
  <c r="Y637"/>
  <c r="AB637"/>
  <c r="AC637"/>
  <c r="P638"/>
  <c r="T638"/>
  <c r="U638"/>
  <c r="V638"/>
  <c r="W638"/>
  <c r="Y638"/>
  <c r="AB638"/>
  <c r="AC638"/>
  <c r="AD638"/>
  <c r="P639"/>
  <c r="T639"/>
  <c r="U639"/>
  <c r="V639"/>
  <c r="W639"/>
  <c r="Y639"/>
  <c r="AB639"/>
  <c r="AC639"/>
  <c r="AD639"/>
  <c r="P640"/>
  <c r="T640"/>
  <c r="U640"/>
  <c r="V640"/>
  <c r="W640"/>
  <c r="Y640"/>
  <c r="AB640"/>
  <c r="AC640"/>
  <c r="AD640"/>
  <c r="P641"/>
  <c r="T641"/>
  <c r="U641"/>
  <c r="V641"/>
  <c r="W641"/>
  <c r="Y641"/>
  <c r="AB641"/>
  <c r="AC641"/>
  <c r="AD641"/>
  <c r="P642"/>
  <c r="W642"/>
  <c r="Y642"/>
  <c r="AB642"/>
  <c r="AC642"/>
  <c r="AD642"/>
  <c r="P643"/>
  <c r="W643"/>
  <c r="Y643"/>
  <c r="AB643"/>
  <c r="AC643"/>
  <c r="AD643"/>
  <c r="P644"/>
  <c r="W644"/>
  <c r="Y644"/>
  <c r="AB644"/>
  <c r="AC644"/>
  <c r="AD644"/>
  <c r="P645"/>
  <c r="W645"/>
  <c r="Y645"/>
  <c r="AB645"/>
  <c r="AC645"/>
  <c r="AD645"/>
  <c r="P646"/>
  <c r="W646"/>
  <c r="Y646"/>
  <c r="AB646"/>
  <c r="AC646"/>
  <c r="AD646"/>
  <c r="P647"/>
  <c r="W647"/>
  <c r="Y647"/>
  <c r="AB647"/>
  <c r="AC647"/>
  <c r="AD647"/>
  <c r="P648"/>
  <c r="W648"/>
  <c r="Y648"/>
  <c r="AB648"/>
  <c r="AC648"/>
  <c r="AD648"/>
  <c r="P649"/>
  <c r="W649"/>
  <c r="Y649"/>
  <c r="AB649"/>
  <c r="AC649"/>
  <c r="AD649"/>
  <c r="P650"/>
  <c r="T650"/>
  <c r="U650"/>
  <c r="V650"/>
  <c r="W650"/>
  <c r="Y650"/>
  <c r="AB650"/>
  <c r="AC650"/>
  <c r="AD650"/>
  <c r="P651"/>
  <c r="T651"/>
  <c r="U651"/>
  <c r="V651"/>
  <c r="W651"/>
  <c r="Y651"/>
  <c r="AB651"/>
  <c r="AC651"/>
  <c r="AD651"/>
  <c r="P652"/>
  <c r="T652"/>
  <c r="U652"/>
  <c r="V652"/>
  <c r="W652"/>
  <c r="Y652"/>
  <c r="AB652"/>
  <c r="AC652"/>
  <c r="AD652"/>
  <c r="P653"/>
  <c r="T653"/>
  <c r="U653"/>
  <c r="V653"/>
  <c r="W653"/>
  <c r="Y653"/>
  <c r="AB653"/>
  <c r="AC653"/>
  <c r="AD653"/>
  <c r="P654"/>
  <c r="T654"/>
  <c r="U654"/>
  <c r="V654"/>
  <c r="W654"/>
  <c r="Y654"/>
  <c r="AB654"/>
  <c r="AC654"/>
  <c r="AD654"/>
  <c r="P655"/>
  <c r="T655"/>
  <c r="U655"/>
  <c r="V655"/>
  <c r="W655"/>
  <c r="Y655"/>
  <c r="AB655"/>
  <c r="AC655"/>
  <c r="AD655"/>
  <c r="P656"/>
  <c r="T656"/>
  <c r="U656"/>
  <c r="V656"/>
  <c r="W656"/>
  <c r="Y656"/>
  <c r="AB656"/>
  <c r="AC656"/>
  <c r="AD656"/>
  <c r="P657"/>
  <c r="W657"/>
  <c r="Y657"/>
  <c r="AB657"/>
  <c r="AC657"/>
  <c r="AD657"/>
  <c r="P658"/>
  <c r="W658"/>
  <c r="Y658"/>
  <c r="AB658"/>
  <c r="AC658"/>
  <c r="AD658"/>
  <c r="P659"/>
  <c r="W659"/>
  <c r="Y659"/>
  <c r="AB659"/>
  <c r="AC659"/>
  <c r="AD659"/>
  <c r="P661"/>
  <c r="W661"/>
  <c r="Y661"/>
  <c r="AB661"/>
  <c r="AC661"/>
  <c r="AD661"/>
  <c r="P662"/>
  <c r="W662"/>
  <c r="Y662"/>
  <c r="AB662"/>
  <c r="AC662"/>
  <c r="AD662"/>
  <c r="P663"/>
  <c r="W663"/>
  <c r="Y663"/>
  <c r="AB663"/>
  <c r="AC663"/>
  <c r="AD663"/>
  <c r="P664"/>
  <c r="W664"/>
  <c r="Y664"/>
  <c r="AB664"/>
  <c r="AC664"/>
  <c r="AD664"/>
  <c r="P665"/>
  <c r="T665"/>
  <c r="U665"/>
  <c r="V665"/>
  <c r="W665"/>
  <c r="Y665"/>
  <c r="AB665"/>
  <c r="AC665"/>
  <c r="AD665"/>
  <c r="P666"/>
  <c r="W666"/>
  <c r="Y666"/>
  <c r="AB666"/>
  <c r="AC666"/>
  <c r="AD666"/>
  <c r="P667"/>
  <c r="T667"/>
  <c r="U667"/>
  <c r="V667"/>
  <c r="W667"/>
  <c r="Y667"/>
  <c r="AB667"/>
  <c r="AC667"/>
  <c r="AD667"/>
  <c r="P668"/>
  <c r="T668"/>
  <c r="U668"/>
  <c r="V668"/>
  <c r="W668"/>
  <c r="Y668"/>
  <c r="AB668"/>
  <c r="AC668"/>
  <c r="AD668"/>
  <c r="P669"/>
  <c r="W669"/>
  <c r="Y669"/>
  <c r="AB669"/>
  <c r="AC669"/>
  <c r="AD669"/>
  <c r="P670"/>
  <c r="W670"/>
  <c r="Y670"/>
  <c r="AB670"/>
  <c r="AC670"/>
  <c r="AD670"/>
  <c r="P671"/>
  <c r="W671"/>
  <c r="Y671"/>
  <c r="AB671"/>
  <c r="AC671"/>
  <c r="AD671"/>
  <c r="P672"/>
  <c r="T672"/>
  <c r="U672"/>
  <c r="V672"/>
  <c r="W672"/>
  <c r="Y672"/>
  <c r="AB672"/>
  <c r="AC672"/>
  <c r="AD672"/>
  <c r="P673"/>
  <c r="T673"/>
  <c r="U673"/>
  <c r="V673"/>
  <c r="W673"/>
  <c r="Y673"/>
  <c r="AB673"/>
  <c r="AC673"/>
  <c r="AD673"/>
  <c r="P674"/>
  <c r="T674"/>
  <c r="U674"/>
  <c r="V674"/>
  <c r="W674"/>
  <c r="Y674"/>
  <c r="AB674"/>
  <c r="AC674"/>
  <c r="AD674"/>
  <c r="P675"/>
  <c r="T675"/>
  <c r="U675"/>
  <c r="V675"/>
  <c r="W675"/>
  <c r="Y675"/>
  <c r="AB675"/>
  <c r="AC675"/>
  <c r="AD675"/>
  <c r="P676"/>
  <c r="T676"/>
  <c r="U676"/>
  <c r="V676"/>
  <c r="W676"/>
  <c r="Y676"/>
  <c r="AB676"/>
  <c r="AC676"/>
  <c r="AD676"/>
  <c r="P677"/>
  <c r="T677"/>
  <c r="U677"/>
  <c r="V677"/>
  <c r="W677"/>
  <c r="Y677"/>
  <c r="AB677"/>
  <c r="AC677"/>
  <c r="AD677"/>
  <c r="P678"/>
  <c r="T678"/>
  <c r="U678"/>
  <c r="V678"/>
  <c r="W678"/>
  <c r="Y678"/>
  <c r="AB678"/>
  <c r="AC678"/>
  <c r="AD678"/>
  <c r="P679"/>
  <c r="T679"/>
  <c r="U679"/>
  <c r="V679"/>
  <c r="W679"/>
  <c r="Y679"/>
  <c r="AB679"/>
  <c r="AC679"/>
  <c r="AD679"/>
  <c r="P680"/>
  <c r="T680"/>
  <c r="U680"/>
  <c r="V680"/>
  <c r="W680"/>
  <c r="Y680"/>
  <c r="AB680"/>
  <c r="AC680"/>
  <c r="AD680"/>
  <c r="P681"/>
  <c r="T681"/>
  <c r="U681"/>
  <c r="V681"/>
  <c r="W681"/>
  <c r="Y681"/>
  <c r="AB681"/>
  <c r="AC681"/>
  <c r="AD681"/>
  <c r="P682"/>
  <c r="T682"/>
  <c r="U682"/>
  <c r="V682"/>
  <c r="W682"/>
  <c r="Y682"/>
  <c r="AB682"/>
  <c r="AC682"/>
  <c r="AD682"/>
  <c r="P683"/>
  <c r="T683"/>
  <c r="U683"/>
  <c r="V683"/>
  <c r="W683"/>
  <c r="Y683"/>
  <c r="AB683"/>
  <c r="AC683"/>
  <c r="AD683"/>
  <c r="P684"/>
  <c r="T684"/>
  <c r="U684"/>
  <c r="V684"/>
  <c r="W684"/>
  <c r="Y684"/>
  <c r="AB684"/>
  <c r="AC684"/>
  <c r="AD684"/>
  <c r="P685"/>
  <c r="T685"/>
  <c r="U685"/>
  <c r="V685"/>
  <c r="W685"/>
  <c r="Y685"/>
  <c r="AB685"/>
  <c r="AC685"/>
  <c r="AD685"/>
  <c r="P686"/>
  <c r="T686"/>
  <c r="U686"/>
  <c r="V686"/>
  <c r="W686"/>
  <c r="Y686"/>
  <c r="AB686"/>
  <c r="AC686"/>
  <c r="AD686"/>
  <c r="P687"/>
  <c r="T687"/>
  <c r="U687"/>
  <c r="V687"/>
  <c r="W687"/>
  <c r="Y687"/>
  <c r="AB687"/>
  <c r="AC687"/>
  <c r="AD687"/>
  <c r="P688"/>
  <c r="T688"/>
  <c r="U688"/>
  <c r="V688"/>
  <c r="W688"/>
  <c r="Y688"/>
  <c r="AB688"/>
  <c r="AC688"/>
  <c r="AD688"/>
  <c r="P689"/>
  <c r="T689"/>
  <c r="U689"/>
  <c r="V689"/>
  <c r="W689"/>
  <c r="Y689"/>
  <c r="AB689"/>
  <c r="AC689"/>
  <c r="AD689"/>
  <c r="P690"/>
  <c r="T690"/>
  <c r="U690"/>
  <c r="V690"/>
  <c r="W690"/>
  <c r="Y690"/>
  <c r="AB690"/>
  <c r="AC690"/>
  <c r="AD690"/>
  <c r="P691"/>
  <c r="T691"/>
  <c r="U691"/>
  <c r="V691"/>
  <c r="W691"/>
  <c r="Y691"/>
  <c r="AB691"/>
  <c r="AC691"/>
  <c r="AD691"/>
  <c r="P692"/>
  <c r="T692"/>
  <c r="U692"/>
  <c r="V692"/>
  <c r="W692"/>
  <c r="Y692"/>
  <c r="AB692"/>
  <c r="AC692"/>
  <c r="AD692"/>
  <c r="P693"/>
  <c r="T693"/>
  <c r="U693"/>
  <c r="V693"/>
  <c r="W693"/>
  <c r="Y693"/>
  <c r="AB693"/>
  <c r="AC693"/>
  <c r="AD693"/>
  <c r="P694"/>
  <c r="T694"/>
  <c r="U694"/>
  <c r="V694"/>
  <c r="W694"/>
  <c r="Y694"/>
  <c r="AB694"/>
  <c r="AC694"/>
  <c r="AD694"/>
  <c r="P695"/>
  <c r="T695"/>
  <c r="U695"/>
  <c r="V695"/>
  <c r="W695"/>
  <c r="Y695"/>
  <c r="AB695"/>
  <c r="AC695"/>
  <c r="AD695"/>
  <c r="P696"/>
  <c r="T696"/>
  <c r="U696"/>
  <c r="V696"/>
  <c r="W696"/>
  <c r="Y696"/>
  <c r="AB696"/>
  <c r="AC696"/>
  <c r="AD696"/>
  <c r="P697"/>
  <c r="T697"/>
  <c r="U697"/>
  <c r="V697"/>
  <c r="W697"/>
  <c r="Y697"/>
  <c r="AB697"/>
  <c r="AC697"/>
  <c r="AD697"/>
  <c r="P698"/>
  <c r="T698"/>
  <c r="U698"/>
  <c r="V698"/>
  <c r="W698"/>
  <c r="Y698"/>
  <c r="AB698"/>
  <c r="AC698"/>
  <c r="AD698"/>
  <c r="P699"/>
  <c r="T699"/>
  <c r="U699"/>
  <c r="V699"/>
  <c r="W699"/>
  <c r="Y699"/>
  <c r="AB699"/>
  <c r="AC699"/>
  <c r="AD699"/>
  <c r="P700"/>
  <c r="T700"/>
  <c r="U700"/>
  <c r="V700"/>
  <c r="W700"/>
  <c r="Y700"/>
  <c r="AB700"/>
  <c r="AC700"/>
  <c r="AD700"/>
  <c r="P701"/>
  <c r="T701"/>
  <c r="U701"/>
  <c r="V701"/>
  <c r="W701"/>
  <c r="Y701"/>
  <c r="AB701"/>
  <c r="AC701"/>
  <c r="AD701"/>
  <c r="P702"/>
  <c r="T702"/>
  <c r="U702"/>
  <c r="V702"/>
  <c r="W702"/>
  <c r="Y702"/>
  <c r="AB702"/>
  <c r="AC702"/>
  <c r="AD702"/>
  <c r="P703"/>
  <c r="T703"/>
  <c r="U703"/>
  <c r="V703"/>
  <c r="W703"/>
  <c r="Y703"/>
  <c r="AB703"/>
  <c r="AC703"/>
  <c r="AD703"/>
  <c r="P704"/>
  <c r="T704"/>
  <c r="U704"/>
  <c r="V704"/>
  <c r="W704"/>
  <c r="Y704"/>
  <c r="AB704"/>
  <c r="AC704"/>
  <c r="AD704"/>
  <c r="P705"/>
  <c r="T705"/>
  <c r="U705"/>
  <c r="V705"/>
  <c r="W705"/>
  <c r="Y705"/>
  <c r="AB705"/>
  <c r="AC705"/>
  <c r="AD705"/>
  <c r="P706"/>
  <c r="T706"/>
  <c r="U706"/>
  <c r="V706"/>
  <c r="W706"/>
  <c r="Y706"/>
  <c r="AB706"/>
  <c r="AC706"/>
  <c r="AD706"/>
  <c r="P707"/>
  <c r="T707"/>
  <c r="U707"/>
  <c r="V707"/>
  <c r="W707"/>
  <c r="Y707"/>
  <c r="AB707"/>
  <c r="AC707"/>
  <c r="AD707"/>
  <c r="P708"/>
  <c r="T708"/>
  <c r="U708"/>
  <c r="V708"/>
  <c r="W708"/>
  <c r="Y708"/>
  <c r="AB708"/>
  <c r="AC708"/>
  <c r="AD708"/>
  <c r="P709"/>
  <c r="T709"/>
  <c r="U709"/>
  <c r="V709"/>
  <c r="W709"/>
  <c r="Y709"/>
  <c r="AB709"/>
  <c r="AC709"/>
  <c r="AD709"/>
  <c r="P710"/>
  <c r="T710"/>
  <c r="U710"/>
  <c r="V710"/>
  <c r="W710"/>
  <c r="Y710"/>
  <c r="AB710"/>
  <c r="AC710"/>
  <c r="AD710"/>
  <c r="P711"/>
  <c r="T711"/>
  <c r="U711"/>
  <c r="V711"/>
  <c r="W711"/>
  <c r="Y711"/>
  <c r="AB711"/>
  <c r="AC711"/>
  <c r="AD711"/>
  <c r="P712"/>
  <c r="T712"/>
  <c r="U712"/>
  <c r="V712"/>
  <c r="W712"/>
  <c r="Y712"/>
  <c r="AB712"/>
  <c r="AC712"/>
  <c r="AD712"/>
  <c r="P713"/>
  <c r="T713"/>
  <c r="U713"/>
  <c r="V713"/>
  <c r="W713"/>
  <c r="Y713"/>
  <c r="AB713"/>
  <c r="AC713"/>
  <c r="AD713"/>
  <c r="P714"/>
  <c r="T714"/>
  <c r="U714"/>
  <c r="V714"/>
  <c r="W714"/>
  <c r="Y714"/>
  <c r="AB714"/>
  <c r="AC714"/>
  <c r="AD714"/>
  <c r="P715"/>
  <c r="T715"/>
  <c r="U715"/>
  <c r="V715"/>
  <c r="W715"/>
  <c r="Y715"/>
  <c r="AB715"/>
  <c r="AC715"/>
  <c r="AD715"/>
  <c r="P716"/>
  <c r="T716"/>
  <c r="U716"/>
  <c r="V716"/>
  <c r="W716"/>
  <c r="Y716"/>
  <c r="AB716"/>
  <c r="AC716"/>
  <c r="AD716"/>
  <c r="P717"/>
  <c r="T717"/>
  <c r="U717"/>
  <c r="V717"/>
  <c r="W717"/>
  <c r="Y717"/>
  <c r="AB717"/>
  <c r="AC717"/>
  <c r="AD717"/>
  <c r="P718"/>
  <c r="T718"/>
  <c r="U718"/>
  <c r="V718"/>
  <c r="W718"/>
  <c r="Y718"/>
  <c r="AB718"/>
  <c r="AC718"/>
  <c r="AD718"/>
  <c r="P719"/>
  <c r="T719"/>
  <c r="U719"/>
  <c r="V719"/>
  <c r="W719"/>
  <c r="Y719"/>
  <c r="AB719"/>
  <c r="AC719"/>
  <c r="AD719"/>
  <c r="P720"/>
  <c r="T720"/>
  <c r="U720"/>
  <c r="V720"/>
  <c r="W720"/>
  <c r="Y720"/>
  <c r="AB720"/>
  <c r="AC720"/>
  <c r="AD720"/>
  <c r="P721"/>
  <c r="T721"/>
  <c r="U721"/>
  <c r="V721"/>
  <c r="W721"/>
  <c r="Y721"/>
  <c r="AB721"/>
  <c r="AC721"/>
  <c r="AD721"/>
  <c r="P722"/>
  <c r="T722"/>
  <c r="U722"/>
  <c r="V722"/>
  <c r="W722"/>
  <c r="Y722"/>
  <c r="AB722"/>
  <c r="AC722"/>
  <c r="AD722"/>
  <c r="P723"/>
  <c r="T723"/>
  <c r="U723"/>
  <c r="V723"/>
  <c r="W723"/>
  <c r="Y723"/>
  <c r="AB723"/>
  <c r="AC723"/>
  <c r="AD723"/>
  <c r="P725"/>
  <c r="T725"/>
  <c r="U725"/>
  <c r="V725"/>
  <c r="W725"/>
  <c r="Y725"/>
  <c r="AB725"/>
  <c r="AC725"/>
  <c r="AD725"/>
  <c r="P726"/>
  <c r="T726"/>
  <c r="U726"/>
  <c r="V726"/>
  <c r="W726"/>
  <c r="Y726"/>
  <c r="AB726"/>
  <c r="AC726"/>
  <c r="AD726"/>
  <c r="P727"/>
  <c r="T727"/>
  <c r="U727"/>
  <c r="V727"/>
  <c r="W727"/>
  <c r="Y727"/>
  <c r="AB727"/>
  <c r="AC727"/>
  <c r="AD727"/>
  <c r="P728"/>
  <c r="T728"/>
  <c r="U728"/>
  <c r="V728"/>
  <c r="W728"/>
  <c r="Y728"/>
  <c r="AB728"/>
  <c r="AC728"/>
  <c r="AD728"/>
  <c r="P729"/>
  <c r="T729"/>
  <c r="U729"/>
  <c r="V729"/>
  <c r="W729"/>
  <c r="Y729"/>
  <c r="AB729"/>
  <c r="AC729"/>
  <c r="AD729"/>
  <c r="P730"/>
  <c r="T730"/>
  <c r="U730"/>
  <c r="V730"/>
  <c r="W730"/>
  <c r="Y730"/>
  <c r="AB730"/>
  <c r="AC730"/>
  <c r="AD730"/>
  <c r="P731"/>
  <c r="T731"/>
  <c r="U731"/>
  <c r="V731"/>
  <c r="W731"/>
  <c r="Y731"/>
  <c r="AB731"/>
  <c r="AC731"/>
  <c r="P732"/>
  <c r="T732"/>
  <c r="U732"/>
  <c r="V732"/>
  <c r="W732"/>
  <c r="Y732"/>
  <c r="AB732"/>
  <c r="AC732"/>
  <c r="P733"/>
  <c r="T733"/>
  <c r="U733"/>
  <c r="V733"/>
  <c r="W733"/>
  <c r="Y733"/>
  <c r="AB733"/>
  <c r="AC733"/>
  <c r="P734"/>
  <c r="T734"/>
  <c r="U734"/>
  <c r="V734"/>
  <c r="W734"/>
  <c r="Y734"/>
  <c r="AB734"/>
  <c r="AC734"/>
  <c r="P735"/>
  <c r="T735"/>
  <c r="U735"/>
  <c r="V735"/>
  <c r="W735"/>
  <c r="Y735"/>
  <c r="AB735"/>
  <c r="AC735"/>
  <c r="P736"/>
  <c r="T736"/>
  <c r="U736"/>
  <c r="V736"/>
  <c r="W736"/>
  <c r="Y736"/>
  <c r="AB736"/>
  <c r="AC736"/>
  <c r="P737"/>
  <c r="T737"/>
  <c r="U737"/>
  <c r="V737"/>
  <c r="W737"/>
  <c r="Y737"/>
  <c r="AB737"/>
  <c r="AC737"/>
  <c r="P738"/>
  <c r="T738"/>
  <c r="U738"/>
  <c r="V738"/>
  <c r="W738"/>
  <c r="Y738"/>
  <c r="AB738"/>
  <c r="AC738"/>
  <c r="P739"/>
  <c r="T739"/>
  <c r="U739"/>
  <c r="V739"/>
  <c r="W739"/>
  <c r="Y739"/>
  <c r="AB739"/>
  <c r="AC739"/>
  <c r="P740"/>
  <c r="T740"/>
  <c r="U740"/>
  <c r="V740"/>
  <c r="W740"/>
  <c r="Y740"/>
  <c r="AB740"/>
  <c r="AC740"/>
  <c r="P741"/>
  <c r="T741"/>
  <c r="U741"/>
  <c r="V741"/>
  <c r="W741"/>
  <c r="Y741"/>
  <c r="AB741"/>
  <c r="AC741"/>
  <c r="P742"/>
  <c r="T742"/>
  <c r="U742"/>
  <c r="V742"/>
  <c r="W742"/>
  <c r="Y742"/>
  <c r="AB742"/>
  <c r="AC742"/>
  <c r="P743"/>
  <c r="T743"/>
  <c r="U743"/>
  <c r="V743"/>
  <c r="W743"/>
  <c r="Y743"/>
  <c r="AB743"/>
  <c r="AC743"/>
  <c r="P744"/>
  <c r="T744"/>
  <c r="U744"/>
  <c r="V744"/>
  <c r="W744"/>
  <c r="Y744"/>
  <c r="AB744"/>
  <c r="AC744"/>
  <c r="P745"/>
  <c r="T745"/>
  <c r="U745"/>
  <c r="V745"/>
  <c r="W745"/>
  <c r="Y745"/>
  <c r="AB745"/>
  <c r="AC745"/>
  <c r="P746"/>
  <c r="T746"/>
  <c r="U746"/>
  <c r="V746"/>
  <c r="W746"/>
  <c r="Y746"/>
  <c r="AB746"/>
  <c r="AC746"/>
  <c r="P747"/>
  <c r="T747"/>
  <c r="U747"/>
  <c r="V747"/>
  <c r="W747"/>
  <c r="Y747"/>
  <c r="AB747"/>
  <c r="AC747"/>
  <c r="P748"/>
  <c r="T748"/>
  <c r="U748"/>
  <c r="V748"/>
  <c r="W748"/>
  <c r="Y748"/>
  <c r="AB748"/>
  <c r="AC748"/>
  <c r="P749"/>
  <c r="T749"/>
  <c r="U749"/>
  <c r="V749"/>
  <c r="W749"/>
  <c r="Y749"/>
  <c r="AB749"/>
  <c r="AC749"/>
  <c r="P750"/>
  <c r="T750"/>
  <c r="U750"/>
  <c r="V750"/>
  <c r="W750"/>
  <c r="Y750"/>
  <c r="AB750"/>
  <c r="AC750"/>
  <c r="AD750"/>
  <c r="P751"/>
  <c r="T751"/>
  <c r="U751"/>
  <c r="V751"/>
  <c r="W751"/>
  <c r="Y751"/>
  <c r="AB751"/>
  <c r="AC751"/>
  <c r="AD751"/>
  <c r="P752"/>
  <c r="T752"/>
  <c r="U752"/>
  <c r="V752"/>
  <c r="W752"/>
  <c r="Y752"/>
  <c r="AB752"/>
  <c r="AC752"/>
  <c r="AD752"/>
  <c r="P753"/>
  <c r="T753"/>
  <c r="U753"/>
  <c r="V753"/>
  <c r="W753"/>
  <c r="Y753"/>
  <c r="AB753"/>
  <c r="AC753"/>
  <c r="AD753"/>
  <c r="P754"/>
  <c r="T754"/>
  <c r="U754"/>
  <c r="V754"/>
  <c r="W754"/>
  <c r="Y754"/>
  <c r="AB754"/>
  <c r="AC754"/>
  <c r="AD754"/>
  <c r="P755"/>
  <c r="T755"/>
  <c r="U755"/>
  <c r="V755"/>
  <c r="W755"/>
  <c r="Y755"/>
  <c r="AB755"/>
  <c r="AC755"/>
  <c r="AD755"/>
  <c r="P756"/>
  <c r="T756"/>
  <c r="U756"/>
  <c r="V756"/>
  <c r="W756"/>
  <c r="Y756"/>
  <c r="AB756"/>
  <c r="AC756"/>
  <c r="AD756"/>
  <c r="P757"/>
  <c r="T757"/>
  <c r="U757"/>
  <c r="V757"/>
  <c r="W757"/>
  <c r="Y757"/>
  <c r="AB757"/>
  <c r="AC757"/>
  <c r="AD757"/>
  <c r="P758"/>
  <c r="T758"/>
  <c r="U758"/>
  <c r="V758"/>
  <c r="W758"/>
  <c r="Y758"/>
  <c r="AB758"/>
  <c r="AC758"/>
  <c r="AD758"/>
  <c r="P759"/>
  <c r="T759"/>
  <c r="U759"/>
  <c r="V759"/>
  <c r="W759"/>
  <c r="Y759"/>
  <c r="AB759"/>
  <c r="AC759"/>
  <c r="AD759"/>
  <c r="P760"/>
  <c r="T760"/>
  <c r="U760"/>
  <c r="V760"/>
  <c r="W760"/>
  <c r="Y760"/>
  <c r="AB760"/>
  <c r="AC760"/>
  <c r="AD760"/>
  <c r="P761"/>
  <c r="T761"/>
  <c r="U761"/>
  <c r="V761"/>
  <c r="W761"/>
  <c r="Y761"/>
  <c r="AB761"/>
  <c r="AC761"/>
  <c r="AD761"/>
  <c r="P762"/>
  <c r="T762"/>
  <c r="U762"/>
  <c r="V762"/>
  <c r="W762"/>
  <c r="Y762"/>
  <c r="AB762"/>
  <c r="AC762"/>
  <c r="AD762"/>
  <c r="P763"/>
  <c r="T763"/>
  <c r="U763"/>
  <c r="V763"/>
  <c r="W763"/>
  <c r="Y763"/>
  <c r="AB763"/>
  <c r="AC763"/>
  <c r="AD763"/>
  <c r="P764"/>
  <c r="T764"/>
  <c r="U764"/>
  <c r="V764"/>
  <c r="W764"/>
  <c r="Y764"/>
  <c r="AB764"/>
  <c r="AC764"/>
  <c r="AD764"/>
  <c r="P765"/>
  <c r="T765"/>
  <c r="U765"/>
  <c r="V765"/>
  <c r="W765"/>
  <c r="Y765"/>
  <c r="AB765"/>
  <c r="AC765"/>
  <c r="AD765"/>
  <c r="P766"/>
  <c r="T766"/>
  <c r="U766"/>
  <c r="V766"/>
  <c r="W766"/>
  <c r="Y766"/>
  <c r="AB766"/>
  <c r="AC766"/>
  <c r="AD766"/>
  <c r="P767"/>
  <c r="T767"/>
  <c r="U767"/>
  <c r="V767"/>
  <c r="W767"/>
  <c r="Y767"/>
  <c r="AB767"/>
  <c r="AC767"/>
  <c r="AD767"/>
  <c r="P768"/>
  <c r="T768"/>
  <c r="U768"/>
  <c r="V768"/>
  <c r="W768"/>
  <c r="Y768"/>
  <c r="AB768"/>
  <c r="AC768"/>
  <c r="AD768"/>
  <c r="P769"/>
  <c r="T769"/>
  <c r="U769"/>
  <c r="V769"/>
  <c r="W769"/>
  <c r="Y769"/>
  <c r="AB769"/>
  <c r="AC769"/>
  <c r="AD769"/>
  <c r="P770"/>
  <c r="T770"/>
  <c r="U770"/>
  <c r="V770"/>
  <c r="W770"/>
  <c r="Y770"/>
  <c r="AB770"/>
  <c r="AC770"/>
  <c r="AD770"/>
  <c r="P771"/>
  <c r="T771"/>
  <c r="U771"/>
  <c r="V771"/>
  <c r="W771"/>
  <c r="Y771"/>
  <c r="AB771"/>
  <c r="AC771"/>
  <c r="AD771"/>
  <c r="P772"/>
  <c r="T772"/>
  <c r="U772"/>
  <c r="V772"/>
  <c r="W772"/>
  <c r="Y772"/>
  <c r="AB772"/>
  <c r="AC772"/>
  <c r="AD772"/>
  <c r="P773"/>
  <c r="T773"/>
  <c r="U773"/>
  <c r="V773"/>
  <c r="W773"/>
  <c r="Y773"/>
  <c r="AB773"/>
  <c r="AC773"/>
  <c r="AD773"/>
  <c r="P774"/>
  <c r="T774"/>
  <c r="U774"/>
  <c r="V774"/>
  <c r="W774"/>
  <c r="Y774"/>
  <c r="AB774"/>
  <c r="AC774"/>
  <c r="AD774"/>
  <c r="P775"/>
  <c r="T775"/>
  <c r="U775"/>
  <c r="V775"/>
  <c r="W775"/>
  <c r="Y775"/>
  <c r="AB775"/>
  <c r="AC775"/>
  <c r="AD775"/>
  <c r="P776"/>
  <c r="T776"/>
  <c r="U776"/>
  <c r="V776"/>
  <c r="W776"/>
  <c r="Y776"/>
  <c r="AB776"/>
  <c r="AC776"/>
  <c r="AD776"/>
  <c r="P777"/>
  <c r="T777"/>
  <c r="U777"/>
  <c r="V777"/>
  <c r="W777"/>
  <c r="Y777"/>
  <c r="AB777"/>
  <c r="AC777"/>
  <c r="AD777"/>
  <c r="P778"/>
  <c r="T778"/>
  <c r="U778"/>
  <c r="V778"/>
  <c r="W778"/>
  <c r="Y778"/>
  <c r="AB778"/>
  <c r="AC778"/>
  <c r="AD778"/>
  <c r="P779"/>
  <c r="T779"/>
  <c r="U779"/>
  <c r="V779"/>
  <c r="W779"/>
  <c r="Y779"/>
  <c r="AB779"/>
  <c r="AC779"/>
  <c r="AD779"/>
  <c r="P780"/>
  <c r="T780"/>
  <c r="U780"/>
  <c r="V780"/>
  <c r="W780"/>
  <c r="Y780"/>
  <c r="AB780"/>
  <c r="AC780"/>
  <c r="AD780"/>
  <c r="P781"/>
  <c r="T781"/>
  <c r="U781"/>
  <c r="V781"/>
  <c r="W781"/>
  <c r="Y781"/>
  <c r="AB781"/>
  <c r="AC781"/>
  <c r="AD781"/>
  <c r="P782"/>
  <c r="T782"/>
  <c r="U782"/>
  <c r="V782"/>
  <c r="W782"/>
  <c r="Y782"/>
  <c r="AB782"/>
  <c r="AC782"/>
  <c r="AD782"/>
  <c r="P783"/>
  <c r="T783"/>
  <c r="U783"/>
  <c r="V783"/>
  <c r="W783"/>
  <c r="Y783"/>
  <c r="AB783"/>
  <c r="AC783"/>
  <c r="AD783"/>
  <c r="P784"/>
  <c r="T784"/>
  <c r="U784"/>
  <c r="V784"/>
  <c r="W784"/>
  <c r="Y784"/>
  <c r="AB784"/>
  <c r="AC784"/>
  <c r="AD784"/>
  <c r="P785"/>
  <c r="T785"/>
  <c r="U785"/>
  <c r="V785"/>
  <c r="W785"/>
  <c r="Y785"/>
  <c r="AB785"/>
  <c r="AC785"/>
  <c r="AD785"/>
  <c r="P786"/>
  <c r="T786"/>
  <c r="U786"/>
  <c r="V786"/>
  <c r="W786"/>
  <c r="Y786"/>
  <c r="AB786"/>
  <c r="AC786"/>
  <c r="AD786"/>
  <c r="P787"/>
  <c r="T787"/>
  <c r="U787"/>
  <c r="V787"/>
  <c r="W787"/>
  <c r="Y787"/>
  <c r="AB787"/>
  <c r="AC787"/>
  <c r="AD787"/>
  <c r="P788"/>
  <c r="T788"/>
  <c r="U788"/>
  <c r="V788"/>
  <c r="W788"/>
  <c r="Y788"/>
  <c r="AB788"/>
  <c r="AC788"/>
  <c r="AD788"/>
  <c r="P789"/>
  <c r="T789"/>
  <c r="U789"/>
  <c r="V789"/>
  <c r="W789"/>
  <c r="Y789"/>
  <c r="AB789"/>
  <c r="AC789"/>
  <c r="AD789"/>
  <c r="P790"/>
  <c r="T790"/>
  <c r="U790"/>
  <c r="V790"/>
  <c r="W790"/>
  <c r="Y790"/>
  <c r="AB790"/>
  <c r="AC790"/>
  <c r="AD790"/>
  <c r="P791"/>
  <c r="T791"/>
  <c r="U791"/>
  <c r="V791"/>
  <c r="W791"/>
  <c r="Y791"/>
  <c r="AB791"/>
  <c r="AC791"/>
  <c r="AD791"/>
  <c r="P792"/>
  <c r="T792"/>
  <c r="U792"/>
  <c r="V792"/>
  <c r="W792"/>
  <c r="Y792"/>
  <c r="AB792"/>
  <c r="AC792"/>
  <c r="AD792"/>
  <c r="P793"/>
  <c r="T793"/>
  <c r="U793"/>
  <c r="V793"/>
  <c r="W793"/>
  <c r="Y793"/>
  <c r="AB793"/>
  <c r="AC793"/>
  <c r="AD793"/>
  <c r="P794"/>
  <c r="T794"/>
  <c r="U794"/>
  <c r="V794"/>
  <c r="W794"/>
  <c r="Y794"/>
  <c r="AB794"/>
  <c r="AC794"/>
  <c r="AD794"/>
  <c r="P795"/>
  <c r="T795"/>
  <c r="U795"/>
  <c r="V795"/>
  <c r="W795"/>
  <c r="Y795"/>
  <c r="AB795"/>
  <c r="AC795"/>
  <c r="AD795"/>
  <c r="P796"/>
  <c r="T796"/>
  <c r="U796"/>
  <c r="V796"/>
  <c r="W796"/>
  <c r="Y796"/>
  <c r="AB796"/>
  <c r="AC796"/>
  <c r="AD796"/>
  <c r="P797"/>
  <c r="T797"/>
  <c r="U797"/>
  <c r="V797"/>
  <c r="W797"/>
  <c r="Y797"/>
  <c r="AB797"/>
  <c r="AC797"/>
  <c r="AD797"/>
  <c r="P798"/>
  <c r="T798"/>
  <c r="U798"/>
  <c r="V798"/>
  <c r="W798"/>
  <c r="Y798"/>
  <c r="AB798"/>
  <c r="AC798"/>
  <c r="AD798"/>
  <c r="P799"/>
  <c r="T799"/>
  <c r="U799"/>
  <c r="V799"/>
  <c r="W799"/>
  <c r="Y799"/>
  <c r="AB799"/>
  <c r="AC799"/>
  <c r="AD799"/>
  <c r="P800"/>
  <c r="T800"/>
  <c r="U800"/>
  <c r="V800"/>
  <c r="W800"/>
  <c r="Y800"/>
  <c r="AB800"/>
  <c r="AC800"/>
  <c r="AD800"/>
  <c r="P801"/>
  <c r="T801"/>
  <c r="U801"/>
  <c r="V801"/>
  <c r="W801"/>
  <c r="Y801"/>
  <c r="AB801"/>
  <c r="AC801"/>
  <c r="AD801"/>
  <c r="P802"/>
  <c r="T802"/>
  <c r="U802"/>
  <c r="V802"/>
  <c r="W802"/>
  <c r="Y802"/>
  <c r="AB802"/>
  <c r="AC802"/>
  <c r="AD802"/>
  <c r="P803"/>
  <c r="T803"/>
  <c r="U803"/>
  <c r="V803"/>
  <c r="W803"/>
  <c r="Y803"/>
  <c r="AB803"/>
  <c r="AC803"/>
  <c r="AD803"/>
  <c r="P804"/>
  <c r="T804"/>
  <c r="U804"/>
  <c r="V804"/>
  <c r="W804"/>
  <c r="Y804"/>
  <c r="AB804"/>
  <c r="AC804"/>
  <c r="AD804"/>
  <c r="P805"/>
  <c r="T805"/>
  <c r="U805"/>
  <c r="V805"/>
  <c r="W805"/>
  <c r="Y805"/>
  <c r="AB805"/>
  <c r="AC805"/>
  <c r="AD805"/>
  <c r="P811"/>
  <c r="T811"/>
  <c r="U811"/>
  <c r="V811"/>
  <c r="W811"/>
  <c r="Y811"/>
  <c r="AB811"/>
  <c r="AC811"/>
  <c r="AD811"/>
  <c r="P814"/>
  <c r="T814"/>
  <c r="U814"/>
  <c r="V814"/>
  <c r="W814"/>
  <c r="Y814"/>
  <c r="AB814"/>
  <c r="AC814"/>
  <c r="AD814"/>
  <c r="P815"/>
  <c r="T815"/>
  <c r="U815"/>
  <c r="V815"/>
  <c r="W815"/>
  <c r="Y815"/>
  <c r="AB815"/>
  <c r="AC815"/>
  <c r="AD815"/>
  <c r="P816"/>
  <c r="T816"/>
  <c r="U816"/>
  <c r="V816"/>
  <c r="W816"/>
  <c r="Y816"/>
  <c r="AB816"/>
  <c r="AC816"/>
  <c r="AD816"/>
  <c r="P817"/>
  <c r="T817"/>
  <c r="U817"/>
  <c r="V817"/>
  <c r="W817"/>
  <c r="Y817"/>
  <c r="AB817"/>
  <c r="AC817"/>
  <c r="AD817"/>
  <c r="P826"/>
  <c r="T826"/>
  <c r="U826"/>
  <c r="V826"/>
  <c r="W826"/>
  <c r="Y826"/>
  <c r="AB826"/>
  <c r="AC826"/>
  <c r="AD826"/>
  <c r="P830"/>
  <c r="T830"/>
  <c r="U830"/>
  <c r="V830"/>
  <c r="W830"/>
  <c r="Y830"/>
  <c r="AB830"/>
  <c r="AC830"/>
  <c r="AD830"/>
  <c r="P844"/>
  <c r="T844"/>
  <c r="U844"/>
  <c r="V844"/>
  <c r="W844"/>
  <c r="Y844"/>
  <c r="AB844"/>
  <c r="AC844"/>
  <c r="AD844"/>
  <c r="P846"/>
  <c r="T846"/>
  <c r="U846"/>
  <c r="V846"/>
  <c r="W846"/>
  <c r="Y846"/>
  <c r="AB846"/>
  <c r="AC846"/>
  <c r="AD846"/>
  <c r="P847"/>
  <c r="T847"/>
  <c r="U847"/>
  <c r="V847"/>
  <c r="W847"/>
  <c r="Y847"/>
  <c r="AB847"/>
  <c r="AC847"/>
  <c r="AD847"/>
  <c r="P848"/>
  <c r="T848"/>
  <c r="U848"/>
  <c r="V848"/>
  <c r="W848"/>
  <c r="Y848"/>
  <c r="AB848"/>
  <c r="AC848"/>
  <c r="AD848"/>
  <c r="P860"/>
  <c r="W860"/>
  <c r="Y860"/>
  <c r="AB860"/>
  <c r="AC860"/>
  <c r="AD860"/>
  <c r="P861"/>
  <c r="W861"/>
  <c r="Y861"/>
  <c r="AB861"/>
  <c r="AC861"/>
  <c r="AD861"/>
  <c r="P862"/>
  <c r="W862"/>
  <c r="Y862"/>
  <c r="AB862"/>
  <c r="AC862"/>
  <c r="AD862"/>
  <c r="P863"/>
  <c r="W863"/>
  <c r="Y863"/>
  <c r="AB863"/>
  <c r="AC863"/>
  <c r="AD863"/>
  <c r="P864"/>
  <c r="W864"/>
  <c r="Y864"/>
  <c r="AB864"/>
  <c r="AC864"/>
  <c r="AD864"/>
  <c r="P865"/>
  <c r="W865"/>
  <c r="Y865"/>
  <c r="AB865"/>
  <c r="AC865"/>
  <c r="AD865"/>
  <c r="P866"/>
  <c r="W866"/>
  <c r="Y866"/>
  <c r="AB866"/>
  <c r="AC866"/>
  <c r="AD866"/>
  <c r="P867"/>
  <c r="W867"/>
  <c r="Y867"/>
  <c r="AB867"/>
  <c r="AC867"/>
  <c r="AD867"/>
  <c r="P868"/>
  <c r="W868"/>
  <c r="Y868"/>
  <c r="AB868"/>
  <c r="AC868"/>
  <c r="AD868"/>
  <c r="P869"/>
  <c r="W869"/>
  <c r="Y869"/>
  <c r="AB869"/>
  <c r="AC869"/>
  <c r="AD869"/>
  <c r="P870"/>
  <c r="W870"/>
  <c r="Y870"/>
  <c r="AB870"/>
  <c r="AC870"/>
  <c r="AD870"/>
  <c r="P871"/>
  <c r="W871"/>
  <c r="Y871"/>
  <c r="AB871"/>
  <c r="AC871"/>
  <c r="AD871"/>
  <c r="P872"/>
  <c r="W872"/>
  <c r="Y872"/>
  <c r="AB872"/>
  <c r="AC872"/>
  <c r="AD872"/>
  <c r="P873"/>
  <c r="W873"/>
  <c r="Y873"/>
  <c r="AB873"/>
  <c r="AC873"/>
  <c r="AD873"/>
  <c r="P874"/>
  <c r="W874"/>
  <c r="Y874"/>
  <c r="AB874"/>
  <c r="AC874"/>
  <c r="AD874"/>
  <c r="P875"/>
  <c r="W875"/>
  <c r="Y875"/>
  <c r="AB875"/>
  <c r="AC875"/>
  <c r="AD875"/>
  <c r="P876"/>
  <c r="W876"/>
  <c r="Y876"/>
  <c r="AB876"/>
  <c r="AC876"/>
  <c r="AD876"/>
  <c r="P877"/>
  <c r="W877"/>
  <c r="Y877"/>
  <c r="AB877"/>
  <c r="AC877"/>
  <c r="AD877"/>
  <c r="P878"/>
  <c r="W878"/>
  <c r="Y878"/>
  <c r="AB878"/>
  <c r="AC878"/>
  <c r="AD878"/>
  <c r="P879"/>
  <c r="W879"/>
  <c r="Y879"/>
  <c r="AB879"/>
  <c r="AC879"/>
  <c r="AD879"/>
  <c r="P880"/>
  <c r="W880"/>
  <c r="Y880"/>
  <c r="AB880"/>
  <c r="AC880"/>
  <c r="AD880"/>
  <c r="P881"/>
  <c r="W881"/>
  <c r="Y881"/>
  <c r="AB881"/>
  <c r="AC881"/>
  <c r="AD881"/>
  <c r="P882"/>
  <c r="W882"/>
  <c r="Y882"/>
  <c r="AB882"/>
  <c r="AC882"/>
  <c r="AD882"/>
  <c r="P883"/>
  <c r="W883"/>
  <c r="Y883"/>
  <c r="AB883"/>
  <c r="AC883"/>
  <c r="AD883"/>
  <c r="P884"/>
  <c r="W884"/>
  <c r="Y884"/>
  <c r="AB884"/>
  <c r="AC884"/>
  <c r="AD884"/>
  <c r="P889"/>
  <c r="W889"/>
  <c r="Y889"/>
  <c r="AB889"/>
  <c r="AC889"/>
  <c r="AD889"/>
  <c r="P890"/>
  <c r="W890"/>
  <c r="Y890"/>
  <c r="AB890"/>
  <c r="AC890"/>
  <c r="AD890"/>
  <c r="P891"/>
  <c r="W891"/>
  <c r="Y891"/>
  <c r="AB891"/>
  <c r="AC891"/>
  <c r="AD891"/>
  <c r="P892"/>
  <c r="W892"/>
  <c r="Y892"/>
  <c r="AB892"/>
  <c r="AC892"/>
  <c r="AD892"/>
  <c r="P893"/>
  <c r="W893"/>
  <c r="Y893"/>
  <c r="AB893"/>
  <c r="AC893"/>
  <c r="AD893"/>
  <c r="P894"/>
  <c r="W894"/>
  <c r="Y894"/>
  <c r="AB894"/>
  <c r="AC894"/>
  <c r="AD894"/>
  <c r="P895"/>
  <c r="W895"/>
  <c r="Y895"/>
  <c r="AB895"/>
  <c r="AC895"/>
  <c r="AD895"/>
  <c r="P896"/>
  <c r="W896"/>
  <c r="Y896"/>
  <c r="AB896"/>
  <c r="AC896"/>
  <c r="AD896"/>
  <c r="P897"/>
  <c r="W897"/>
  <c r="Y897"/>
  <c r="AB897"/>
  <c r="AC897"/>
  <c r="AD897"/>
  <c r="P898"/>
  <c r="W898"/>
  <c r="Y898"/>
  <c r="AB898"/>
  <c r="AC898"/>
  <c r="AD898"/>
  <c r="P899"/>
  <c r="W899"/>
  <c r="Y899"/>
  <c r="AB899"/>
  <c r="AC899"/>
  <c r="AD899"/>
  <c r="P901"/>
  <c r="W901"/>
  <c r="Y901"/>
  <c r="AB901"/>
  <c r="AC901"/>
  <c r="AD901"/>
  <c r="P902"/>
  <c r="W902"/>
  <c r="Y902"/>
  <c r="AB902"/>
  <c r="AC902"/>
  <c r="AD902"/>
  <c r="P903"/>
  <c r="W903"/>
  <c r="Y903"/>
  <c r="AB903"/>
  <c r="AC903"/>
  <c r="AD903"/>
  <c r="P904"/>
  <c r="W904"/>
  <c r="Y904"/>
  <c r="AB904"/>
  <c r="AC904"/>
  <c r="AD904"/>
  <c r="P905"/>
  <c r="W905"/>
  <c r="Y905"/>
  <c r="AB905"/>
  <c r="AC905"/>
  <c r="AD905"/>
  <c r="P906"/>
  <c r="W906"/>
  <c r="Y906"/>
  <c r="AB906"/>
  <c r="AC906"/>
  <c r="AD906"/>
  <c r="P907"/>
  <c r="W907"/>
  <c r="Y907"/>
  <c r="AB907"/>
  <c r="AC907"/>
  <c r="AD907"/>
  <c r="P908"/>
  <c r="W908"/>
  <c r="Y908"/>
  <c r="AB908"/>
  <c r="AC908"/>
  <c r="AD908"/>
  <c r="P909"/>
  <c r="W909"/>
  <c r="Y909"/>
  <c r="AB909"/>
  <c r="AC909"/>
  <c r="AD909"/>
  <c r="P910"/>
  <c r="W910"/>
  <c r="Y910"/>
  <c r="AB910"/>
  <c r="AC910"/>
  <c r="AD910"/>
  <c r="P911"/>
  <c r="W911"/>
  <c r="Y911"/>
  <c r="AB911"/>
  <c r="AC911"/>
  <c r="AD911"/>
  <c r="P912"/>
  <c r="W912"/>
  <c r="Y912"/>
  <c r="AB912"/>
  <c r="AC912"/>
  <c r="AD912"/>
  <c r="P913"/>
  <c r="W913"/>
  <c r="Y913"/>
  <c r="AB913"/>
  <c r="AC913"/>
  <c r="AD913"/>
  <c r="P914"/>
  <c r="W914"/>
  <c r="Y914"/>
  <c r="AB914"/>
  <c r="AC914"/>
  <c r="AD914"/>
  <c r="P915"/>
  <c r="W915"/>
  <c r="Y915"/>
  <c r="AB915"/>
  <c r="AC915"/>
  <c r="AD915"/>
  <c r="P916"/>
  <c r="W916"/>
  <c r="Y916"/>
  <c r="AB916"/>
  <c r="AC916"/>
  <c r="AD916"/>
  <c r="P917"/>
  <c r="W917"/>
  <c r="Y917"/>
  <c r="AB917"/>
  <c r="AC917"/>
  <c r="AD917"/>
  <c r="P918"/>
  <c r="W918"/>
  <c r="Y918"/>
  <c r="AB918"/>
  <c r="AC918"/>
  <c r="AD918"/>
  <c r="P924"/>
  <c r="W924"/>
  <c r="Y924"/>
  <c r="AB924"/>
  <c r="AC924"/>
  <c r="AD924"/>
  <c r="P925"/>
  <c r="W925"/>
  <c r="Y925"/>
  <c r="AB925"/>
  <c r="AC925"/>
  <c r="AD925"/>
  <c r="P926"/>
  <c r="T926"/>
  <c r="U926"/>
  <c r="V926"/>
  <c r="W926"/>
  <c r="Y926"/>
  <c r="AB926"/>
  <c r="AC926"/>
  <c r="AD926"/>
  <c r="P927"/>
  <c r="T927"/>
  <c r="U927"/>
  <c r="V927"/>
  <c r="W927"/>
  <c r="Y927"/>
  <c r="AB927"/>
  <c r="AC927"/>
  <c r="AD927"/>
  <c r="P928"/>
  <c r="T928"/>
  <c r="U928"/>
  <c r="V928"/>
  <c r="W928"/>
  <c r="Y928"/>
  <c r="AB928"/>
  <c r="AC928"/>
  <c r="AD928"/>
  <c r="P929"/>
  <c r="T929"/>
  <c r="U929"/>
  <c r="V929"/>
  <c r="W929"/>
  <c r="Y929"/>
  <c r="AB929"/>
  <c r="AC929"/>
  <c r="AD929"/>
  <c r="P930"/>
  <c r="T930"/>
  <c r="U930"/>
  <c r="V930"/>
  <c r="W930"/>
  <c r="Y930"/>
  <c r="AB930"/>
  <c r="AC930"/>
  <c r="AD930"/>
  <c r="P931"/>
  <c r="T931"/>
  <c r="U931"/>
  <c r="V931"/>
  <c r="W931"/>
  <c r="Y931"/>
  <c r="AB931"/>
  <c r="AC931"/>
  <c r="AD931"/>
  <c r="P932"/>
  <c r="T932"/>
  <c r="U932"/>
  <c r="V932"/>
  <c r="W932"/>
  <c r="Y932"/>
  <c r="AB932"/>
  <c r="AC932"/>
  <c r="AD932"/>
  <c r="P933"/>
  <c r="T933"/>
  <c r="U933"/>
  <c r="V933"/>
  <c r="W933"/>
  <c r="Y933"/>
  <c r="AB933"/>
  <c r="AC933"/>
  <c r="AD933"/>
  <c r="P934"/>
  <c r="T934"/>
  <c r="U934"/>
  <c r="V934"/>
  <c r="W934"/>
  <c r="Y934"/>
  <c r="AB934"/>
  <c r="AC934"/>
  <c r="AD934"/>
  <c r="P935"/>
  <c r="T935"/>
  <c r="U935"/>
  <c r="V935"/>
  <c r="W935"/>
  <c r="Y935"/>
  <c r="AB935"/>
  <c r="AC935"/>
  <c r="AD935"/>
  <c r="P936"/>
  <c r="T936"/>
  <c r="U936"/>
  <c r="V936"/>
  <c r="W936"/>
  <c r="Y936"/>
  <c r="AB936"/>
  <c r="AC936"/>
  <c r="AD936"/>
  <c r="P937"/>
  <c r="T937"/>
  <c r="U937"/>
  <c r="V937"/>
  <c r="W937"/>
  <c r="Y937"/>
  <c r="AB937"/>
  <c r="AC937"/>
  <c r="AD937"/>
  <c r="P938"/>
  <c r="T938"/>
  <c r="U938"/>
  <c r="V938"/>
  <c r="W938"/>
  <c r="Y938"/>
  <c r="AB938"/>
  <c r="AC938"/>
  <c r="AD938"/>
  <c r="P939"/>
  <c r="T939"/>
  <c r="U939"/>
  <c r="V939"/>
  <c r="W939"/>
  <c r="Y939"/>
  <c r="AB939"/>
  <c r="AC939"/>
  <c r="AD939"/>
  <c r="P940"/>
  <c r="T940"/>
  <c r="U940"/>
  <c r="V940"/>
  <c r="W940"/>
  <c r="Y940"/>
  <c r="AB940"/>
  <c r="AC940"/>
  <c r="AD940"/>
  <c r="P941"/>
  <c r="T941"/>
  <c r="U941"/>
  <c r="V941"/>
  <c r="W941"/>
  <c r="Y941"/>
  <c r="AB941"/>
  <c r="AC941"/>
  <c r="AD941"/>
  <c r="P942"/>
  <c r="T942"/>
  <c r="U942"/>
  <c r="V942"/>
  <c r="W942"/>
  <c r="Y942"/>
  <c r="AB942"/>
  <c r="AC942"/>
  <c r="AD942"/>
  <c r="P943"/>
  <c r="T943"/>
  <c r="U943"/>
  <c r="V943"/>
  <c r="W943"/>
  <c r="Y943"/>
  <c r="AB943"/>
  <c r="AC943"/>
  <c r="AD943"/>
  <c r="P944"/>
  <c r="T944"/>
  <c r="U944"/>
  <c r="V944"/>
  <c r="W944"/>
  <c r="Y944"/>
  <c r="AB944"/>
  <c r="AC944"/>
  <c r="AD944"/>
  <c r="P945"/>
  <c r="T945"/>
  <c r="U945"/>
  <c r="V945"/>
  <c r="W945"/>
  <c r="Y945"/>
  <c r="AB945"/>
  <c r="AC945"/>
  <c r="AD945"/>
  <c r="P946"/>
  <c r="T946"/>
  <c r="U946"/>
  <c r="V946"/>
  <c r="W946"/>
  <c r="Y946"/>
  <c r="AB946"/>
  <c r="AC946"/>
  <c r="AD946"/>
  <c r="P947"/>
  <c r="T947"/>
  <c r="U947"/>
  <c r="V947"/>
  <c r="W947"/>
  <c r="Y947"/>
  <c r="AB947"/>
  <c r="AC947"/>
  <c r="AD947"/>
  <c r="P948"/>
  <c r="T948"/>
  <c r="U948"/>
  <c r="V948"/>
  <c r="W948"/>
  <c r="Y948"/>
  <c r="AB948"/>
  <c r="AC948"/>
  <c r="AD948"/>
  <c r="P949"/>
  <c r="T949"/>
  <c r="U949"/>
  <c r="V949"/>
  <c r="W949"/>
  <c r="Y949"/>
  <c r="AB949"/>
  <c r="AC949"/>
  <c r="AD949"/>
  <c r="P950"/>
  <c r="T950"/>
  <c r="U950"/>
  <c r="V950"/>
  <c r="W950"/>
  <c r="Y950"/>
  <c r="AB950"/>
  <c r="AC950"/>
  <c r="AD950"/>
  <c r="P951"/>
  <c r="T951"/>
  <c r="U951"/>
  <c r="V951"/>
  <c r="W951"/>
  <c r="Y951"/>
  <c r="AB951"/>
  <c r="AC951"/>
  <c r="AD951"/>
  <c r="P952"/>
  <c r="T952"/>
  <c r="U952"/>
  <c r="V952"/>
  <c r="W952"/>
  <c r="Y952"/>
  <c r="AB952"/>
  <c r="AC952"/>
  <c r="AD952"/>
  <c r="P953"/>
  <c r="T953"/>
  <c r="U953"/>
  <c r="V953"/>
  <c r="W953"/>
  <c r="Y953"/>
  <c r="AB953"/>
  <c r="AC953"/>
  <c r="AD953"/>
  <c r="P954"/>
  <c r="T954"/>
  <c r="U954"/>
  <c r="V954"/>
  <c r="W954"/>
  <c r="Y954"/>
  <c r="AB954"/>
  <c r="AC954"/>
  <c r="AD954"/>
  <c r="P955"/>
  <c r="T955"/>
  <c r="U955"/>
  <c r="V955"/>
  <c r="W955"/>
  <c r="Y955"/>
  <c r="AB955"/>
  <c r="AC955"/>
  <c r="AD955"/>
  <c r="P956"/>
  <c r="T956"/>
  <c r="U956"/>
  <c r="V956"/>
  <c r="W956"/>
  <c r="Y956"/>
  <c r="AB956"/>
  <c r="AC956"/>
  <c r="AD956"/>
  <c r="P957"/>
  <c r="T957"/>
  <c r="U957"/>
  <c r="V957"/>
  <c r="W957"/>
  <c r="Y957"/>
  <c r="AB957"/>
  <c r="AC957"/>
  <c r="AD957"/>
  <c r="P958"/>
  <c r="T958"/>
  <c r="U958"/>
  <c r="V958"/>
  <c r="W958"/>
  <c r="Y958"/>
  <c r="AB958"/>
  <c r="AC958"/>
  <c r="AD958"/>
  <c r="P959"/>
  <c r="T959"/>
  <c r="U959"/>
  <c r="V959"/>
  <c r="W959"/>
  <c r="Y959"/>
  <c r="AB959"/>
  <c r="AC959"/>
  <c r="AD959"/>
  <c r="P960"/>
  <c r="T960"/>
  <c r="U960"/>
  <c r="V960"/>
  <c r="W960"/>
  <c r="Y960"/>
  <c r="AB960"/>
  <c r="AC960"/>
  <c r="AD960"/>
  <c r="P961"/>
  <c r="T961"/>
  <c r="U961"/>
  <c r="V961"/>
  <c r="W961"/>
  <c r="Y961"/>
  <c r="AB961"/>
  <c r="AC961"/>
  <c r="AD961"/>
  <c r="P962"/>
  <c r="T962"/>
  <c r="U962"/>
  <c r="V962"/>
  <c r="W962"/>
  <c r="Y962"/>
  <c r="AB962"/>
  <c r="AC962"/>
  <c r="AD962"/>
  <c r="P963"/>
  <c r="T963"/>
  <c r="U963"/>
  <c r="V963"/>
  <c r="W963"/>
  <c r="Y963"/>
  <c r="AB963"/>
  <c r="AC963"/>
  <c r="AD963"/>
  <c r="P964"/>
  <c r="T964"/>
  <c r="U964"/>
  <c r="V964"/>
  <c r="W964"/>
  <c r="Y964"/>
  <c r="AB964"/>
  <c r="AC964"/>
  <c r="AD964"/>
  <c r="P965"/>
  <c r="T965"/>
  <c r="U965"/>
  <c r="V965"/>
  <c r="W965"/>
  <c r="Y965"/>
  <c r="AB965"/>
  <c r="AC965"/>
  <c r="AD965"/>
  <c r="P966"/>
  <c r="T966"/>
  <c r="U966"/>
  <c r="V966"/>
  <c r="W966"/>
  <c r="Y966"/>
  <c r="AB966"/>
  <c r="AC966"/>
  <c r="AD966"/>
  <c r="P967"/>
  <c r="T967"/>
  <c r="U967"/>
  <c r="V967"/>
  <c r="W967"/>
  <c r="Y967"/>
  <c r="AB967"/>
  <c r="AC967"/>
  <c r="AD967"/>
  <c r="P968"/>
  <c r="T968"/>
  <c r="U968"/>
  <c r="V968"/>
  <c r="W968"/>
  <c r="Y968"/>
  <c r="AB968"/>
  <c r="AC968"/>
  <c r="AD968"/>
  <c r="P969"/>
  <c r="T969"/>
  <c r="U969"/>
  <c r="V969"/>
  <c r="W969"/>
  <c r="Y969"/>
  <c r="AB969"/>
  <c r="AC969"/>
  <c r="AD969"/>
  <c r="P970"/>
  <c r="T970"/>
  <c r="U970"/>
  <c r="V970"/>
  <c r="W970"/>
  <c r="Y970"/>
  <c r="AB970"/>
  <c r="AC970"/>
  <c r="AD970"/>
  <c r="P971"/>
  <c r="T971"/>
  <c r="U971"/>
  <c r="V971"/>
  <c r="W971"/>
  <c r="Y971"/>
  <c r="AB971"/>
  <c r="AC971"/>
  <c r="AD971"/>
  <c r="P972"/>
  <c r="T972"/>
  <c r="U972"/>
  <c r="V972"/>
  <c r="W972"/>
  <c r="Y972"/>
  <c r="AB972"/>
  <c r="AC972"/>
  <c r="AD972"/>
  <c r="P973"/>
  <c r="T973"/>
  <c r="U973"/>
  <c r="V973"/>
  <c r="W973"/>
  <c r="Y973"/>
  <c r="AB973"/>
  <c r="AC973"/>
  <c r="AD973"/>
  <c r="P974"/>
  <c r="T974"/>
  <c r="U974"/>
  <c r="V974"/>
  <c r="W974"/>
  <c r="Y974"/>
  <c r="AB974"/>
  <c r="AC974"/>
  <c r="AD974"/>
  <c r="P975"/>
  <c r="T975"/>
  <c r="U975"/>
  <c r="V975"/>
  <c r="W975"/>
  <c r="Y975"/>
  <c r="AB975"/>
  <c r="AC975"/>
  <c r="AD975"/>
  <c r="P976"/>
  <c r="T976"/>
  <c r="U976"/>
  <c r="V976"/>
  <c r="W976"/>
  <c r="Y976"/>
  <c r="AB976"/>
  <c r="AC976"/>
  <c r="AD976"/>
  <c r="P977"/>
  <c r="T977"/>
  <c r="U977"/>
  <c r="V977"/>
  <c r="W977"/>
  <c r="Y977"/>
  <c r="AB977"/>
  <c r="AC977"/>
  <c r="AD977"/>
  <c r="P978"/>
  <c r="T978"/>
  <c r="U978"/>
  <c r="V978"/>
  <c r="W978"/>
  <c r="Y978"/>
  <c r="AB978"/>
  <c r="AC978"/>
  <c r="AD978"/>
  <c r="P979"/>
  <c r="T979"/>
  <c r="U979"/>
  <c r="V979"/>
  <c r="W979"/>
  <c r="Y979"/>
  <c r="AB979"/>
  <c r="AC979"/>
  <c r="AD979"/>
  <c r="P980"/>
  <c r="T980"/>
  <c r="U980"/>
  <c r="V980"/>
  <c r="W980"/>
  <c r="Y980"/>
  <c r="AB980"/>
  <c r="AC980"/>
  <c r="AD980"/>
  <c r="P981"/>
  <c r="T981"/>
  <c r="U981"/>
  <c r="V981"/>
  <c r="W981"/>
  <c r="Y981"/>
  <c r="AB981"/>
  <c r="AC981"/>
  <c r="AD981"/>
  <c r="P982"/>
  <c r="T982"/>
  <c r="U982"/>
  <c r="V982"/>
  <c r="W982"/>
  <c r="Y982"/>
  <c r="AB982"/>
  <c r="AC982"/>
  <c r="AD982"/>
  <c r="P983"/>
  <c r="T983"/>
  <c r="U983"/>
  <c r="V983"/>
  <c r="W983"/>
  <c r="Y983"/>
  <c r="AB983"/>
  <c r="AC983"/>
  <c r="AD983"/>
  <c r="P984"/>
  <c r="T984"/>
  <c r="U984"/>
  <c r="V984"/>
  <c r="W984"/>
  <c r="Y984"/>
  <c r="AB984"/>
  <c r="AC984"/>
  <c r="AD984"/>
  <c r="P985"/>
  <c r="T985"/>
  <c r="U985"/>
  <c r="V985"/>
  <c r="W985"/>
  <c r="Y985"/>
  <c r="AB985"/>
  <c r="AC985"/>
  <c r="AD985"/>
  <c r="P986"/>
  <c r="T986"/>
  <c r="U986"/>
  <c r="V986"/>
  <c r="W986"/>
  <c r="Y986"/>
  <c r="AB986"/>
  <c r="AC986"/>
  <c r="AD986"/>
  <c r="P987"/>
  <c r="T987"/>
  <c r="U987"/>
  <c r="V987"/>
  <c r="W987"/>
  <c r="Y987"/>
  <c r="AB987"/>
  <c r="AC987"/>
  <c r="AD987"/>
  <c r="K801"/>
  <c r="M801" s="1"/>
  <c r="B802"/>
  <c r="Q802" s="1"/>
  <c r="B803"/>
  <c r="Q803" s="1"/>
  <c r="B804"/>
  <c r="S804" s="1"/>
  <c r="B805"/>
  <c r="Q805" s="1"/>
  <c r="E801"/>
  <c r="B801"/>
  <c r="C24"/>
  <c r="AD24" s="1"/>
  <c r="C23"/>
  <c r="C22"/>
  <c r="AD22" s="1"/>
  <c r="E750"/>
  <c r="E800"/>
  <c r="B800"/>
  <c r="E799"/>
  <c r="B799"/>
  <c r="M798"/>
  <c r="M800" s="1"/>
  <c r="E798"/>
  <c r="B798"/>
  <c r="M797"/>
  <c r="M799" s="1"/>
  <c r="E797"/>
  <c r="B797"/>
  <c r="M796"/>
  <c r="E796"/>
  <c r="B796"/>
  <c r="M795"/>
  <c r="E795"/>
  <c r="B795"/>
  <c r="M794"/>
  <c r="E794"/>
  <c r="B794"/>
  <c r="M793"/>
  <c r="E793"/>
  <c r="B793"/>
  <c r="M792"/>
  <c r="E792"/>
  <c r="B792"/>
  <c r="M791"/>
  <c r="E791"/>
  <c r="B791"/>
  <c r="M790"/>
  <c r="E790"/>
  <c r="B790"/>
  <c r="M789"/>
  <c r="E789"/>
  <c r="B789"/>
  <c r="E788"/>
  <c r="B788"/>
  <c r="E787"/>
  <c r="B787"/>
  <c r="E786"/>
  <c r="B786"/>
  <c r="E785"/>
  <c r="B785"/>
  <c r="M784"/>
  <c r="M786" s="1"/>
  <c r="E784"/>
  <c r="B784"/>
  <c r="M783"/>
  <c r="M785" s="1"/>
  <c r="E783"/>
  <c r="B783"/>
  <c r="M782"/>
  <c r="E782"/>
  <c r="B782"/>
  <c r="M781"/>
  <c r="E781"/>
  <c r="B781"/>
  <c r="M780"/>
  <c r="E780"/>
  <c r="B780"/>
  <c r="M779"/>
  <c r="E779"/>
  <c r="B779"/>
  <c r="M778"/>
  <c r="E778"/>
  <c r="B778"/>
  <c r="M777"/>
  <c r="E777"/>
  <c r="B777"/>
  <c r="M776"/>
  <c r="E776"/>
  <c r="B776"/>
  <c r="M775"/>
  <c r="E775"/>
  <c r="B775"/>
  <c r="E774"/>
  <c r="B774"/>
  <c r="E773"/>
  <c r="B773"/>
  <c r="E772"/>
  <c r="B772"/>
  <c r="E771"/>
  <c r="B771"/>
  <c r="A771" s="1"/>
  <c r="E770"/>
  <c r="B770"/>
  <c r="E769"/>
  <c r="B769"/>
  <c r="E768"/>
  <c r="B768"/>
  <c r="E767"/>
  <c r="B767"/>
  <c r="E766"/>
  <c r="B766"/>
  <c r="E765"/>
  <c r="B765"/>
  <c r="E764"/>
  <c r="B764"/>
  <c r="E763"/>
  <c r="B763"/>
  <c r="E762"/>
  <c r="B762"/>
  <c r="E761"/>
  <c r="B761"/>
  <c r="E760"/>
  <c r="B760"/>
  <c r="E759"/>
  <c r="B759"/>
  <c r="E758"/>
  <c r="B758"/>
  <c r="E757"/>
  <c r="B757"/>
  <c r="E756"/>
  <c r="B756"/>
  <c r="E755"/>
  <c r="B755"/>
  <c r="E754"/>
  <c r="B754"/>
  <c r="E753"/>
  <c r="B753"/>
  <c r="E752"/>
  <c r="B752"/>
  <c r="E751"/>
  <c r="B751"/>
  <c r="B750"/>
  <c r="Q493" l="1"/>
  <c r="Q564"/>
  <c r="Q492"/>
  <c r="Q487"/>
  <c r="Q486"/>
  <c r="Q563"/>
  <c r="Q562"/>
  <c r="Q561"/>
  <c r="Q560"/>
  <c r="Q565"/>
  <c r="S561"/>
  <c r="S493"/>
  <c r="S563"/>
  <c r="S487"/>
  <c r="S492"/>
  <c r="S486"/>
  <c r="S562"/>
  <c r="S560"/>
  <c r="S565"/>
  <c r="S564"/>
  <c r="R565"/>
  <c r="R564"/>
  <c r="R563"/>
  <c r="R562"/>
  <c r="R561"/>
  <c r="R560"/>
  <c r="R487"/>
  <c r="R486"/>
  <c r="R493"/>
  <c r="R492"/>
  <c r="S782"/>
  <c r="Q782"/>
  <c r="R782"/>
  <c r="A790"/>
  <c r="S790"/>
  <c r="Q790"/>
  <c r="R790"/>
  <c r="A794"/>
  <c r="S794"/>
  <c r="Q794"/>
  <c r="R794"/>
  <c r="A798"/>
  <c r="S798"/>
  <c r="Q798"/>
  <c r="R798"/>
  <c r="Q753"/>
  <c r="R753"/>
  <c r="S753"/>
  <c r="Q761"/>
  <c r="R761"/>
  <c r="S761"/>
  <c r="Q765"/>
  <c r="R765"/>
  <c r="S765"/>
  <c r="S764"/>
  <c r="Q764"/>
  <c r="R764"/>
  <c r="S768"/>
  <c r="Q768"/>
  <c r="R768"/>
  <c r="S772"/>
  <c r="Q772"/>
  <c r="R772"/>
  <c r="S774"/>
  <c r="Q774"/>
  <c r="R774"/>
  <c r="Q777"/>
  <c r="R777"/>
  <c r="S777"/>
  <c r="Q781"/>
  <c r="R781"/>
  <c r="S781"/>
  <c r="Q785"/>
  <c r="R785"/>
  <c r="S785"/>
  <c r="Q787"/>
  <c r="R787"/>
  <c r="S787"/>
  <c r="Q789"/>
  <c r="R789"/>
  <c r="S789"/>
  <c r="Q793"/>
  <c r="R793"/>
  <c r="S793"/>
  <c r="Q797"/>
  <c r="R797"/>
  <c r="S797"/>
  <c r="S800"/>
  <c r="Q800"/>
  <c r="R800"/>
  <c r="B23"/>
  <c r="A23" s="1"/>
  <c r="AD23"/>
  <c r="Q757"/>
  <c r="R757"/>
  <c r="S757"/>
  <c r="S754"/>
  <c r="Q754"/>
  <c r="R754"/>
  <c r="S758"/>
  <c r="Q758"/>
  <c r="R758"/>
  <c r="S760"/>
  <c r="Q760"/>
  <c r="R760"/>
  <c r="Q763"/>
  <c r="R763"/>
  <c r="S763"/>
  <c r="Q767"/>
  <c r="R767"/>
  <c r="S767"/>
  <c r="A776"/>
  <c r="S776"/>
  <c r="Q776"/>
  <c r="R776"/>
  <c r="A780"/>
  <c r="S780"/>
  <c r="Q780"/>
  <c r="R780"/>
  <c r="A784"/>
  <c r="S784"/>
  <c r="Q784"/>
  <c r="R784"/>
  <c r="S792"/>
  <c r="Q792"/>
  <c r="R792"/>
  <c r="S796"/>
  <c r="Q796"/>
  <c r="R796"/>
  <c r="Q751"/>
  <c r="R751"/>
  <c r="S751"/>
  <c r="Q755"/>
  <c r="R755"/>
  <c r="S755"/>
  <c r="Q759"/>
  <c r="R759"/>
  <c r="S759"/>
  <c r="Q769"/>
  <c r="R769"/>
  <c r="S769"/>
  <c r="S778"/>
  <c r="Q778"/>
  <c r="R778"/>
  <c r="S752"/>
  <c r="Q752"/>
  <c r="R752"/>
  <c r="S756"/>
  <c r="Q756"/>
  <c r="R756"/>
  <c r="S750"/>
  <c r="Q750"/>
  <c r="R750"/>
  <c r="A762"/>
  <c r="S762"/>
  <c r="Q762"/>
  <c r="R762"/>
  <c r="A766"/>
  <c r="S766"/>
  <c r="Q766"/>
  <c r="R766"/>
  <c r="A770"/>
  <c r="S770"/>
  <c r="Q770"/>
  <c r="R770"/>
  <c r="Q771"/>
  <c r="R771"/>
  <c r="S771"/>
  <c r="Q773"/>
  <c r="R773"/>
  <c r="S773"/>
  <c r="Q775"/>
  <c r="R775"/>
  <c r="S775"/>
  <c r="Q779"/>
  <c r="R779"/>
  <c r="S779"/>
  <c r="Q783"/>
  <c r="R783"/>
  <c r="S783"/>
  <c r="S786"/>
  <c r="Q786"/>
  <c r="R786"/>
  <c r="S788"/>
  <c r="Q788"/>
  <c r="R788"/>
  <c r="Q791"/>
  <c r="R791"/>
  <c r="S791"/>
  <c r="Q795"/>
  <c r="R795"/>
  <c r="S795"/>
  <c r="Q799"/>
  <c r="R799"/>
  <c r="S799"/>
  <c r="Q801"/>
  <c r="R801"/>
  <c r="S801"/>
  <c r="S805"/>
  <c r="R805"/>
  <c r="A802"/>
  <c r="R804"/>
  <c r="Q804"/>
  <c r="S803"/>
  <c r="R803"/>
  <c r="S802"/>
  <c r="R802"/>
  <c r="A801"/>
  <c r="A767"/>
  <c r="A775"/>
  <c r="A800"/>
  <c r="A751"/>
  <c r="B22"/>
  <c r="A757"/>
  <c r="A763"/>
  <c r="A761"/>
  <c r="A777"/>
  <c r="B24"/>
  <c r="A752"/>
  <c r="A787"/>
  <c r="A789"/>
  <c r="A756"/>
  <c r="A758"/>
  <c r="A769"/>
  <c r="A779"/>
  <c r="A791"/>
  <c r="A793"/>
  <c r="A797"/>
  <c r="A788"/>
  <c r="A795"/>
  <c r="A774"/>
  <c r="A781"/>
  <c r="A783"/>
  <c r="A785"/>
  <c r="A773"/>
  <c r="A760"/>
  <c r="A765"/>
  <c r="A759"/>
  <c r="A755"/>
  <c r="A754"/>
  <c r="A753"/>
  <c r="A750"/>
  <c r="A764"/>
  <c r="A768"/>
  <c r="A772"/>
  <c r="A778"/>
  <c r="A782"/>
  <c r="A786"/>
  <c r="A792"/>
  <c r="A796"/>
  <c r="A799"/>
  <c r="A70" i="60"/>
  <c r="D70"/>
  <c r="A71"/>
  <c r="D71"/>
  <c r="G71" s="1"/>
  <c r="M510" i="34"/>
  <c r="C568"/>
  <c r="AD568" s="1"/>
  <c r="C749"/>
  <c r="AD749" s="1"/>
  <c r="C748"/>
  <c r="AD748" s="1"/>
  <c r="C747"/>
  <c r="AD747" s="1"/>
  <c r="C746"/>
  <c r="AD746" s="1"/>
  <c r="C745"/>
  <c r="AD745" s="1"/>
  <c r="B675"/>
  <c r="E675"/>
  <c r="B676"/>
  <c r="E676"/>
  <c r="B673"/>
  <c r="E673"/>
  <c r="B674"/>
  <c r="E674"/>
  <c r="A675" l="1"/>
  <c r="S675"/>
  <c r="Q675"/>
  <c r="R675"/>
  <c r="S24"/>
  <c r="Q24"/>
  <c r="R24"/>
  <c r="A673"/>
  <c r="S673"/>
  <c r="Q673"/>
  <c r="R673"/>
  <c r="S22"/>
  <c r="Q22"/>
  <c r="R22"/>
  <c r="A674"/>
  <c r="Q674"/>
  <c r="R674"/>
  <c r="S674"/>
  <c r="A676"/>
  <c r="Q676"/>
  <c r="R676"/>
  <c r="S676"/>
  <c r="A22"/>
  <c r="Q23"/>
  <c r="R23"/>
  <c r="S23"/>
  <c r="A24"/>
  <c r="G70" i="60"/>
  <c r="B746" i="34"/>
  <c r="B748"/>
  <c r="B745"/>
  <c r="B747"/>
  <c r="B749"/>
  <c r="E730"/>
  <c r="B730"/>
  <c r="E68" i="60"/>
  <c r="D68"/>
  <c r="D69"/>
  <c r="N50"/>
  <c r="M150" i="34"/>
  <c r="E150"/>
  <c r="B150"/>
  <c r="E90"/>
  <c r="M90"/>
  <c r="B90"/>
  <c r="C196"/>
  <c r="AD196" s="1"/>
  <c r="C197"/>
  <c r="C198"/>
  <c r="AD198" s="1"/>
  <c r="C199"/>
  <c r="AD199" s="1"/>
  <c r="C200"/>
  <c r="AD200" s="1"/>
  <c r="C201"/>
  <c r="C202"/>
  <c r="AD202" s="1"/>
  <c r="M202"/>
  <c r="M201"/>
  <c r="M200"/>
  <c r="M199"/>
  <c r="M198"/>
  <c r="M197"/>
  <c r="M196"/>
  <c r="M139"/>
  <c r="E140"/>
  <c r="E672"/>
  <c r="E139"/>
  <c r="A50" i="60"/>
  <c r="D49"/>
  <c r="G49" s="1"/>
  <c r="M148" i="34"/>
  <c r="E148"/>
  <c r="B148"/>
  <c r="E142"/>
  <c r="E143"/>
  <c r="E144"/>
  <c r="E145"/>
  <c r="E146"/>
  <c r="E147"/>
  <c r="E149"/>
  <c r="E141"/>
  <c r="M149"/>
  <c r="B149"/>
  <c r="M147"/>
  <c r="B147"/>
  <c r="M146"/>
  <c r="M145"/>
  <c r="B145"/>
  <c r="M144"/>
  <c r="B144"/>
  <c r="M143"/>
  <c r="B143"/>
  <c r="M142"/>
  <c r="M141"/>
  <c r="B141"/>
  <c r="M91"/>
  <c r="C91"/>
  <c r="AD91" s="1"/>
  <c r="Q141" l="1"/>
  <c r="R141"/>
  <c r="S141"/>
  <c r="R144"/>
  <c r="S144"/>
  <c r="Q144"/>
  <c r="R148"/>
  <c r="S148"/>
  <c r="Q148"/>
  <c r="S90"/>
  <c r="Q90"/>
  <c r="R90"/>
  <c r="Q749"/>
  <c r="R749"/>
  <c r="S749"/>
  <c r="Q143"/>
  <c r="R143"/>
  <c r="S143"/>
  <c r="Q145"/>
  <c r="R145"/>
  <c r="S145"/>
  <c r="B196"/>
  <c r="Q747"/>
  <c r="R747"/>
  <c r="S747"/>
  <c r="B201"/>
  <c r="AD201"/>
  <c r="B197"/>
  <c r="A197" s="1"/>
  <c r="AD197"/>
  <c r="S730"/>
  <c r="Q730"/>
  <c r="R730"/>
  <c r="Q745"/>
  <c r="R745"/>
  <c r="S745"/>
  <c r="R150"/>
  <c r="S150"/>
  <c r="Q150"/>
  <c r="S748"/>
  <c r="Q748"/>
  <c r="R748"/>
  <c r="Q149"/>
  <c r="S149"/>
  <c r="R149"/>
  <c r="Q147"/>
  <c r="R147"/>
  <c r="S147"/>
  <c r="S746"/>
  <c r="Q746"/>
  <c r="R746"/>
  <c r="B198"/>
  <c r="B200"/>
  <c r="A747"/>
  <c r="A745"/>
  <c r="A748"/>
  <c r="A749"/>
  <c r="A746"/>
  <c r="A730"/>
  <c r="G69" i="60"/>
  <c r="A150" i="34"/>
  <c r="A90"/>
  <c r="A201"/>
  <c r="B199"/>
  <c r="B202"/>
  <c r="B91"/>
  <c r="A148"/>
  <c r="A144"/>
  <c r="A147"/>
  <c r="A143"/>
  <c r="A141"/>
  <c r="B142"/>
  <c r="A145"/>
  <c r="B146"/>
  <c r="A149"/>
  <c r="B138"/>
  <c r="B137"/>
  <c r="B133"/>
  <c r="B134"/>
  <c r="R146" l="1"/>
  <c r="S146"/>
  <c r="Q146"/>
  <c r="Q91"/>
  <c r="R91"/>
  <c r="S91"/>
  <c r="Q198"/>
  <c r="R198"/>
  <c r="S198"/>
  <c r="R138"/>
  <c r="S138"/>
  <c r="Q138"/>
  <c r="S199"/>
  <c r="Q199"/>
  <c r="R199"/>
  <c r="A134"/>
  <c r="R134"/>
  <c r="S134"/>
  <c r="Q134"/>
  <c r="A198"/>
  <c r="A200"/>
  <c r="Q200"/>
  <c r="R200"/>
  <c r="S200"/>
  <c r="S197"/>
  <c r="Q197"/>
  <c r="R197"/>
  <c r="A133"/>
  <c r="Q133"/>
  <c r="R133"/>
  <c r="S133"/>
  <c r="Q137"/>
  <c r="R137"/>
  <c r="S137"/>
  <c r="A202"/>
  <c r="Q202"/>
  <c r="R202"/>
  <c r="S202"/>
  <c r="S201"/>
  <c r="Q201"/>
  <c r="R201"/>
  <c r="A196"/>
  <c r="Q196"/>
  <c r="R196"/>
  <c r="S196"/>
  <c r="R142"/>
  <c r="S142"/>
  <c r="Q142"/>
  <c r="A199"/>
  <c r="A91"/>
  <c r="A146"/>
  <c r="A142"/>
  <c r="A137"/>
  <c r="A138"/>
  <c r="J42" i="69"/>
  <c r="A4"/>
  <c r="B482" i="34" l="1"/>
  <c r="B483"/>
  <c r="B484"/>
  <c r="B485"/>
  <c r="B490"/>
  <c r="B494"/>
  <c r="B495"/>
  <c r="B496"/>
  <c r="B497"/>
  <c r="B498"/>
  <c r="B499"/>
  <c r="B500"/>
  <c r="B501"/>
  <c r="B502"/>
  <c r="B503"/>
  <c r="B504"/>
  <c r="B505"/>
  <c r="B506"/>
  <c r="B507"/>
  <c r="B510"/>
  <c r="B512"/>
  <c r="B514"/>
  <c r="B515"/>
  <c r="B516"/>
  <c r="B517"/>
  <c r="B519"/>
  <c r="B520"/>
  <c r="B521"/>
  <c r="B522"/>
  <c r="B523"/>
  <c r="B518"/>
  <c r="B524"/>
  <c r="B525"/>
  <c r="B526"/>
  <c r="B527"/>
  <c r="B528"/>
  <c r="B529"/>
  <c r="B530"/>
  <c r="B531"/>
  <c r="B532"/>
  <c r="B533"/>
  <c r="B534"/>
  <c r="B536"/>
  <c r="B537"/>
  <c r="B538"/>
  <c r="B539"/>
  <c r="B540"/>
  <c r="B541"/>
  <c r="B542"/>
  <c r="B535"/>
  <c r="B543"/>
  <c r="B544"/>
  <c r="B545"/>
  <c r="B546"/>
  <c r="B547"/>
  <c r="B549"/>
  <c r="B550"/>
  <c r="B548"/>
  <c r="B551"/>
  <c r="B552"/>
  <c r="B553"/>
  <c r="B554"/>
  <c r="B555"/>
  <c r="B556"/>
  <c r="B557"/>
  <c r="B558"/>
  <c r="B559"/>
  <c r="B566"/>
  <c r="B567"/>
  <c r="B605"/>
  <c r="B569"/>
  <c r="B570"/>
  <c r="B571"/>
  <c r="B572"/>
  <c r="B573"/>
  <c r="B574"/>
  <c r="B575"/>
  <c r="B576"/>
  <c r="B577"/>
  <c r="B578"/>
  <c r="B579"/>
  <c r="B580"/>
  <c r="B581"/>
  <c r="B582"/>
  <c r="B583"/>
  <c r="B584"/>
  <c r="B585"/>
  <c r="B586"/>
  <c r="B587"/>
  <c r="B588"/>
  <c r="B589"/>
  <c r="B590"/>
  <c r="B591"/>
  <c r="B592"/>
  <c r="B593"/>
  <c r="B594"/>
  <c r="B595"/>
  <c r="B596"/>
  <c r="B597"/>
  <c r="B598"/>
  <c r="B599"/>
  <c r="B600"/>
  <c r="B601"/>
  <c r="B602"/>
  <c r="B603"/>
  <c r="B604"/>
  <c r="B606"/>
  <c r="B607"/>
  <c r="B608"/>
  <c r="B609"/>
  <c r="B610"/>
  <c r="B611"/>
  <c r="B612"/>
  <c r="B613"/>
  <c r="B614"/>
  <c r="B615"/>
  <c r="B616"/>
  <c r="B617"/>
  <c r="B618"/>
  <c r="B619"/>
  <c r="B620"/>
  <c r="B621"/>
  <c r="B622"/>
  <c r="B623"/>
  <c r="B624"/>
  <c r="B625"/>
  <c r="B626"/>
  <c r="B627"/>
  <c r="B628"/>
  <c r="B629"/>
  <c r="B630"/>
  <c r="B631"/>
  <c r="B632"/>
  <c r="B633"/>
  <c r="B634"/>
  <c r="B635"/>
  <c r="B636"/>
  <c r="B638"/>
  <c r="B639"/>
  <c r="B640"/>
  <c r="B641"/>
  <c r="B642"/>
  <c r="B643"/>
  <c r="B644"/>
  <c r="B645"/>
  <c r="B646"/>
  <c r="B647"/>
  <c r="B648"/>
  <c r="B649"/>
  <c r="B650"/>
  <c r="B651"/>
  <c r="B652"/>
  <c r="B653"/>
  <c r="B654"/>
  <c r="B655"/>
  <c r="B656"/>
  <c r="B657"/>
  <c r="B658"/>
  <c r="B659"/>
  <c r="B661"/>
  <c r="B662"/>
  <c r="B663"/>
  <c r="B664"/>
  <c r="B665"/>
  <c r="B666"/>
  <c r="B667"/>
  <c r="B668"/>
  <c r="B669"/>
  <c r="B670"/>
  <c r="B671"/>
  <c r="B677"/>
  <c r="B139"/>
  <c r="B140"/>
  <c r="B672"/>
  <c r="A803"/>
  <c r="A804"/>
  <c r="A805"/>
  <c r="B811"/>
  <c r="M64"/>
  <c r="E75"/>
  <c r="E74"/>
  <c r="M73"/>
  <c r="M75" s="1"/>
  <c r="E73"/>
  <c r="M72"/>
  <c r="M74" s="1"/>
  <c r="E72"/>
  <c r="M71"/>
  <c r="E71"/>
  <c r="M70"/>
  <c r="E70"/>
  <c r="M69"/>
  <c r="E69"/>
  <c r="M68"/>
  <c r="E68"/>
  <c r="M67"/>
  <c r="E67"/>
  <c r="M66"/>
  <c r="E66"/>
  <c r="M65"/>
  <c r="E65"/>
  <c r="E64"/>
  <c r="E63"/>
  <c r="E62"/>
  <c r="E61"/>
  <c r="E60"/>
  <c r="M59"/>
  <c r="M61" s="1"/>
  <c r="E59"/>
  <c r="M58"/>
  <c r="M60" s="1"/>
  <c r="E58"/>
  <c r="M57"/>
  <c r="E57"/>
  <c r="M56"/>
  <c r="E56"/>
  <c r="M55"/>
  <c r="E55"/>
  <c r="M54"/>
  <c r="E54"/>
  <c r="M53"/>
  <c r="E53"/>
  <c r="M52"/>
  <c r="E52"/>
  <c r="M51"/>
  <c r="E51"/>
  <c r="M50"/>
  <c r="E50"/>
  <c r="E49"/>
  <c r="E48"/>
  <c r="E47"/>
  <c r="E46"/>
  <c r="M45"/>
  <c r="M47" s="1"/>
  <c r="E45"/>
  <c r="M44"/>
  <c r="M46" s="1"/>
  <c r="E44"/>
  <c r="M43"/>
  <c r="E43"/>
  <c r="M42"/>
  <c r="E42"/>
  <c r="M41"/>
  <c r="E41"/>
  <c r="M40"/>
  <c r="E40"/>
  <c r="M39"/>
  <c r="E39"/>
  <c r="M38"/>
  <c r="E38"/>
  <c r="M37"/>
  <c r="E37"/>
  <c r="M36"/>
  <c r="E36"/>
  <c r="E35"/>
  <c r="E34"/>
  <c r="A139" l="1"/>
  <c r="Q139"/>
  <c r="R139"/>
  <c r="S139"/>
  <c r="A669"/>
  <c r="S669"/>
  <c r="Q669"/>
  <c r="R669"/>
  <c r="A665"/>
  <c r="S665"/>
  <c r="Q665"/>
  <c r="R665"/>
  <c r="A661"/>
  <c r="S661"/>
  <c r="Q661"/>
  <c r="R661"/>
  <c r="A657"/>
  <c r="S657"/>
  <c r="Q657"/>
  <c r="R657"/>
  <c r="A653"/>
  <c r="S653"/>
  <c r="Q653"/>
  <c r="R653"/>
  <c r="A649"/>
  <c r="S649"/>
  <c r="Q649"/>
  <c r="R649"/>
  <c r="A645"/>
  <c r="S645"/>
  <c r="Q645"/>
  <c r="R645"/>
  <c r="A641"/>
  <c r="S641"/>
  <c r="Q641"/>
  <c r="R641"/>
  <c r="A636"/>
  <c r="Q636"/>
  <c r="R636"/>
  <c r="S636"/>
  <c r="A632"/>
  <c r="Q632"/>
  <c r="R632"/>
  <c r="S632"/>
  <c r="A628"/>
  <c r="Q628"/>
  <c r="R628"/>
  <c r="S628"/>
  <c r="A624"/>
  <c r="Q624"/>
  <c r="R624"/>
  <c r="S624"/>
  <c r="A620"/>
  <c r="Q620"/>
  <c r="R620"/>
  <c r="S620"/>
  <c r="A616"/>
  <c r="S616"/>
  <c r="Q616"/>
  <c r="R616"/>
  <c r="A612"/>
  <c r="S612"/>
  <c r="Q612"/>
  <c r="R612"/>
  <c r="A608"/>
  <c r="S608"/>
  <c r="Q608"/>
  <c r="R608"/>
  <c r="A603"/>
  <c r="Q603"/>
  <c r="R603"/>
  <c r="S603"/>
  <c r="A599"/>
  <c r="Q599"/>
  <c r="R599"/>
  <c r="S599"/>
  <c r="A595"/>
  <c r="Q595"/>
  <c r="R595"/>
  <c r="S595"/>
  <c r="A591"/>
  <c r="Q591"/>
  <c r="R591"/>
  <c r="S591"/>
  <c r="A587"/>
  <c r="Q587"/>
  <c r="R587"/>
  <c r="S587"/>
  <c r="A583"/>
  <c r="Q583"/>
  <c r="R583"/>
  <c r="S583"/>
  <c r="A579"/>
  <c r="Q579"/>
  <c r="R579"/>
  <c r="S579"/>
  <c r="A575"/>
  <c r="Q575"/>
  <c r="R575"/>
  <c r="S575"/>
  <c r="A571"/>
  <c r="Q571"/>
  <c r="R571"/>
  <c r="S571"/>
  <c r="A567"/>
  <c r="Q567"/>
  <c r="R567"/>
  <c r="S567"/>
  <c r="A557"/>
  <c r="Q557"/>
  <c r="R557"/>
  <c r="S557"/>
  <c r="A553"/>
  <c r="Q553"/>
  <c r="R553"/>
  <c r="S553"/>
  <c r="A550"/>
  <c r="S550"/>
  <c r="Q550"/>
  <c r="R550"/>
  <c r="A545"/>
  <c r="Q545"/>
  <c r="R545"/>
  <c r="S545"/>
  <c r="A542"/>
  <c r="S542"/>
  <c r="Q542"/>
  <c r="R542"/>
  <c r="A538"/>
  <c r="S538"/>
  <c r="Q538"/>
  <c r="R538"/>
  <c r="A533"/>
  <c r="Q533"/>
  <c r="R533"/>
  <c r="S533"/>
  <c r="A529"/>
  <c r="Q529"/>
  <c r="R529"/>
  <c r="S529"/>
  <c r="A525"/>
  <c r="Q525"/>
  <c r="R525"/>
  <c r="S525"/>
  <c r="A522"/>
  <c r="S522"/>
  <c r="Q522"/>
  <c r="R522"/>
  <c r="A517"/>
  <c r="Q517"/>
  <c r="R517"/>
  <c r="S517"/>
  <c r="A513"/>
  <c r="Q513"/>
  <c r="R513"/>
  <c r="S513"/>
  <c r="A507"/>
  <c r="Q507"/>
  <c r="R507"/>
  <c r="S507"/>
  <c r="A503"/>
  <c r="Q503"/>
  <c r="R503"/>
  <c r="S503"/>
  <c r="A499"/>
  <c r="Q499"/>
  <c r="R499"/>
  <c r="S499"/>
  <c r="A495"/>
  <c r="Q495"/>
  <c r="R495"/>
  <c r="S495"/>
  <c r="A485"/>
  <c r="Q485"/>
  <c r="R485"/>
  <c r="S485"/>
  <c r="A811"/>
  <c r="Q811"/>
  <c r="R811"/>
  <c r="S811"/>
  <c r="A677"/>
  <c r="S677"/>
  <c r="Q677"/>
  <c r="R677"/>
  <c r="A668"/>
  <c r="Q668"/>
  <c r="R668"/>
  <c r="S668"/>
  <c r="A664"/>
  <c r="Q664"/>
  <c r="R664"/>
  <c r="S664"/>
  <c r="A656"/>
  <c r="Q656"/>
  <c r="R656"/>
  <c r="S656"/>
  <c r="A652"/>
  <c r="Q652"/>
  <c r="R652"/>
  <c r="S652"/>
  <c r="A648"/>
  <c r="Q648"/>
  <c r="R648"/>
  <c r="S648"/>
  <c r="A644"/>
  <c r="Q644"/>
  <c r="R644"/>
  <c r="S644"/>
  <c r="A640"/>
  <c r="Q640"/>
  <c r="R640"/>
  <c r="S640"/>
  <c r="A635"/>
  <c r="S635"/>
  <c r="Q635"/>
  <c r="R635"/>
  <c r="A631"/>
  <c r="S631"/>
  <c r="Q631"/>
  <c r="R631"/>
  <c r="A627"/>
  <c r="S627"/>
  <c r="Q627"/>
  <c r="R627"/>
  <c r="A623"/>
  <c r="S623"/>
  <c r="Q623"/>
  <c r="R623"/>
  <c r="A619"/>
  <c r="S619"/>
  <c r="Q619"/>
  <c r="R619"/>
  <c r="A615"/>
  <c r="Q615"/>
  <c r="R615"/>
  <c r="S615"/>
  <c r="A611"/>
  <c r="Q611"/>
  <c r="S611"/>
  <c r="R611"/>
  <c r="A607"/>
  <c r="Q607"/>
  <c r="S607"/>
  <c r="R607"/>
  <c r="A602"/>
  <c r="S602"/>
  <c r="Q602"/>
  <c r="R602"/>
  <c r="A598"/>
  <c r="S598"/>
  <c r="Q598"/>
  <c r="R598"/>
  <c r="A594"/>
  <c r="S594"/>
  <c r="Q594"/>
  <c r="R594"/>
  <c r="A590"/>
  <c r="S590"/>
  <c r="Q590"/>
  <c r="R590"/>
  <c r="A586"/>
  <c r="S586"/>
  <c r="Q586"/>
  <c r="R586"/>
  <c r="A582"/>
  <c r="S582"/>
  <c r="Q582"/>
  <c r="R582"/>
  <c r="A578"/>
  <c r="S578"/>
  <c r="Q578"/>
  <c r="R578"/>
  <c r="A574"/>
  <c r="S574"/>
  <c r="Q574"/>
  <c r="R574"/>
  <c r="A570"/>
  <c r="S570"/>
  <c r="Q570"/>
  <c r="R570"/>
  <c r="A566"/>
  <c r="S566"/>
  <c r="Q566"/>
  <c r="R566"/>
  <c r="A556"/>
  <c r="S556"/>
  <c r="Q556"/>
  <c r="R556"/>
  <c r="A552"/>
  <c r="S552"/>
  <c r="Q552"/>
  <c r="R552"/>
  <c r="A549"/>
  <c r="Q549"/>
  <c r="R549"/>
  <c r="S549"/>
  <c r="A544"/>
  <c r="S544"/>
  <c r="Q544"/>
  <c r="R544"/>
  <c r="A541"/>
  <c r="Q541"/>
  <c r="R541"/>
  <c r="S541"/>
  <c r="A537"/>
  <c r="Q537"/>
  <c r="R537"/>
  <c r="S537"/>
  <c r="A532"/>
  <c r="S532"/>
  <c r="Q532"/>
  <c r="R532"/>
  <c r="A528"/>
  <c r="S528"/>
  <c r="Q528"/>
  <c r="R528"/>
  <c r="A524"/>
  <c r="S524"/>
  <c r="Q524"/>
  <c r="R524"/>
  <c r="A521"/>
  <c r="Q521"/>
  <c r="R521"/>
  <c r="S521"/>
  <c r="A516"/>
  <c r="S516"/>
  <c r="Q516"/>
  <c r="R516"/>
  <c r="A512"/>
  <c r="S512"/>
  <c r="Q512"/>
  <c r="R512"/>
  <c r="A506"/>
  <c r="S506"/>
  <c r="Q506"/>
  <c r="R506"/>
  <c r="A502"/>
  <c r="S502"/>
  <c r="Q502"/>
  <c r="R502"/>
  <c r="A498"/>
  <c r="S498"/>
  <c r="Q498"/>
  <c r="R498"/>
  <c r="A494"/>
  <c r="S494"/>
  <c r="Q494"/>
  <c r="R494"/>
  <c r="A484"/>
  <c r="S484"/>
  <c r="Q484"/>
  <c r="R484"/>
  <c r="A672"/>
  <c r="Q672"/>
  <c r="R672"/>
  <c r="S672"/>
  <c r="A671"/>
  <c r="S671"/>
  <c r="Q671"/>
  <c r="R671"/>
  <c r="A667"/>
  <c r="S667"/>
  <c r="Q667"/>
  <c r="R667"/>
  <c r="A663"/>
  <c r="S663"/>
  <c r="Q663"/>
  <c r="R663"/>
  <c r="A659"/>
  <c r="S659"/>
  <c r="Q659"/>
  <c r="R659"/>
  <c r="A655"/>
  <c r="S655"/>
  <c r="Q655"/>
  <c r="R655"/>
  <c r="A651"/>
  <c r="S651"/>
  <c r="Q651"/>
  <c r="R651"/>
  <c r="A647"/>
  <c r="S647"/>
  <c r="Q647"/>
  <c r="R647"/>
  <c r="A643"/>
  <c r="S643"/>
  <c r="Q643"/>
  <c r="R643"/>
  <c r="A639"/>
  <c r="S639"/>
  <c r="Q639"/>
  <c r="R639"/>
  <c r="A634"/>
  <c r="Q634"/>
  <c r="R634"/>
  <c r="S634"/>
  <c r="A630"/>
  <c r="Q630"/>
  <c r="R630"/>
  <c r="S630"/>
  <c r="A626"/>
  <c r="Q626"/>
  <c r="R626"/>
  <c r="S626"/>
  <c r="A622"/>
  <c r="Q622"/>
  <c r="R622"/>
  <c r="S622"/>
  <c r="A618"/>
  <c r="S618"/>
  <c r="Q618"/>
  <c r="R618"/>
  <c r="A614"/>
  <c r="S614"/>
  <c r="R614"/>
  <c r="Q614"/>
  <c r="A610"/>
  <c r="S610"/>
  <c r="Q610"/>
  <c r="R610"/>
  <c r="A606"/>
  <c r="S606"/>
  <c r="Q606"/>
  <c r="R606"/>
  <c r="A601"/>
  <c r="Q601"/>
  <c r="R601"/>
  <c r="S601"/>
  <c r="A597"/>
  <c r="Q597"/>
  <c r="R597"/>
  <c r="S597"/>
  <c r="A593"/>
  <c r="Q593"/>
  <c r="R593"/>
  <c r="S593"/>
  <c r="A589"/>
  <c r="Q589"/>
  <c r="R589"/>
  <c r="S589"/>
  <c r="A585"/>
  <c r="Q585"/>
  <c r="R585"/>
  <c r="S585"/>
  <c r="A581"/>
  <c r="Q581"/>
  <c r="R581"/>
  <c r="S581"/>
  <c r="A577"/>
  <c r="Q577"/>
  <c r="R577"/>
  <c r="S577"/>
  <c r="A573"/>
  <c r="Q573"/>
  <c r="R573"/>
  <c r="S573"/>
  <c r="A569"/>
  <c r="Q569"/>
  <c r="R569"/>
  <c r="S569"/>
  <c r="A559"/>
  <c r="Q559"/>
  <c r="R559"/>
  <c r="S559"/>
  <c r="A555"/>
  <c r="Q555"/>
  <c r="R555"/>
  <c r="S555"/>
  <c r="A551"/>
  <c r="Q551"/>
  <c r="R551"/>
  <c r="S551"/>
  <c r="A547"/>
  <c r="Q547"/>
  <c r="R547"/>
  <c r="S547"/>
  <c r="A543"/>
  <c r="Q543"/>
  <c r="R543"/>
  <c r="S543"/>
  <c r="A540"/>
  <c r="S540"/>
  <c r="Q540"/>
  <c r="R540"/>
  <c r="A536"/>
  <c r="S536"/>
  <c r="Q536"/>
  <c r="R536"/>
  <c r="A531"/>
  <c r="Q531"/>
  <c r="R531"/>
  <c r="S531"/>
  <c r="A527"/>
  <c r="Q527"/>
  <c r="R527"/>
  <c r="S527"/>
  <c r="A518"/>
  <c r="S518"/>
  <c r="Q518"/>
  <c r="R518"/>
  <c r="A520"/>
  <c r="S520"/>
  <c r="Q520"/>
  <c r="R520"/>
  <c r="A515"/>
  <c r="Q515"/>
  <c r="R515"/>
  <c r="S515"/>
  <c r="A511"/>
  <c r="Q511"/>
  <c r="R511"/>
  <c r="S511"/>
  <c r="A505"/>
  <c r="Q505"/>
  <c r="R505"/>
  <c r="S505"/>
  <c r="A501"/>
  <c r="Q501"/>
  <c r="R501"/>
  <c r="S501"/>
  <c r="A497"/>
  <c r="Q497"/>
  <c r="R497"/>
  <c r="S497"/>
  <c r="A491"/>
  <c r="Q491"/>
  <c r="R491"/>
  <c r="S491"/>
  <c r="A483"/>
  <c r="Q483"/>
  <c r="R483"/>
  <c r="S483"/>
  <c r="A140"/>
  <c r="R140"/>
  <c r="S140"/>
  <c r="Q140"/>
  <c r="A670"/>
  <c r="Q670"/>
  <c r="R670"/>
  <c r="S670"/>
  <c r="A666"/>
  <c r="Q666"/>
  <c r="R666"/>
  <c r="S666"/>
  <c r="A662"/>
  <c r="Q662"/>
  <c r="R662"/>
  <c r="S662"/>
  <c r="A658"/>
  <c r="Q658"/>
  <c r="R658"/>
  <c r="S658"/>
  <c r="A654"/>
  <c r="Q654"/>
  <c r="R654"/>
  <c r="S654"/>
  <c r="A650"/>
  <c r="Q650"/>
  <c r="R650"/>
  <c r="S650"/>
  <c r="A646"/>
  <c r="Q646"/>
  <c r="R646"/>
  <c r="S646"/>
  <c r="A642"/>
  <c r="Q642"/>
  <c r="R642"/>
  <c r="S642"/>
  <c r="A638"/>
  <c r="Q638"/>
  <c r="R638"/>
  <c r="S638"/>
  <c r="A633"/>
  <c r="S633"/>
  <c r="Q633"/>
  <c r="R633"/>
  <c r="A629"/>
  <c r="S629"/>
  <c r="Q629"/>
  <c r="R629"/>
  <c r="A625"/>
  <c r="S625"/>
  <c r="Q625"/>
  <c r="R625"/>
  <c r="A621"/>
  <c r="S621"/>
  <c r="Q621"/>
  <c r="R621"/>
  <c r="A617"/>
  <c r="Q617"/>
  <c r="R617"/>
  <c r="S617"/>
  <c r="A613"/>
  <c r="Q613"/>
  <c r="S613"/>
  <c r="R613"/>
  <c r="A609"/>
  <c r="Q609"/>
  <c r="S609"/>
  <c r="R609"/>
  <c r="A604"/>
  <c r="S604"/>
  <c r="Q604"/>
  <c r="R604"/>
  <c r="A600"/>
  <c r="S600"/>
  <c r="Q600"/>
  <c r="R600"/>
  <c r="A596"/>
  <c r="S596"/>
  <c r="Q596"/>
  <c r="R596"/>
  <c r="A592"/>
  <c r="S592"/>
  <c r="Q592"/>
  <c r="R592"/>
  <c r="A588"/>
  <c r="S588"/>
  <c r="Q588"/>
  <c r="R588"/>
  <c r="A584"/>
  <c r="S584"/>
  <c r="Q584"/>
  <c r="R584"/>
  <c r="A580"/>
  <c r="S580"/>
  <c r="Q580"/>
  <c r="R580"/>
  <c r="A576"/>
  <c r="S576"/>
  <c r="Q576"/>
  <c r="R576"/>
  <c r="A572"/>
  <c r="S572"/>
  <c r="Q572"/>
  <c r="R572"/>
  <c r="A605"/>
  <c r="Q605"/>
  <c r="S605"/>
  <c r="R605"/>
  <c r="A558"/>
  <c r="S558"/>
  <c r="Q558"/>
  <c r="R558"/>
  <c r="A554"/>
  <c r="S554"/>
  <c r="Q554"/>
  <c r="R554"/>
  <c r="A548"/>
  <c r="S548"/>
  <c r="Q548"/>
  <c r="R548"/>
  <c r="A546"/>
  <c r="S546"/>
  <c r="Q546"/>
  <c r="R546"/>
  <c r="A535"/>
  <c r="Q535"/>
  <c r="R535"/>
  <c r="S535"/>
  <c r="A539"/>
  <c r="Q539"/>
  <c r="R539"/>
  <c r="S539"/>
  <c r="A534"/>
  <c r="S534"/>
  <c r="Q534"/>
  <c r="R534"/>
  <c r="A530"/>
  <c r="S530"/>
  <c r="Q530"/>
  <c r="R530"/>
  <c r="A526"/>
  <c r="S526"/>
  <c r="Q526"/>
  <c r="R526"/>
  <c r="A523"/>
  <c r="Q523"/>
  <c r="R523"/>
  <c r="S523"/>
  <c r="A519"/>
  <c r="Q519"/>
  <c r="R519"/>
  <c r="S519"/>
  <c r="A514"/>
  <c r="S514"/>
  <c r="Q514"/>
  <c r="R514"/>
  <c r="A510"/>
  <c r="S510"/>
  <c r="Q510"/>
  <c r="R510"/>
  <c r="A504"/>
  <c r="S504"/>
  <c r="Q504"/>
  <c r="R504"/>
  <c r="A500"/>
  <c r="S500"/>
  <c r="Q500"/>
  <c r="R500"/>
  <c r="A496"/>
  <c r="S496"/>
  <c r="Q496"/>
  <c r="R496"/>
  <c r="A490"/>
  <c r="S490"/>
  <c r="Q490"/>
  <c r="R490"/>
  <c r="A482"/>
  <c r="S482"/>
  <c r="Q482"/>
  <c r="R482"/>
  <c r="J64" i="64"/>
  <c r="J32"/>
  <c r="J31"/>
  <c r="J27"/>
  <c r="J28"/>
  <c r="J26"/>
  <c r="K27"/>
  <c r="K28"/>
  <c r="K26"/>
  <c r="P26"/>
  <c r="G26"/>
  <c r="P27"/>
  <c r="G27"/>
  <c r="J25"/>
  <c r="J24"/>
  <c r="J23"/>
  <c r="J22"/>
  <c r="J17"/>
  <c r="J16"/>
  <c r="J14"/>
  <c r="Q14" s="1"/>
  <c r="J21"/>
  <c r="A29" i="68"/>
  <c r="G64" i="64"/>
  <c r="G15"/>
  <c r="G16"/>
  <c r="G17"/>
  <c r="G19"/>
  <c r="G20"/>
  <c r="G21"/>
  <c r="G22"/>
  <c r="G23"/>
  <c r="G24"/>
  <c r="G25"/>
  <c r="G28"/>
  <c r="G30"/>
  <c r="G31"/>
  <c r="G32"/>
  <c r="G14"/>
  <c r="P14"/>
  <c r="P15"/>
  <c r="P16"/>
  <c r="P17"/>
  <c r="P18"/>
  <c r="P19"/>
  <c r="P20"/>
  <c r="P21"/>
  <c r="P22"/>
  <c r="P23"/>
  <c r="P24"/>
  <c r="P25"/>
  <c r="P28"/>
  <c r="P29"/>
  <c r="P30"/>
  <c r="P31"/>
  <c r="P32"/>
  <c r="P33"/>
  <c r="P34"/>
  <c r="P35"/>
  <c r="P36"/>
  <c r="P37"/>
  <c r="P38"/>
  <c r="P39"/>
  <c r="P40"/>
  <c r="P41"/>
  <c r="P42"/>
  <c r="P43"/>
  <c r="P44"/>
  <c r="P45"/>
  <c r="P46"/>
  <c r="P47"/>
  <c r="P48"/>
  <c r="P49"/>
  <c r="P50"/>
  <c r="P51"/>
  <c r="P52"/>
  <c r="P53"/>
  <c r="P54"/>
  <c r="P55"/>
  <c r="P56"/>
  <c r="P57"/>
  <c r="P58"/>
  <c r="P59"/>
  <c r="P60"/>
  <c r="P61"/>
  <c r="P62"/>
  <c r="P63"/>
  <c r="P64"/>
  <c r="P65"/>
  <c r="P66"/>
  <c r="P13"/>
  <c r="C21" i="68" l="1"/>
  <c r="Q15" i="64"/>
  <c r="L26"/>
  <c r="B28" i="68"/>
  <c r="A28" s="1"/>
  <c r="B27"/>
  <c r="A27" s="1"/>
  <c r="B26"/>
  <c r="A26" s="1"/>
  <c r="B25"/>
  <c r="A25" s="1"/>
  <c r="B24"/>
  <c r="A24" s="1"/>
  <c r="B23"/>
  <c r="A23" s="1"/>
  <c r="B22"/>
  <c r="A22" s="1"/>
  <c r="B21"/>
  <c r="A21" s="1"/>
  <c r="E28"/>
  <c r="E27"/>
  <c r="E26"/>
  <c r="E25"/>
  <c r="E24"/>
  <c r="E23"/>
  <c r="E22"/>
  <c r="E21"/>
  <c r="D28"/>
  <c r="D27"/>
  <c r="D26"/>
  <c r="D25"/>
  <c r="D24"/>
  <c r="D23"/>
  <c r="D22"/>
  <c r="D21"/>
  <c r="C28"/>
  <c r="C27"/>
  <c r="C26"/>
  <c r="C25"/>
  <c r="C24"/>
  <c r="C23"/>
  <c r="C22"/>
  <c r="L27" i="64"/>
  <c r="E20" i="68"/>
  <c r="A7"/>
  <c r="A42"/>
  <c r="A43"/>
  <c r="F20"/>
  <c r="C20"/>
  <c r="A12"/>
  <c r="A8"/>
  <c r="A13"/>
  <c r="B20"/>
  <c r="A20" s="1"/>
  <c r="D20"/>
  <c r="E13"/>
  <c r="E11"/>
  <c r="E30" l="1"/>
  <c r="G20" s="1"/>
  <c r="F21"/>
  <c r="A10"/>
  <c r="L15" i="64"/>
  <c r="L16"/>
  <c r="L17"/>
  <c r="L19"/>
  <c r="L20"/>
  <c r="L21"/>
  <c r="L22"/>
  <c r="L23"/>
  <c r="L24"/>
  <c r="L25"/>
  <c r="L28"/>
  <c r="L30"/>
  <c r="L31"/>
  <c r="L32"/>
  <c r="J34"/>
  <c r="K34"/>
  <c r="H34"/>
  <c r="K66"/>
  <c r="J66"/>
  <c r="H66"/>
  <c r="L64"/>
  <c r="L66" s="1"/>
  <c r="L14"/>
  <c r="F22" i="68" l="1"/>
  <c r="H20"/>
  <c r="G21" s="1"/>
  <c r="L34" i="64"/>
  <c r="F23" i="68" l="1"/>
  <c r="H21"/>
  <c r="G22" s="1"/>
  <c r="F24" l="1"/>
  <c r="G23"/>
  <c r="H23" s="1"/>
  <c r="H22"/>
  <c r="F25" l="1"/>
  <c r="G24"/>
  <c r="H24" s="1"/>
  <c r="A27" i="45"/>
  <c r="A28"/>
  <c r="A29"/>
  <c r="A30"/>
  <c r="A31"/>
  <c r="A32"/>
  <c r="A33"/>
  <c r="F26" i="68" l="1"/>
  <c r="G25"/>
  <c r="H25" s="1"/>
  <c r="A6" i="45"/>
  <c r="A7"/>
  <c r="A8"/>
  <c r="A9"/>
  <c r="A10"/>
  <c r="A11"/>
  <c r="A12"/>
  <c r="A13"/>
  <c r="A14"/>
  <c r="A15"/>
  <c r="A16"/>
  <c r="A17"/>
  <c r="A18"/>
  <c r="A19"/>
  <c r="A20"/>
  <c r="A21"/>
  <c r="A22"/>
  <c r="A23"/>
  <c r="A24"/>
  <c r="A25"/>
  <c r="A26"/>
  <c r="A5"/>
  <c r="A6" i="62"/>
  <c r="A7"/>
  <c r="A8"/>
  <c r="A9"/>
  <c r="A10"/>
  <c r="A11"/>
  <c r="A12"/>
  <c r="A13"/>
  <c r="A14"/>
  <c r="A15"/>
  <c r="A16"/>
  <c r="A5"/>
  <c r="A25" i="12"/>
  <c r="F27" i="68" l="1"/>
  <c r="G26"/>
  <c r="H26" s="1"/>
  <c r="D50" i="51"/>
  <c r="D49"/>
  <c r="D48"/>
  <c r="D47"/>
  <c r="D46"/>
  <c r="D45"/>
  <c r="D44"/>
  <c r="D43"/>
  <c r="D42"/>
  <c r="D41"/>
  <c r="D40"/>
  <c r="D50" i="50"/>
  <c r="D49"/>
  <c r="D48"/>
  <c r="D47"/>
  <c r="D46"/>
  <c r="D45"/>
  <c r="D44"/>
  <c r="D43"/>
  <c r="D42"/>
  <c r="D41"/>
  <c r="D40"/>
  <c r="D50" i="49"/>
  <c r="D49"/>
  <c r="D48"/>
  <c r="D47"/>
  <c r="D46"/>
  <c r="D45"/>
  <c r="D44"/>
  <c r="D43"/>
  <c r="D42"/>
  <c r="D41"/>
  <c r="D40"/>
  <c r="J12" i="51"/>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50"/>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49"/>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F28" i="68" l="1"/>
  <c r="G28" s="1"/>
  <c r="G27"/>
  <c r="H27" s="1"/>
  <c r="M204" i="34"/>
  <c r="C204"/>
  <c r="AD204" s="1"/>
  <c r="I193"/>
  <c r="M195"/>
  <c r="C195"/>
  <c r="AD195" s="1"/>
  <c r="M194"/>
  <c r="C194"/>
  <c r="AD194" s="1"/>
  <c r="C637"/>
  <c r="AD637" s="1"/>
  <c r="C419"/>
  <c r="AD419" s="1"/>
  <c r="C408"/>
  <c r="AD408" s="1"/>
  <c r="M187"/>
  <c r="M188"/>
  <c r="M189"/>
  <c r="M190"/>
  <c r="M191"/>
  <c r="M192"/>
  <c r="C744"/>
  <c r="AD744" s="1"/>
  <c r="C743"/>
  <c r="AD743" s="1"/>
  <c r="C742"/>
  <c r="AD742" s="1"/>
  <c r="C741"/>
  <c r="AD741" s="1"/>
  <c r="C740"/>
  <c r="AD740" s="1"/>
  <c r="C193"/>
  <c r="AD193" s="1"/>
  <c r="C192"/>
  <c r="AD192" s="1"/>
  <c r="C191"/>
  <c r="AD191" s="1"/>
  <c r="C190"/>
  <c r="AD190" s="1"/>
  <c r="C189"/>
  <c r="AD189" s="1"/>
  <c r="C188"/>
  <c r="AD188" s="1"/>
  <c r="C187"/>
  <c r="AD187" s="1"/>
  <c r="E72" i="60"/>
  <c r="V12"/>
  <c r="V13"/>
  <c r="V14"/>
  <c r="M122" i="34"/>
  <c r="M123"/>
  <c r="M124"/>
  <c r="M125"/>
  <c r="M126"/>
  <c r="M127"/>
  <c r="M128"/>
  <c r="M129"/>
  <c r="C129"/>
  <c r="AD129" s="1"/>
  <c r="C128"/>
  <c r="AD128" s="1"/>
  <c r="C127"/>
  <c r="AD127" s="1"/>
  <c r="C126"/>
  <c r="AD126" s="1"/>
  <c r="C125"/>
  <c r="AD125" s="1"/>
  <c r="C124"/>
  <c r="AD124" s="1"/>
  <c r="C123"/>
  <c r="AD123" s="1"/>
  <c r="C122"/>
  <c r="AD122" s="1"/>
  <c r="M193" l="1"/>
  <c r="I21" i="55" a="1"/>
  <c r="I21" s="1"/>
  <c r="G21" a="1"/>
  <c r="G21" s="1"/>
  <c r="H28" i="68"/>
  <c r="G30"/>
  <c r="B204" i="34"/>
  <c r="B195"/>
  <c r="B194"/>
  <c r="B637"/>
  <c r="B740"/>
  <c r="B744"/>
  <c r="B741"/>
  <c r="B742"/>
  <c r="B743"/>
  <c r="B187"/>
  <c r="B189"/>
  <c r="B191"/>
  <c r="B193"/>
  <c r="B188"/>
  <c r="B190"/>
  <c r="B192"/>
  <c r="B123"/>
  <c r="B125"/>
  <c r="B127"/>
  <c r="B129"/>
  <c r="B122"/>
  <c r="B124"/>
  <c r="B126"/>
  <c r="B128"/>
  <c r="K21" i="55" l="1"/>
  <c r="A193" i="34"/>
  <c r="S193"/>
  <c r="Q193"/>
  <c r="R193"/>
  <c r="A740"/>
  <c r="S740"/>
  <c r="Q740"/>
  <c r="R740"/>
  <c r="A128"/>
  <c r="R128"/>
  <c r="S128"/>
  <c r="Q128"/>
  <c r="A191"/>
  <c r="S191"/>
  <c r="Q191"/>
  <c r="R191"/>
  <c r="A126"/>
  <c r="R126"/>
  <c r="S126"/>
  <c r="Q126"/>
  <c r="A190"/>
  <c r="Q190"/>
  <c r="R190"/>
  <c r="S190"/>
  <c r="A189"/>
  <c r="S189"/>
  <c r="Q189"/>
  <c r="R189"/>
  <c r="A741"/>
  <c r="Q741"/>
  <c r="R741"/>
  <c r="S741"/>
  <c r="A124"/>
  <c r="R124"/>
  <c r="S124"/>
  <c r="Q124"/>
  <c r="A125"/>
  <c r="Q125"/>
  <c r="R125"/>
  <c r="S125"/>
  <c r="A188"/>
  <c r="Q188"/>
  <c r="R188"/>
  <c r="S188"/>
  <c r="A187"/>
  <c r="S187"/>
  <c r="Q187"/>
  <c r="R187"/>
  <c r="A744"/>
  <c r="S744"/>
  <c r="Q744"/>
  <c r="R744"/>
  <c r="A195"/>
  <c r="S195"/>
  <c r="Q195"/>
  <c r="R195"/>
  <c r="A123"/>
  <c r="Q123"/>
  <c r="R123"/>
  <c r="S123"/>
  <c r="A743"/>
  <c r="Q743"/>
  <c r="R743"/>
  <c r="S743"/>
  <c r="A192"/>
  <c r="Q192"/>
  <c r="R192"/>
  <c r="S192"/>
  <c r="A742"/>
  <c r="S742"/>
  <c r="Q742"/>
  <c r="R742"/>
  <c r="A637"/>
  <c r="S637"/>
  <c r="Q637"/>
  <c r="R637"/>
  <c r="A122"/>
  <c r="R122"/>
  <c r="S122"/>
  <c r="Q122"/>
  <c r="A204"/>
  <c r="Q204"/>
  <c r="R204"/>
  <c r="S204"/>
  <c r="A129"/>
  <c r="Q129"/>
  <c r="R129"/>
  <c r="S129"/>
  <c r="A127"/>
  <c r="Q127"/>
  <c r="R127"/>
  <c r="S127"/>
  <c r="A194"/>
  <c r="Q194"/>
  <c r="R194"/>
  <c r="S194"/>
  <c r="B76"/>
  <c r="B77"/>
  <c r="B78"/>
  <c r="B79"/>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678"/>
  <c r="B679"/>
  <c r="B680"/>
  <c r="B681"/>
  <c r="B682"/>
  <c r="B683"/>
  <c r="B684"/>
  <c r="B685"/>
  <c r="B686"/>
  <c r="B687"/>
  <c r="B688"/>
  <c r="B689"/>
  <c r="B690"/>
  <c r="B691"/>
  <c r="B692"/>
  <c r="B693"/>
  <c r="B694"/>
  <c r="B695"/>
  <c r="B696"/>
  <c r="B697"/>
  <c r="B698"/>
  <c r="B699"/>
  <c r="B700"/>
  <c r="B701"/>
  <c r="B702"/>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6"/>
  <c r="B257"/>
  <c r="B258"/>
  <c r="B259"/>
  <c r="B260"/>
  <c r="B261"/>
  <c r="B262"/>
  <c r="B263"/>
  <c r="B264"/>
  <c r="B265"/>
  <c r="B266"/>
  <c r="B267"/>
  <c r="B268"/>
  <c r="B269"/>
  <c r="B270"/>
  <c r="B271"/>
  <c r="B272"/>
  <c r="B273"/>
  <c r="B274"/>
  <c r="B275"/>
  <c r="B276"/>
  <c r="B277"/>
  <c r="B278"/>
  <c r="B279"/>
  <c r="B280"/>
  <c r="B281"/>
  <c r="B282"/>
  <c r="B283"/>
  <c r="B284"/>
  <c r="B285"/>
  <c r="B286"/>
  <c r="B287"/>
  <c r="B288"/>
  <c r="B289"/>
  <c r="B291"/>
  <c r="B292"/>
  <c r="B293"/>
  <c r="B294"/>
  <c r="B295"/>
  <c r="B296"/>
  <c r="B297"/>
  <c r="B299"/>
  <c r="B300"/>
  <c r="B304"/>
  <c r="B308"/>
  <c r="B301"/>
  <c r="B302"/>
  <c r="B303"/>
  <c r="B305"/>
  <c r="B306"/>
  <c r="B307"/>
  <c r="B309"/>
  <c r="B310"/>
  <c r="B311"/>
  <c r="B312"/>
  <c r="B313"/>
  <c r="B314"/>
  <c r="B315"/>
  <c r="B316"/>
  <c r="B317"/>
  <c r="B318"/>
  <c r="B319"/>
  <c r="B323"/>
  <c r="B324"/>
  <c r="B325"/>
  <c r="B326"/>
  <c r="B327"/>
  <c r="B329"/>
  <c r="B332"/>
  <c r="B333"/>
  <c r="B334"/>
  <c r="B335"/>
  <c r="B337"/>
  <c r="B336"/>
  <c r="B338"/>
  <c r="B339"/>
  <c r="B340"/>
  <c r="B341"/>
  <c r="B342"/>
  <c r="B343"/>
  <c r="B344"/>
  <c r="B345"/>
  <c r="B346"/>
  <c r="B347"/>
  <c r="B348"/>
  <c r="B349"/>
  <c r="B350"/>
  <c r="B351"/>
  <c r="B352"/>
  <c r="B353"/>
  <c r="B354"/>
  <c r="B355"/>
  <c r="B356"/>
  <c r="B357"/>
  <c r="B358"/>
  <c r="B359"/>
  <c r="B360"/>
  <c r="B361"/>
  <c r="B362"/>
  <c r="B363"/>
  <c r="B364"/>
  <c r="B366"/>
  <c r="B367"/>
  <c r="B368"/>
  <c r="B369"/>
  <c r="B370"/>
  <c r="B371"/>
  <c r="B372"/>
  <c r="B373"/>
  <c r="B374"/>
  <c r="B379"/>
  <c r="B380"/>
  <c r="B381"/>
  <c r="B382"/>
  <c r="B383"/>
  <c r="B384"/>
  <c r="B385"/>
  <c r="B386"/>
  <c r="B387"/>
  <c r="B388"/>
  <c r="B389"/>
  <c r="B390"/>
  <c r="B391"/>
  <c r="B392"/>
  <c r="B393"/>
  <c r="B394"/>
  <c r="B395"/>
  <c r="B396"/>
  <c r="B397"/>
  <c r="B375"/>
  <c r="B378"/>
  <c r="B398"/>
  <c r="B399"/>
  <c r="B400"/>
  <c r="B401"/>
  <c r="B402"/>
  <c r="B409"/>
  <c r="B410"/>
  <c r="B411"/>
  <c r="B412"/>
  <c r="B413"/>
  <c r="B414"/>
  <c r="B415"/>
  <c r="B416"/>
  <c r="B417"/>
  <c r="B418"/>
  <c r="B420"/>
  <c r="B421"/>
  <c r="B422"/>
  <c r="B423"/>
  <c r="B424"/>
  <c r="B430"/>
  <c r="B431"/>
  <c r="B432"/>
  <c r="B433"/>
  <c r="B434"/>
  <c r="B435"/>
  <c r="B436"/>
  <c r="B437"/>
  <c r="B438"/>
  <c r="B439"/>
  <c r="B440"/>
  <c r="B441"/>
  <c r="B442"/>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703"/>
  <c r="B704"/>
  <c r="B705"/>
  <c r="B706"/>
  <c r="B707"/>
  <c r="B708"/>
  <c r="B709"/>
  <c r="B710"/>
  <c r="B711"/>
  <c r="B712"/>
  <c r="B713"/>
  <c r="B408"/>
  <c r="B419"/>
  <c r="B568"/>
  <c r="B728"/>
  <c r="B729"/>
  <c r="B727"/>
  <c r="B714"/>
  <c r="B715"/>
  <c r="B716"/>
  <c r="B717"/>
  <c r="B718"/>
  <c r="B719"/>
  <c r="B720"/>
  <c r="B721"/>
  <c r="B722"/>
  <c r="B723"/>
  <c r="B725"/>
  <c r="B726"/>
  <c r="B130"/>
  <c r="B131"/>
  <c r="B132"/>
  <c r="B135"/>
  <c r="B136"/>
  <c r="B814"/>
  <c r="B815"/>
  <c r="B816"/>
  <c r="B817"/>
  <c r="B826"/>
  <c r="B830"/>
  <c r="B844"/>
  <c r="B846"/>
  <c r="B847"/>
  <c r="B848"/>
  <c r="B862"/>
  <c r="B863"/>
  <c r="B864"/>
  <c r="B865"/>
  <c r="B866"/>
  <c r="B867"/>
  <c r="B868"/>
  <c r="B869"/>
  <c r="B870"/>
  <c r="B871"/>
  <c r="B872"/>
  <c r="B873"/>
  <c r="B874"/>
  <c r="B875"/>
  <c r="B876"/>
  <c r="B877"/>
  <c r="B878"/>
  <c r="B879"/>
  <c r="B880"/>
  <c r="B881"/>
  <c r="B882"/>
  <c r="B883"/>
  <c r="B884"/>
  <c r="B889"/>
  <c r="B890"/>
  <c r="B891"/>
  <c r="B892"/>
  <c r="B893"/>
  <c r="B894"/>
  <c r="B895"/>
  <c r="B896"/>
  <c r="B897"/>
  <c r="B898"/>
  <c r="B899"/>
  <c r="B901"/>
  <c r="B902"/>
  <c r="B903"/>
  <c r="B904"/>
  <c r="B905"/>
  <c r="B906"/>
  <c r="B907"/>
  <c r="B908"/>
  <c r="B909"/>
  <c r="B910"/>
  <c r="B911"/>
  <c r="B912"/>
  <c r="B913"/>
  <c r="B914"/>
  <c r="B915"/>
  <c r="B916"/>
  <c r="B917"/>
  <c r="B918"/>
  <c r="B924"/>
  <c r="B925"/>
  <c r="B926"/>
  <c r="B927"/>
  <c r="B928"/>
  <c r="B929"/>
  <c r="B930"/>
  <c r="B931"/>
  <c r="B932"/>
  <c r="B933"/>
  <c r="B934"/>
  <c r="B935"/>
  <c r="B936"/>
  <c r="B937"/>
  <c r="B938"/>
  <c r="B939"/>
  <c r="B940"/>
  <c r="B941"/>
  <c r="B942"/>
  <c r="B943"/>
  <c r="B944"/>
  <c r="B945"/>
  <c r="B946"/>
  <c r="B947"/>
  <c r="B948"/>
  <c r="B949"/>
  <c r="B950"/>
  <c r="B951"/>
  <c r="B952"/>
  <c r="B953"/>
  <c r="B954"/>
  <c r="B955"/>
  <c r="B956"/>
  <c r="B957"/>
  <c r="B958"/>
  <c r="B959"/>
  <c r="B960"/>
  <c r="B961"/>
  <c r="B962"/>
  <c r="B963"/>
  <c r="B964"/>
  <c r="B965"/>
  <c r="B966"/>
  <c r="B967"/>
  <c r="B968"/>
  <c r="B969"/>
  <c r="B970"/>
  <c r="B971"/>
  <c r="B972"/>
  <c r="B973"/>
  <c r="B974"/>
  <c r="B975"/>
  <c r="B976"/>
  <c r="B977"/>
  <c r="B978"/>
  <c r="B979"/>
  <c r="B980"/>
  <c r="B981"/>
  <c r="B982"/>
  <c r="B983"/>
  <c r="B984"/>
  <c r="B985"/>
  <c r="B986"/>
  <c r="B987"/>
  <c r="A986" l="1"/>
  <c r="R986"/>
  <c r="S986"/>
  <c r="Q986"/>
  <c r="A974"/>
  <c r="R974"/>
  <c r="S974"/>
  <c r="Q974"/>
  <c r="A962"/>
  <c r="R962"/>
  <c r="S962"/>
  <c r="Q962"/>
  <c r="A950"/>
  <c r="R950"/>
  <c r="S950"/>
  <c r="Q950"/>
  <c r="A938"/>
  <c r="R938"/>
  <c r="S938"/>
  <c r="Q938"/>
  <c r="A917"/>
  <c r="R917"/>
  <c r="S917"/>
  <c r="Q917"/>
  <c r="A905"/>
  <c r="R905"/>
  <c r="S905"/>
  <c r="Q905"/>
  <c r="A892"/>
  <c r="S892"/>
  <c r="R892"/>
  <c r="Q892"/>
  <c r="A876"/>
  <c r="S876"/>
  <c r="Q876"/>
  <c r="R876"/>
  <c r="A864"/>
  <c r="S864"/>
  <c r="Q864"/>
  <c r="R864"/>
  <c r="A830"/>
  <c r="S830"/>
  <c r="Q830"/>
  <c r="R830"/>
  <c r="A817"/>
  <c r="S817"/>
  <c r="Q817"/>
  <c r="R817"/>
  <c r="A723"/>
  <c r="S723"/>
  <c r="Q723"/>
  <c r="R723"/>
  <c r="A709"/>
  <c r="S709"/>
  <c r="Q709"/>
  <c r="R709"/>
  <c r="A476"/>
  <c r="S476"/>
  <c r="Q476"/>
  <c r="R476"/>
  <c r="A464"/>
  <c r="S464"/>
  <c r="Q464"/>
  <c r="R464"/>
  <c r="A452"/>
  <c r="S452"/>
  <c r="Q452"/>
  <c r="R452"/>
  <c r="A436"/>
  <c r="S436"/>
  <c r="Q436"/>
  <c r="R436"/>
  <c r="A418"/>
  <c r="S418"/>
  <c r="Q418"/>
  <c r="R418"/>
  <c r="A400"/>
  <c r="S400"/>
  <c r="Q400"/>
  <c r="R400"/>
  <c r="A390"/>
  <c r="S390"/>
  <c r="Q390"/>
  <c r="R390"/>
  <c r="A382"/>
  <c r="S382"/>
  <c r="Q382"/>
  <c r="R382"/>
  <c r="A370"/>
  <c r="S370"/>
  <c r="R370"/>
  <c r="Q370"/>
  <c r="A357"/>
  <c r="Q357"/>
  <c r="S357"/>
  <c r="R357"/>
  <c r="A345"/>
  <c r="Q345"/>
  <c r="S345"/>
  <c r="R345"/>
  <c r="A333"/>
  <c r="Q333"/>
  <c r="S333"/>
  <c r="R333"/>
  <c r="A315"/>
  <c r="Q315"/>
  <c r="R315"/>
  <c r="S315"/>
  <c r="A301"/>
  <c r="Q301"/>
  <c r="R301"/>
  <c r="S301"/>
  <c r="A294"/>
  <c r="S294"/>
  <c r="Q294"/>
  <c r="R294"/>
  <c r="A281"/>
  <c r="Q281"/>
  <c r="R281"/>
  <c r="S281"/>
  <c r="A269"/>
  <c r="Q269"/>
  <c r="R269"/>
  <c r="S269"/>
  <c r="A261"/>
  <c r="Q261"/>
  <c r="R261"/>
  <c r="S261"/>
  <c r="A248"/>
  <c r="S248"/>
  <c r="Q248"/>
  <c r="R248"/>
  <c r="A232"/>
  <c r="S232"/>
  <c r="Q232"/>
  <c r="R232"/>
  <c r="A220"/>
  <c r="Q220"/>
  <c r="S220"/>
  <c r="R220"/>
  <c r="A212"/>
  <c r="Q212"/>
  <c r="R212"/>
  <c r="S212"/>
  <c r="A694"/>
  <c r="Q694"/>
  <c r="R694"/>
  <c r="S694"/>
  <c r="A686"/>
  <c r="Q686"/>
  <c r="R686"/>
  <c r="S686"/>
  <c r="A72"/>
  <c r="S72"/>
  <c r="Q72"/>
  <c r="R72"/>
  <c r="A60"/>
  <c r="S60"/>
  <c r="Q60"/>
  <c r="R60"/>
  <c r="A48"/>
  <c r="S48"/>
  <c r="Q48"/>
  <c r="R48"/>
  <c r="A36"/>
  <c r="S36"/>
  <c r="Q36"/>
  <c r="R36"/>
  <c r="A985"/>
  <c r="Q985"/>
  <c r="R985"/>
  <c r="S985"/>
  <c r="A981"/>
  <c r="Q981"/>
  <c r="R981"/>
  <c r="S981"/>
  <c r="A977"/>
  <c r="Q977"/>
  <c r="R977"/>
  <c r="S977"/>
  <c r="A973"/>
  <c r="Q973"/>
  <c r="R973"/>
  <c r="S973"/>
  <c r="A969"/>
  <c r="Q969"/>
  <c r="R969"/>
  <c r="S969"/>
  <c r="A965"/>
  <c r="Q965"/>
  <c r="R965"/>
  <c r="S965"/>
  <c r="A961"/>
  <c r="Q961"/>
  <c r="R961"/>
  <c r="S961"/>
  <c r="A957"/>
  <c r="Q957"/>
  <c r="R957"/>
  <c r="S957"/>
  <c r="A953"/>
  <c r="Q953"/>
  <c r="R953"/>
  <c r="S953"/>
  <c r="A949"/>
  <c r="Q949"/>
  <c r="R949"/>
  <c r="S949"/>
  <c r="A945"/>
  <c r="Q945"/>
  <c r="R945"/>
  <c r="S945"/>
  <c r="A941"/>
  <c r="Q941"/>
  <c r="R941"/>
  <c r="S941"/>
  <c r="A937"/>
  <c r="Q937"/>
  <c r="R937"/>
  <c r="S937"/>
  <c r="A933"/>
  <c r="Q933"/>
  <c r="R933"/>
  <c r="S933"/>
  <c r="A929"/>
  <c r="Q929"/>
  <c r="R929"/>
  <c r="S929"/>
  <c r="A925"/>
  <c r="Q925"/>
  <c r="R925"/>
  <c r="S925"/>
  <c r="A916"/>
  <c r="Q916"/>
  <c r="R916"/>
  <c r="S916"/>
  <c r="A912"/>
  <c r="Q912"/>
  <c r="R912"/>
  <c r="S912"/>
  <c r="A908"/>
  <c r="Q908"/>
  <c r="R908"/>
  <c r="S908"/>
  <c r="A904"/>
  <c r="Q904"/>
  <c r="R904"/>
  <c r="S904"/>
  <c r="A899"/>
  <c r="Q899"/>
  <c r="R899"/>
  <c r="S899"/>
  <c r="A895"/>
  <c r="Q895"/>
  <c r="R895"/>
  <c r="S895"/>
  <c r="A891"/>
  <c r="Q891"/>
  <c r="R891"/>
  <c r="S891"/>
  <c r="A883"/>
  <c r="Q883"/>
  <c r="R883"/>
  <c r="S883"/>
  <c r="A879"/>
  <c r="Q879"/>
  <c r="R879"/>
  <c r="S879"/>
  <c r="A875"/>
  <c r="Q875"/>
  <c r="R875"/>
  <c r="S875"/>
  <c r="A871"/>
  <c r="Q871"/>
  <c r="R871"/>
  <c r="S871"/>
  <c r="A867"/>
  <c r="Q867"/>
  <c r="R867"/>
  <c r="S867"/>
  <c r="A863"/>
  <c r="Q863"/>
  <c r="R863"/>
  <c r="S863"/>
  <c r="A848"/>
  <c r="Q848"/>
  <c r="R848"/>
  <c r="S848"/>
  <c r="A844"/>
  <c r="Q844"/>
  <c r="R844"/>
  <c r="S844"/>
  <c r="A136"/>
  <c r="R136"/>
  <c r="S136"/>
  <c r="Q136"/>
  <c r="A130"/>
  <c r="R130"/>
  <c r="S130"/>
  <c r="Q130"/>
  <c r="A722"/>
  <c r="Q722"/>
  <c r="R722"/>
  <c r="S722"/>
  <c r="A718"/>
  <c r="Q718"/>
  <c r="R718"/>
  <c r="S718"/>
  <c r="A714"/>
  <c r="Q714"/>
  <c r="R714"/>
  <c r="S714"/>
  <c r="A568"/>
  <c r="S568"/>
  <c r="Q568"/>
  <c r="R568"/>
  <c r="A712"/>
  <c r="Q712"/>
  <c r="R712"/>
  <c r="S712"/>
  <c r="A708"/>
  <c r="Q708"/>
  <c r="R708"/>
  <c r="S708"/>
  <c r="A704"/>
  <c r="Q704"/>
  <c r="R704"/>
  <c r="S704"/>
  <c r="A479"/>
  <c r="Q479"/>
  <c r="R479"/>
  <c r="S479"/>
  <c r="A475"/>
  <c r="Q475"/>
  <c r="R475"/>
  <c r="S475"/>
  <c r="A471"/>
  <c r="Q471"/>
  <c r="R471"/>
  <c r="S471"/>
  <c r="A467"/>
  <c r="Q467"/>
  <c r="R467"/>
  <c r="S467"/>
  <c r="A463"/>
  <c r="Q463"/>
  <c r="R463"/>
  <c r="S463"/>
  <c r="A459"/>
  <c r="Q459"/>
  <c r="R459"/>
  <c r="S459"/>
  <c r="A455"/>
  <c r="Q455"/>
  <c r="R455"/>
  <c r="S455"/>
  <c r="A451"/>
  <c r="Q451"/>
  <c r="R451"/>
  <c r="S451"/>
  <c r="A447"/>
  <c r="R447"/>
  <c r="Q447"/>
  <c r="S447"/>
  <c r="A439"/>
  <c r="R439"/>
  <c r="S439"/>
  <c r="Q439"/>
  <c r="A435"/>
  <c r="Q435"/>
  <c r="R435"/>
  <c r="S435"/>
  <c r="A431"/>
  <c r="Q431"/>
  <c r="R431"/>
  <c r="S431"/>
  <c r="A422"/>
  <c r="S422"/>
  <c r="Q422"/>
  <c r="R422"/>
  <c r="A417"/>
  <c r="Q417"/>
  <c r="R417"/>
  <c r="S417"/>
  <c r="A413"/>
  <c r="Q413"/>
  <c r="R413"/>
  <c r="S413"/>
  <c r="A409"/>
  <c r="Q409"/>
  <c r="R409"/>
  <c r="S409"/>
  <c r="A399"/>
  <c r="Q399"/>
  <c r="R399"/>
  <c r="S399"/>
  <c r="A397"/>
  <c r="Q397"/>
  <c r="R397"/>
  <c r="S397"/>
  <c r="A393"/>
  <c r="Q393"/>
  <c r="R393"/>
  <c r="S393"/>
  <c r="A389"/>
  <c r="Q389"/>
  <c r="R389"/>
  <c r="S389"/>
  <c r="A385"/>
  <c r="Q385"/>
  <c r="R385"/>
  <c r="S385"/>
  <c r="A381"/>
  <c r="Q381"/>
  <c r="R381"/>
  <c r="S381"/>
  <c r="A373"/>
  <c r="Q373"/>
  <c r="R373"/>
  <c r="S373"/>
  <c r="A369"/>
  <c r="Q369"/>
  <c r="R369"/>
  <c r="S369"/>
  <c r="A364"/>
  <c r="S364"/>
  <c r="Q364"/>
  <c r="R364"/>
  <c r="A360"/>
  <c r="S360"/>
  <c r="Q360"/>
  <c r="R360"/>
  <c r="A356"/>
  <c r="S356"/>
  <c r="Q356"/>
  <c r="R356"/>
  <c r="A352"/>
  <c r="S352"/>
  <c r="Q352"/>
  <c r="R352"/>
  <c r="A348"/>
  <c r="S348"/>
  <c r="Q348"/>
  <c r="R348"/>
  <c r="A344"/>
  <c r="S344"/>
  <c r="Q344"/>
  <c r="R344"/>
  <c r="A340"/>
  <c r="S340"/>
  <c r="Q340"/>
  <c r="R340"/>
  <c r="A337"/>
  <c r="Q337"/>
  <c r="S337"/>
  <c r="R337"/>
  <c r="A332"/>
  <c r="S332"/>
  <c r="Q332"/>
  <c r="R332"/>
  <c r="A325"/>
  <c r="Q325"/>
  <c r="R325"/>
  <c r="S325"/>
  <c r="A318"/>
  <c r="S318"/>
  <c r="Q318"/>
  <c r="R318"/>
  <c r="A314"/>
  <c r="S314"/>
  <c r="Q314"/>
  <c r="R314"/>
  <c r="A310"/>
  <c r="S310"/>
  <c r="Q310"/>
  <c r="R310"/>
  <c r="A305"/>
  <c r="Q305"/>
  <c r="R305"/>
  <c r="S305"/>
  <c r="A308"/>
  <c r="S308"/>
  <c r="Q308"/>
  <c r="R308"/>
  <c r="A297"/>
  <c r="Q297"/>
  <c r="R297"/>
  <c r="S297"/>
  <c r="A293"/>
  <c r="Q293"/>
  <c r="R293"/>
  <c r="S293"/>
  <c r="A288"/>
  <c r="S288"/>
  <c r="Q288"/>
  <c r="R288"/>
  <c r="A284"/>
  <c r="S284"/>
  <c r="Q284"/>
  <c r="R284"/>
  <c r="A280"/>
  <c r="S280"/>
  <c r="Q280"/>
  <c r="R280"/>
  <c r="A276"/>
  <c r="S276"/>
  <c r="Q276"/>
  <c r="R276"/>
  <c r="A272"/>
  <c r="S272"/>
  <c r="Q272"/>
  <c r="R272"/>
  <c r="A268"/>
  <c r="S268"/>
  <c r="Q268"/>
  <c r="R268"/>
  <c r="A264"/>
  <c r="S264"/>
  <c r="Q264"/>
  <c r="R264"/>
  <c r="A260"/>
  <c r="S260"/>
  <c r="Q260"/>
  <c r="R260"/>
  <c r="A256"/>
  <c r="S256"/>
  <c r="Q256"/>
  <c r="R256"/>
  <c r="A251"/>
  <c r="Q251"/>
  <c r="R251"/>
  <c r="S251"/>
  <c r="A247"/>
  <c r="Q247"/>
  <c r="R247"/>
  <c r="S247"/>
  <c r="A243"/>
  <c r="Q243"/>
  <c r="R243"/>
  <c r="S243"/>
  <c r="A239"/>
  <c r="Q239"/>
  <c r="R239"/>
  <c r="S239"/>
  <c r="A235"/>
  <c r="Q235"/>
  <c r="R235"/>
  <c r="S235"/>
  <c r="A231"/>
  <c r="Q231"/>
  <c r="R231"/>
  <c r="S231"/>
  <c r="A227"/>
  <c r="Q227"/>
  <c r="R227"/>
  <c r="S227"/>
  <c r="A223"/>
  <c r="Q223"/>
  <c r="R223"/>
  <c r="S223"/>
  <c r="A219"/>
  <c r="S219"/>
  <c r="R219"/>
  <c r="Q219"/>
  <c r="A215"/>
  <c r="S215"/>
  <c r="Q215"/>
  <c r="R215"/>
  <c r="A211"/>
  <c r="S211"/>
  <c r="Q211"/>
  <c r="R211"/>
  <c r="A207"/>
  <c r="S207"/>
  <c r="Q207"/>
  <c r="R207"/>
  <c r="A701"/>
  <c r="S701"/>
  <c r="Q701"/>
  <c r="R701"/>
  <c r="A697"/>
  <c r="S697"/>
  <c r="Q697"/>
  <c r="R697"/>
  <c r="A693"/>
  <c r="S693"/>
  <c r="Q693"/>
  <c r="R693"/>
  <c r="A689"/>
  <c r="S689"/>
  <c r="Q689"/>
  <c r="R689"/>
  <c r="A685"/>
  <c r="S685"/>
  <c r="Q685"/>
  <c r="R685"/>
  <c r="A681"/>
  <c r="S681"/>
  <c r="Q681"/>
  <c r="R681"/>
  <c r="A75"/>
  <c r="Q75"/>
  <c r="R75"/>
  <c r="S75"/>
  <c r="A71"/>
  <c r="Q71"/>
  <c r="R71"/>
  <c r="S71"/>
  <c r="A67"/>
  <c r="Q67"/>
  <c r="R67"/>
  <c r="S67"/>
  <c r="A63"/>
  <c r="Q63"/>
  <c r="R63"/>
  <c r="S63"/>
  <c r="A59"/>
  <c r="Q59"/>
  <c r="R59"/>
  <c r="S59"/>
  <c r="A55"/>
  <c r="Q55"/>
  <c r="R55"/>
  <c r="S55"/>
  <c r="A51"/>
  <c r="Q51"/>
  <c r="R51"/>
  <c r="S51"/>
  <c r="A47"/>
  <c r="Q47"/>
  <c r="R47"/>
  <c r="S47"/>
  <c r="A43"/>
  <c r="Q43"/>
  <c r="R43"/>
  <c r="S43"/>
  <c r="A39"/>
  <c r="Q39"/>
  <c r="R39"/>
  <c r="S39"/>
  <c r="A35"/>
  <c r="Q35"/>
  <c r="R35"/>
  <c r="S35"/>
  <c r="A31"/>
  <c r="Q31"/>
  <c r="R31"/>
  <c r="S31"/>
  <c r="A27"/>
  <c r="Q27"/>
  <c r="R27"/>
  <c r="S27"/>
  <c r="A78"/>
  <c r="S78"/>
  <c r="Q78"/>
  <c r="R78"/>
  <c r="A978"/>
  <c r="R978"/>
  <c r="S978"/>
  <c r="Q978"/>
  <c r="A966"/>
  <c r="R966"/>
  <c r="S966"/>
  <c r="Q966"/>
  <c r="A954"/>
  <c r="R954"/>
  <c r="S954"/>
  <c r="Q954"/>
  <c r="A942"/>
  <c r="R942"/>
  <c r="S942"/>
  <c r="Q942"/>
  <c r="A934"/>
  <c r="R934"/>
  <c r="S934"/>
  <c r="Q934"/>
  <c r="A926"/>
  <c r="R926"/>
  <c r="S926"/>
  <c r="Q926"/>
  <c r="A909"/>
  <c r="R909"/>
  <c r="S909"/>
  <c r="Q909"/>
  <c r="A896"/>
  <c r="R896"/>
  <c r="S896"/>
  <c r="Q896"/>
  <c r="A880"/>
  <c r="S880"/>
  <c r="Q880"/>
  <c r="R880"/>
  <c r="A868"/>
  <c r="S868"/>
  <c r="Q868"/>
  <c r="R868"/>
  <c r="A814"/>
  <c r="S814"/>
  <c r="Q814"/>
  <c r="R814"/>
  <c r="A719"/>
  <c r="S719"/>
  <c r="Q719"/>
  <c r="R719"/>
  <c r="A728"/>
  <c r="S728"/>
  <c r="Q728"/>
  <c r="R728"/>
  <c r="A705"/>
  <c r="S705"/>
  <c r="Q705"/>
  <c r="R705"/>
  <c r="A472"/>
  <c r="S472"/>
  <c r="Q472"/>
  <c r="R472"/>
  <c r="A460"/>
  <c r="S460"/>
  <c r="Q460"/>
  <c r="R460"/>
  <c r="A448"/>
  <c r="S448"/>
  <c r="Q448"/>
  <c r="R448"/>
  <c r="A423"/>
  <c r="Q423"/>
  <c r="R423"/>
  <c r="S423"/>
  <c r="A414"/>
  <c r="S414"/>
  <c r="Q414"/>
  <c r="R414"/>
  <c r="A375"/>
  <c r="Q375"/>
  <c r="R375"/>
  <c r="S375"/>
  <c r="A386"/>
  <c r="S386"/>
  <c r="Q386"/>
  <c r="R386"/>
  <c r="A366"/>
  <c r="S366"/>
  <c r="Q366"/>
  <c r="R366"/>
  <c r="A353"/>
  <c r="Q353"/>
  <c r="S353"/>
  <c r="R353"/>
  <c r="A341"/>
  <c r="Q341"/>
  <c r="S341"/>
  <c r="R341"/>
  <c r="A326"/>
  <c r="S326"/>
  <c r="Q326"/>
  <c r="R326"/>
  <c r="A311"/>
  <c r="Q311"/>
  <c r="R311"/>
  <c r="S311"/>
  <c r="A299"/>
  <c r="Q299"/>
  <c r="R299"/>
  <c r="S299"/>
  <c r="A285"/>
  <c r="Q285"/>
  <c r="R285"/>
  <c r="S285"/>
  <c r="A257"/>
  <c r="Q257"/>
  <c r="R257"/>
  <c r="S257"/>
  <c r="A244"/>
  <c r="S244"/>
  <c r="Q244"/>
  <c r="R244"/>
  <c r="A236"/>
  <c r="S236"/>
  <c r="Q236"/>
  <c r="R236"/>
  <c r="A224"/>
  <c r="S224"/>
  <c r="Q224"/>
  <c r="R224"/>
  <c r="A208"/>
  <c r="Q208"/>
  <c r="R208"/>
  <c r="S208"/>
  <c r="A698"/>
  <c r="Q698"/>
  <c r="R698"/>
  <c r="S698"/>
  <c r="A682"/>
  <c r="Q682"/>
  <c r="R682"/>
  <c r="S682"/>
  <c r="A64"/>
  <c r="S64"/>
  <c r="Q64"/>
  <c r="R64"/>
  <c r="A52"/>
  <c r="S52"/>
  <c r="Q52"/>
  <c r="R52"/>
  <c r="A44"/>
  <c r="S44"/>
  <c r="Q44"/>
  <c r="R44"/>
  <c r="A32"/>
  <c r="S32"/>
  <c r="Q32"/>
  <c r="R32"/>
  <c r="A79"/>
  <c r="Q79"/>
  <c r="R79"/>
  <c r="S79"/>
  <c r="A984"/>
  <c r="R984"/>
  <c r="S984"/>
  <c r="Q984"/>
  <c r="A980"/>
  <c r="R980"/>
  <c r="S980"/>
  <c r="Q980"/>
  <c r="A976"/>
  <c r="R976"/>
  <c r="S976"/>
  <c r="Q976"/>
  <c r="A972"/>
  <c r="R972"/>
  <c r="S972"/>
  <c r="Q972"/>
  <c r="A968"/>
  <c r="R968"/>
  <c r="S968"/>
  <c r="Q968"/>
  <c r="A964"/>
  <c r="R964"/>
  <c r="S964"/>
  <c r="Q964"/>
  <c r="A960"/>
  <c r="R960"/>
  <c r="S960"/>
  <c r="Q960"/>
  <c r="A956"/>
  <c r="R956"/>
  <c r="S956"/>
  <c r="Q956"/>
  <c r="A952"/>
  <c r="R952"/>
  <c r="S952"/>
  <c r="Q952"/>
  <c r="A948"/>
  <c r="R948"/>
  <c r="S948"/>
  <c r="Q948"/>
  <c r="A944"/>
  <c r="R944"/>
  <c r="S944"/>
  <c r="Q944"/>
  <c r="A940"/>
  <c r="R940"/>
  <c r="S940"/>
  <c r="Q940"/>
  <c r="A936"/>
  <c r="R936"/>
  <c r="S936"/>
  <c r="Q936"/>
  <c r="A932"/>
  <c r="R932"/>
  <c r="S932"/>
  <c r="Q932"/>
  <c r="A928"/>
  <c r="R928"/>
  <c r="S928"/>
  <c r="Q928"/>
  <c r="A924"/>
  <c r="R924"/>
  <c r="S924"/>
  <c r="Q924"/>
  <c r="A915"/>
  <c r="R915"/>
  <c r="S915"/>
  <c r="Q915"/>
  <c r="A911"/>
  <c r="R911"/>
  <c r="S911"/>
  <c r="Q911"/>
  <c r="A907"/>
  <c r="R907"/>
  <c r="S907"/>
  <c r="Q907"/>
  <c r="A903"/>
  <c r="R903"/>
  <c r="S903"/>
  <c r="Q903"/>
  <c r="A898"/>
  <c r="R898"/>
  <c r="S898"/>
  <c r="Q898"/>
  <c r="A894"/>
  <c r="S894"/>
  <c r="R894"/>
  <c r="Q894"/>
  <c r="A890"/>
  <c r="S890"/>
  <c r="R890"/>
  <c r="Q890"/>
  <c r="A882"/>
  <c r="S882"/>
  <c r="R882"/>
  <c r="Q882"/>
  <c r="A878"/>
  <c r="S878"/>
  <c r="Q878"/>
  <c r="R878"/>
  <c r="A874"/>
  <c r="S874"/>
  <c r="Q874"/>
  <c r="R874"/>
  <c r="A870"/>
  <c r="S870"/>
  <c r="Q870"/>
  <c r="R870"/>
  <c r="A866"/>
  <c r="S866"/>
  <c r="Q866"/>
  <c r="R866"/>
  <c r="A862"/>
  <c r="S862"/>
  <c r="Q862"/>
  <c r="R862"/>
  <c r="A847"/>
  <c r="S847"/>
  <c r="Q847"/>
  <c r="R847"/>
  <c r="A826"/>
  <c r="S826"/>
  <c r="Q826"/>
  <c r="R826"/>
  <c r="A816"/>
  <c r="S816"/>
  <c r="Q816"/>
  <c r="R816"/>
  <c r="A135"/>
  <c r="Q135"/>
  <c r="R135"/>
  <c r="S135"/>
  <c r="A726"/>
  <c r="S726"/>
  <c r="Q726"/>
  <c r="R726"/>
  <c r="A721"/>
  <c r="S721"/>
  <c r="Q721"/>
  <c r="R721"/>
  <c r="A717"/>
  <c r="S717"/>
  <c r="Q717"/>
  <c r="R717"/>
  <c r="A727"/>
  <c r="Q727"/>
  <c r="R727"/>
  <c r="S727"/>
  <c r="A419"/>
  <c r="Q419"/>
  <c r="R419"/>
  <c r="S419"/>
  <c r="A711"/>
  <c r="S711"/>
  <c r="Q711"/>
  <c r="R711"/>
  <c r="A707"/>
  <c r="S707"/>
  <c r="Q707"/>
  <c r="R707"/>
  <c r="A703"/>
  <c r="S703"/>
  <c r="Q703"/>
  <c r="R703"/>
  <c r="A478"/>
  <c r="S478"/>
  <c r="Q478"/>
  <c r="R478"/>
  <c r="A474"/>
  <c r="S474"/>
  <c r="Q474"/>
  <c r="R474"/>
  <c r="A470"/>
  <c r="S470"/>
  <c r="Q470"/>
  <c r="R470"/>
  <c r="A466"/>
  <c r="S466"/>
  <c r="Q466"/>
  <c r="R466"/>
  <c r="A462"/>
  <c r="S462"/>
  <c r="Q462"/>
  <c r="R462"/>
  <c r="A458"/>
  <c r="S458"/>
  <c r="Q458"/>
  <c r="R458"/>
  <c r="A454"/>
  <c r="S454"/>
  <c r="Q454"/>
  <c r="R454"/>
  <c r="A450"/>
  <c r="S450"/>
  <c r="Q450"/>
  <c r="R450"/>
  <c r="A442"/>
  <c r="Q442"/>
  <c r="S442"/>
  <c r="R442"/>
  <c r="A438"/>
  <c r="S438"/>
  <c r="Q438"/>
  <c r="R438"/>
  <c r="A434"/>
  <c r="S434"/>
  <c r="Q434"/>
  <c r="R434"/>
  <c r="A430"/>
  <c r="S430"/>
  <c r="Q430"/>
  <c r="R430"/>
  <c r="A421"/>
  <c r="Q421"/>
  <c r="R421"/>
  <c r="S421"/>
  <c r="A416"/>
  <c r="S416"/>
  <c r="Q416"/>
  <c r="R416"/>
  <c r="A412"/>
  <c r="S412"/>
  <c r="Q412"/>
  <c r="R412"/>
  <c r="A402"/>
  <c r="S402"/>
  <c r="Q402"/>
  <c r="R402"/>
  <c r="A398"/>
  <c r="S398"/>
  <c r="Q398"/>
  <c r="R398"/>
  <c r="A396"/>
  <c r="S396"/>
  <c r="Q396"/>
  <c r="R396"/>
  <c r="A392"/>
  <c r="S392"/>
  <c r="Q392"/>
  <c r="R392"/>
  <c r="A388"/>
  <c r="S388"/>
  <c r="Q388"/>
  <c r="R388"/>
  <c r="A384"/>
  <c r="S384"/>
  <c r="Q384"/>
  <c r="R384"/>
  <c r="A380"/>
  <c r="S380"/>
  <c r="Q380"/>
  <c r="R380"/>
  <c r="A372"/>
  <c r="S372"/>
  <c r="Q372"/>
  <c r="R372"/>
  <c r="A368"/>
  <c r="S368"/>
  <c r="Q368"/>
  <c r="R368"/>
  <c r="A363"/>
  <c r="Q363"/>
  <c r="S363"/>
  <c r="R363"/>
  <c r="A359"/>
  <c r="Q359"/>
  <c r="S359"/>
  <c r="R359"/>
  <c r="A355"/>
  <c r="Q355"/>
  <c r="S355"/>
  <c r="R355"/>
  <c r="A351"/>
  <c r="Q351"/>
  <c r="S351"/>
  <c r="R351"/>
  <c r="A347"/>
  <c r="Q347"/>
  <c r="S347"/>
  <c r="R347"/>
  <c r="A343"/>
  <c r="Q343"/>
  <c r="S343"/>
  <c r="R343"/>
  <c r="A339"/>
  <c r="Q339"/>
  <c r="S339"/>
  <c r="R339"/>
  <c r="A335"/>
  <c r="Q335"/>
  <c r="S335"/>
  <c r="R335"/>
  <c r="A329"/>
  <c r="Q329"/>
  <c r="R329"/>
  <c r="S329"/>
  <c r="A324"/>
  <c r="S324"/>
  <c r="Q324"/>
  <c r="R324"/>
  <c r="A317"/>
  <c r="Q317"/>
  <c r="R317"/>
  <c r="S317"/>
  <c r="A313"/>
  <c r="Q313"/>
  <c r="R313"/>
  <c r="S313"/>
  <c r="A309"/>
  <c r="Q309"/>
  <c r="R309"/>
  <c r="S309"/>
  <c r="A303"/>
  <c r="Q303"/>
  <c r="R303"/>
  <c r="S303"/>
  <c r="A304"/>
  <c r="S304"/>
  <c r="Q304"/>
  <c r="R304"/>
  <c r="A296"/>
  <c r="S296"/>
  <c r="Q296"/>
  <c r="R296"/>
  <c r="A292"/>
  <c r="S292"/>
  <c r="Q292"/>
  <c r="R292"/>
  <c r="A287"/>
  <c r="Q287"/>
  <c r="R287"/>
  <c r="S287"/>
  <c r="A283"/>
  <c r="Q283"/>
  <c r="R283"/>
  <c r="S283"/>
  <c r="A279"/>
  <c r="Q279"/>
  <c r="R279"/>
  <c r="S279"/>
  <c r="A275"/>
  <c r="Q275"/>
  <c r="R275"/>
  <c r="S275"/>
  <c r="A271"/>
  <c r="Q271"/>
  <c r="R271"/>
  <c r="S271"/>
  <c r="A267"/>
  <c r="Q267"/>
  <c r="R267"/>
  <c r="S267"/>
  <c r="A263"/>
  <c r="Q263"/>
  <c r="R263"/>
  <c r="S263"/>
  <c r="A259"/>
  <c r="Q259"/>
  <c r="R259"/>
  <c r="S259"/>
  <c r="A254"/>
  <c r="S254"/>
  <c r="Q254"/>
  <c r="R254"/>
  <c r="A250"/>
  <c r="S250"/>
  <c r="Q250"/>
  <c r="R250"/>
  <c r="A246"/>
  <c r="S246"/>
  <c r="Q246"/>
  <c r="R246"/>
  <c r="A242"/>
  <c r="S242"/>
  <c r="Q242"/>
  <c r="R242"/>
  <c r="A238"/>
  <c r="S238"/>
  <c r="Q238"/>
  <c r="R238"/>
  <c r="A234"/>
  <c r="S234"/>
  <c r="Q234"/>
  <c r="R234"/>
  <c r="A230"/>
  <c r="S230"/>
  <c r="Q230"/>
  <c r="R230"/>
  <c r="A226"/>
  <c r="S226"/>
  <c r="Q226"/>
  <c r="R226"/>
  <c r="A222"/>
  <c r="S222"/>
  <c r="Q222"/>
  <c r="R222"/>
  <c r="A218"/>
  <c r="Q218"/>
  <c r="R218"/>
  <c r="S218"/>
  <c r="A214"/>
  <c r="Q214"/>
  <c r="R214"/>
  <c r="S214"/>
  <c r="A210"/>
  <c r="Q210"/>
  <c r="R210"/>
  <c r="S210"/>
  <c r="A206"/>
  <c r="Q206"/>
  <c r="R206"/>
  <c r="S206"/>
  <c r="A700"/>
  <c r="Q700"/>
  <c r="R700"/>
  <c r="S700"/>
  <c r="A696"/>
  <c r="Q696"/>
  <c r="R696"/>
  <c r="S696"/>
  <c r="A692"/>
  <c r="Q692"/>
  <c r="R692"/>
  <c r="S692"/>
  <c r="A688"/>
  <c r="Q688"/>
  <c r="R688"/>
  <c r="S688"/>
  <c r="A684"/>
  <c r="Q684"/>
  <c r="R684"/>
  <c r="S684"/>
  <c r="A680"/>
  <c r="Q680"/>
  <c r="R680"/>
  <c r="S680"/>
  <c r="A74"/>
  <c r="S74"/>
  <c r="Q74"/>
  <c r="R74"/>
  <c r="A70"/>
  <c r="S70"/>
  <c r="Q70"/>
  <c r="R70"/>
  <c r="A66"/>
  <c r="S66"/>
  <c r="Q66"/>
  <c r="R66"/>
  <c r="A62"/>
  <c r="S62"/>
  <c r="Q62"/>
  <c r="R62"/>
  <c r="A58"/>
  <c r="S58"/>
  <c r="Q58"/>
  <c r="R58"/>
  <c r="A54"/>
  <c r="S54"/>
  <c r="Q54"/>
  <c r="R54"/>
  <c r="A50"/>
  <c r="S50"/>
  <c r="Q50"/>
  <c r="R50"/>
  <c r="A46"/>
  <c r="S46"/>
  <c r="Q46"/>
  <c r="R46"/>
  <c r="A42"/>
  <c r="S42"/>
  <c r="Q42"/>
  <c r="R42"/>
  <c r="A38"/>
  <c r="S38"/>
  <c r="Q38"/>
  <c r="R38"/>
  <c r="A34"/>
  <c r="S34"/>
  <c r="Q34"/>
  <c r="R34"/>
  <c r="A30"/>
  <c r="S30"/>
  <c r="Q30"/>
  <c r="R30"/>
  <c r="A26"/>
  <c r="S26"/>
  <c r="Q26"/>
  <c r="R26"/>
  <c r="A77"/>
  <c r="Q77"/>
  <c r="R77"/>
  <c r="S77"/>
  <c r="A982"/>
  <c r="R982"/>
  <c r="S982"/>
  <c r="Q982"/>
  <c r="A970"/>
  <c r="R970"/>
  <c r="S970"/>
  <c r="Q970"/>
  <c r="A958"/>
  <c r="R958"/>
  <c r="S958"/>
  <c r="Q958"/>
  <c r="A946"/>
  <c r="R946"/>
  <c r="S946"/>
  <c r="Q946"/>
  <c r="A930"/>
  <c r="R930"/>
  <c r="S930"/>
  <c r="Q930"/>
  <c r="A913"/>
  <c r="R913"/>
  <c r="S913"/>
  <c r="Q913"/>
  <c r="A901"/>
  <c r="R901"/>
  <c r="S901"/>
  <c r="Q901"/>
  <c r="A884"/>
  <c r="S884"/>
  <c r="R884"/>
  <c r="Q884"/>
  <c r="A872"/>
  <c r="S872"/>
  <c r="Q872"/>
  <c r="R872"/>
  <c r="A860"/>
  <c r="S860"/>
  <c r="Q860"/>
  <c r="R860"/>
  <c r="A131"/>
  <c r="Q131"/>
  <c r="R131"/>
  <c r="S131"/>
  <c r="A715"/>
  <c r="S715"/>
  <c r="Q715"/>
  <c r="R715"/>
  <c r="A713"/>
  <c r="S713"/>
  <c r="Q713"/>
  <c r="R713"/>
  <c r="A480"/>
  <c r="S480"/>
  <c r="Q480"/>
  <c r="R480"/>
  <c r="A468"/>
  <c r="S468"/>
  <c r="Q468"/>
  <c r="R468"/>
  <c r="A456"/>
  <c r="S456"/>
  <c r="Q456"/>
  <c r="R456"/>
  <c r="A440"/>
  <c r="Q440"/>
  <c r="R440"/>
  <c r="S440"/>
  <c r="A432"/>
  <c r="S432"/>
  <c r="Q432"/>
  <c r="R432"/>
  <c r="A410"/>
  <c r="S410"/>
  <c r="Q410"/>
  <c r="R410"/>
  <c r="A394"/>
  <c r="S394"/>
  <c r="Q394"/>
  <c r="R394"/>
  <c r="A374"/>
  <c r="S374"/>
  <c r="R374"/>
  <c r="Q374"/>
  <c r="A361"/>
  <c r="Q361"/>
  <c r="S361"/>
  <c r="R361"/>
  <c r="A349"/>
  <c r="Q349"/>
  <c r="S349"/>
  <c r="R349"/>
  <c r="A336"/>
  <c r="S336"/>
  <c r="Q336"/>
  <c r="R336"/>
  <c r="A319"/>
  <c r="Q319"/>
  <c r="R319"/>
  <c r="S319"/>
  <c r="A306"/>
  <c r="S306"/>
  <c r="Q306"/>
  <c r="R306"/>
  <c r="A289"/>
  <c r="Q289"/>
  <c r="R289"/>
  <c r="S289"/>
  <c r="A277"/>
  <c r="Q277"/>
  <c r="R277"/>
  <c r="S277"/>
  <c r="A273"/>
  <c r="Q273"/>
  <c r="R273"/>
  <c r="S273"/>
  <c r="A265"/>
  <c r="Q265"/>
  <c r="R265"/>
  <c r="S265"/>
  <c r="A252"/>
  <c r="S252"/>
  <c r="Q252"/>
  <c r="R252"/>
  <c r="A240"/>
  <c r="S240"/>
  <c r="Q240"/>
  <c r="R240"/>
  <c r="A228"/>
  <c r="S228"/>
  <c r="Q228"/>
  <c r="R228"/>
  <c r="A216"/>
  <c r="Q216"/>
  <c r="S216"/>
  <c r="R216"/>
  <c r="A702"/>
  <c r="Q702"/>
  <c r="R702"/>
  <c r="S702"/>
  <c r="A690"/>
  <c r="Q690"/>
  <c r="R690"/>
  <c r="S690"/>
  <c r="A678"/>
  <c r="Q678"/>
  <c r="R678"/>
  <c r="S678"/>
  <c r="A68"/>
  <c r="S68"/>
  <c r="Q68"/>
  <c r="R68"/>
  <c r="A56"/>
  <c r="S56"/>
  <c r="Q56"/>
  <c r="R56"/>
  <c r="A40"/>
  <c r="S40"/>
  <c r="Q40"/>
  <c r="R40"/>
  <c r="A28"/>
  <c r="S28"/>
  <c r="Q28"/>
  <c r="R28"/>
  <c r="A987"/>
  <c r="Q987"/>
  <c r="R987"/>
  <c r="S987"/>
  <c r="A983"/>
  <c r="Q983"/>
  <c r="R983"/>
  <c r="S983"/>
  <c r="A979"/>
  <c r="Q979"/>
  <c r="R979"/>
  <c r="S979"/>
  <c r="A975"/>
  <c r="Q975"/>
  <c r="R975"/>
  <c r="S975"/>
  <c r="A971"/>
  <c r="Q971"/>
  <c r="R971"/>
  <c r="S971"/>
  <c r="A967"/>
  <c r="Q967"/>
  <c r="R967"/>
  <c r="S967"/>
  <c r="A963"/>
  <c r="Q963"/>
  <c r="R963"/>
  <c r="S963"/>
  <c r="A959"/>
  <c r="Q959"/>
  <c r="R959"/>
  <c r="S959"/>
  <c r="A955"/>
  <c r="Q955"/>
  <c r="R955"/>
  <c r="S955"/>
  <c r="A951"/>
  <c r="Q951"/>
  <c r="R951"/>
  <c r="S951"/>
  <c r="A947"/>
  <c r="Q947"/>
  <c r="R947"/>
  <c r="S947"/>
  <c r="A943"/>
  <c r="Q943"/>
  <c r="R943"/>
  <c r="S943"/>
  <c r="A939"/>
  <c r="Q939"/>
  <c r="R939"/>
  <c r="S939"/>
  <c r="A935"/>
  <c r="Q935"/>
  <c r="R935"/>
  <c r="S935"/>
  <c r="A931"/>
  <c r="Q931"/>
  <c r="R931"/>
  <c r="S931"/>
  <c r="A927"/>
  <c r="Q927"/>
  <c r="R927"/>
  <c r="S927"/>
  <c r="A918"/>
  <c r="Q918"/>
  <c r="R918"/>
  <c r="S918"/>
  <c r="A914"/>
  <c r="Q914"/>
  <c r="R914"/>
  <c r="S914"/>
  <c r="A910"/>
  <c r="Q910"/>
  <c r="R910"/>
  <c r="S910"/>
  <c r="A906"/>
  <c r="Q906"/>
  <c r="R906"/>
  <c r="S906"/>
  <c r="A902"/>
  <c r="Q902"/>
  <c r="R902"/>
  <c r="S902"/>
  <c r="A897"/>
  <c r="Q897"/>
  <c r="R897"/>
  <c r="S897"/>
  <c r="A893"/>
  <c r="Q893"/>
  <c r="R893"/>
  <c r="S893"/>
  <c r="A889"/>
  <c r="Q889"/>
  <c r="S889"/>
  <c r="R889"/>
  <c r="A881"/>
  <c r="Q881"/>
  <c r="R881"/>
  <c r="S881"/>
  <c r="A877"/>
  <c r="Q877"/>
  <c r="R877"/>
  <c r="S877"/>
  <c r="A873"/>
  <c r="Q873"/>
  <c r="R873"/>
  <c r="S873"/>
  <c r="A869"/>
  <c r="Q869"/>
  <c r="R869"/>
  <c r="S869"/>
  <c r="A865"/>
  <c r="Q865"/>
  <c r="R865"/>
  <c r="S865"/>
  <c r="A861"/>
  <c r="Q861"/>
  <c r="R861"/>
  <c r="S861"/>
  <c r="A846"/>
  <c r="Q846"/>
  <c r="R846"/>
  <c r="S846"/>
  <c r="A815"/>
  <c r="Q815"/>
  <c r="R815"/>
  <c r="S815"/>
  <c r="A132"/>
  <c r="R132"/>
  <c r="S132"/>
  <c r="Q132"/>
  <c r="A725"/>
  <c r="Q725"/>
  <c r="R725"/>
  <c r="S725"/>
  <c r="A720"/>
  <c r="Q720"/>
  <c r="R720"/>
  <c r="S720"/>
  <c r="A716"/>
  <c r="Q716"/>
  <c r="R716"/>
  <c r="S716"/>
  <c r="A729"/>
  <c r="Q729"/>
  <c r="R729"/>
  <c r="S729"/>
  <c r="A408"/>
  <c r="S408"/>
  <c r="Q408"/>
  <c r="R408"/>
  <c r="A710"/>
  <c r="Q710"/>
  <c r="R710"/>
  <c r="S710"/>
  <c r="A706"/>
  <c r="Q706"/>
  <c r="R706"/>
  <c r="S706"/>
  <c r="A481"/>
  <c r="Q481"/>
  <c r="R481"/>
  <c r="S481"/>
  <c r="A477"/>
  <c r="Q477"/>
  <c r="R477"/>
  <c r="S477"/>
  <c r="A473"/>
  <c r="Q473"/>
  <c r="R473"/>
  <c r="S473"/>
  <c r="A469"/>
  <c r="Q469"/>
  <c r="R469"/>
  <c r="S469"/>
  <c r="A465"/>
  <c r="Q465"/>
  <c r="R465"/>
  <c r="S465"/>
  <c r="A461"/>
  <c r="Q461"/>
  <c r="R461"/>
  <c r="S461"/>
  <c r="A457"/>
  <c r="Q457"/>
  <c r="R457"/>
  <c r="S457"/>
  <c r="A453"/>
  <c r="Q453"/>
  <c r="R453"/>
  <c r="S453"/>
  <c r="A449"/>
  <c r="Q449"/>
  <c r="R449"/>
  <c r="S449"/>
  <c r="A441"/>
  <c r="R441"/>
  <c r="S441"/>
  <c r="Q441"/>
  <c r="A437"/>
  <c r="Q437"/>
  <c r="R437"/>
  <c r="S437"/>
  <c r="A433"/>
  <c r="Q433"/>
  <c r="R433"/>
  <c r="S433"/>
  <c r="A424"/>
  <c r="S424"/>
  <c r="Q424"/>
  <c r="R424"/>
  <c r="A420"/>
  <c r="S420"/>
  <c r="Q420"/>
  <c r="R420"/>
  <c r="A415"/>
  <c r="Q415"/>
  <c r="R415"/>
  <c r="S415"/>
  <c r="A411"/>
  <c r="Q411"/>
  <c r="R411"/>
  <c r="S411"/>
  <c r="A401"/>
  <c r="Q401"/>
  <c r="R401"/>
  <c r="S401"/>
  <c r="A378"/>
  <c r="S378"/>
  <c r="Q378"/>
  <c r="R378"/>
  <c r="A395"/>
  <c r="Q395"/>
  <c r="R395"/>
  <c r="S395"/>
  <c r="A391"/>
  <c r="Q391"/>
  <c r="R391"/>
  <c r="S391"/>
  <c r="A387"/>
  <c r="Q387"/>
  <c r="R387"/>
  <c r="S387"/>
  <c r="A383"/>
  <c r="Q383"/>
  <c r="R383"/>
  <c r="S383"/>
  <c r="A379"/>
  <c r="Q379"/>
  <c r="R379"/>
  <c r="S379"/>
  <c r="A371"/>
  <c r="Q371"/>
  <c r="R371"/>
  <c r="S371"/>
  <c r="A367"/>
  <c r="Q367"/>
  <c r="R367"/>
  <c r="S367"/>
  <c r="A362"/>
  <c r="S362"/>
  <c r="Q362"/>
  <c r="R362"/>
  <c r="A358"/>
  <c r="S358"/>
  <c r="Q358"/>
  <c r="R358"/>
  <c r="A354"/>
  <c r="S354"/>
  <c r="Q354"/>
  <c r="R354"/>
  <c r="A350"/>
  <c r="S350"/>
  <c r="Q350"/>
  <c r="R350"/>
  <c r="A346"/>
  <c r="S346"/>
  <c r="Q346"/>
  <c r="R346"/>
  <c r="A342"/>
  <c r="S342"/>
  <c r="Q342"/>
  <c r="R342"/>
  <c r="A338"/>
  <c r="S338"/>
  <c r="Q338"/>
  <c r="R338"/>
  <c r="A334"/>
  <c r="S334"/>
  <c r="Q334"/>
  <c r="R334"/>
  <c r="A327"/>
  <c r="Q327"/>
  <c r="R327"/>
  <c r="S327"/>
  <c r="A323"/>
  <c r="Q323"/>
  <c r="R323"/>
  <c r="S323"/>
  <c r="A316"/>
  <c r="S316"/>
  <c r="Q316"/>
  <c r="R316"/>
  <c r="A312"/>
  <c r="S312"/>
  <c r="Q312"/>
  <c r="R312"/>
  <c r="A307"/>
  <c r="Q307"/>
  <c r="R307"/>
  <c r="S307"/>
  <c r="A302"/>
  <c r="S302"/>
  <c r="Q302"/>
  <c r="R302"/>
  <c r="A300"/>
  <c r="S300"/>
  <c r="Q300"/>
  <c r="R300"/>
  <c r="A295"/>
  <c r="Q295"/>
  <c r="R295"/>
  <c r="S295"/>
  <c r="A291"/>
  <c r="Q291"/>
  <c r="R291"/>
  <c r="S291"/>
  <c r="A286"/>
  <c r="S286"/>
  <c r="Q286"/>
  <c r="R286"/>
  <c r="A282"/>
  <c r="S282"/>
  <c r="Q282"/>
  <c r="R282"/>
  <c r="A278"/>
  <c r="S278"/>
  <c r="Q278"/>
  <c r="R278"/>
  <c r="A274"/>
  <c r="S274"/>
  <c r="Q274"/>
  <c r="R274"/>
  <c r="A270"/>
  <c r="S270"/>
  <c r="Q270"/>
  <c r="R270"/>
  <c r="A266"/>
  <c r="S266"/>
  <c r="Q266"/>
  <c r="R266"/>
  <c r="A262"/>
  <c r="S262"/>
  <c r="Q262"/>
  <c r="R262"/>
  <c r="A258"/>
  <c r="S258"/>
  <c r="Q258"/>
  <c r="R258"/>
  <c r="A253"/>
  <c r="Q253"/>
  <c r="R253"/>
  <c r="S253"/>
  <c r="A249"/>
  <c r="Q249"/>
  <c r="R249"/>
  <c r="S249"/>
  <c r="A245"/>
  <c r="Q245"/>
  <c r="R245"/>
  <c r="S245"/>
  <c r="A241"/>
  <c r="Q241"/>
  <c r="R241"/>
  <c r="S241"/>
  <c r="A237"/>
  <c r="Q237"/>
  <c r="R237"/>
  <c r="S237"/>
  <c r="A233"/>
  <c r="Q233"/>
  <c r="R233"/>
  <c r="S233"/>
  <c r="A229"/>
  <c r="Q229"/>
  <c r="R229"/>
  <c r="S229"/>
  <c r="A225"/>
  <c r="Q225"/>
  <c r="R225"/>
  <c r="S225"/>
  <c r="A221"/>
  <c r="Q221"/>
  <c r="R221"/>
  <c r="S221"/>
  <c r="A217"/>
  <c r="S217"/>
  <c r="R217"/>
  <c r="Q217"/>
  <c r="A213"/>
  <c r="S213"/>
  <c r="Q213"/>
  <c r="R213"/>
  <c r="A209"/>
  <c r="S209"/>
  <c r="Q209"/>
  <c r="R209"/>
  <c r="A205"/>
  <c r="S205"/>
  <c r="Q205"/>
  <c r="R205"/>
  <c r="A699"/>
  <c r="S699"/>
  <c r="Q699"/>
  <c r="R699"/>
  <c r="A695"/>
  <c r="S695"/>
  <c r="Q695"/>
  <c r="R695"/>
  <c r="A691"/>
  <c r="S691"/>
  <c r="Q691"/>
  <c r="R691"/>
  <c r="A687"/>
  <c r="S687"/>
  <c r="Q687"/>
  <c r="R687"/>
  <c r="A683"/>
  <c r="S683"/>
  <c r="Q683"/>
  <c r="R683"/>
  <c r="A679"/>
  <c r="S679"/>
  <c r="Q679"/>
  <c r="R679"/>
  <c r="A73"/>
  <c r="Q73"/>
  <c r="R73"/>
  <c r="S73"/>
  <c r="A69"/>
  <c r="Q69"/>
  <c r="R69"/>
  <c r="S69"/>
  <c r="A65"/>
  <c r="Q65"/>
  <c r="R65"/>
  <c r="S65"/>
  <c r="A61"/>
  <c r="Q61"/>
  <c r="R61"/>
  <c r="S61"/>
  <c r="A57"/>
  <c r="Q57"/>
  <c r="R57"/>
  <c r="S57"/>
  <c r="A53"/>
  <c r="Q53"/>
  <c r="R53"/>
  <c r="S53"/>
  <c r="A49"/>
  <c r="Q49"/>
  <c r="R49"/>
  <c r="S49"/>
  <c r="A45"/>
  <c r="Q45"/>
  <c r="R45"/>
  <c r="S45"/>
  <c r="A41"/>
  <c r="Q41"/>
  <c r="R41"/>
  <c r="S41"/>
  <c r="A37"/>
  <c r="Q37"/>
  <c r="R37"/>
  <c r="S37"/>
  <c r="A33"/>
  <c r="Q33"/>
  <c r="R33"/>
  <c r="S33"/>
  <c r="A29"/>
  <c r="Q29"/>
  <c r="R29"/>
  <c r="S29"/>
  <c r="A25"/>
  <c r="Q25"/>
  <c r="R25"/>
  <c r="S25"/>
  <c r="A76"/>
  <c r="S76"/>
  <c r="Q76"/>
  <c r="R76"/>
  <c r="M203"/>
  <c r="C203"/>
  <c r="AD203" s="1"/>
  <c r="M186"/>
  <c r="M184"/>
  <c r="C186"/>
  <c r="AD186" s="1"/>
  <c r="M185"/>
  <c r="C185"/>
  <c r="AD185" s="1"/>
  <c r="C184"/>
  <c r="AD184" s="1"/>
  <c r="J115"/>
  <c r="B186" l="1"/>
  <c r="B185"/>
  <c r="B203"/>
  <c r="B184"/>
  <c r="M100"/>
  <c r="M101"/>
  <c r="M102"/>
  <c r="M103"/>
  <c r="M99"/>
  <c r="A203" l="1"/>
  <c r="S203"/>
  <c r="Q203"/>
  <c r="R203"/>
  <c r="A185"/>
  <c r="S185"/>
  <c r="Q185"/>
  <c r="R185"/>
  <c r="A186"/>
  <c r="Q186"/>
  <c r="R186"/>
  <c r="S186"/>
  <c r="A184"/>
  <c r="Q184"/>
  <c r="R184"/>
  <c r="S184"/>
  <c r="C445"/>
  <c r="AD445" s="1"/>
  <c r="C446"/>
  <c r="AD446" s="1"/>
  <c r="M445"/>
  <c r="M244"/>
  <c r="M243"/>
  <c r="M443"/>
  <c r="M444"/>
  <c r="M447"/>
  <c r="M376"/>
  <c r="M377"/>
  <c r="M425"/>
  <c r="M426"/>
  <c r="M427"/>
  <c r="M428"/>
  <c r="M403"/>
  <c r="M404"/>
  <c r="M405"/>
  <c r="M406"/>
  <c r="C404"/>
  <c r="AD404" s="1"/>
  <c r="C405"/>
  <c r="AD405" s="1"/>
  <c r="C406"/>
  <c r="AD406" s="1"/>
  <c r="C407"/>
  <c r="AD407" s="1"/>
  <c r="C425"/>
  <c r="AD425" s="1"/>
  <c r="C426"/>
  <c r="AD426" s="1"/>
  <c r="C427"/>
  <c r="AD427" s="1"/>
  <c r="C428"/>
  <c r="AD428" s="1"/>
  <c r="C429"/>
  <c r="AD429" s="1"/>
  <c r="C376"/>
  <c r="AD376" s="1"/>
  <c r="C377"/>
  <c r="AD377" s="1"/>
  <c r="C443"/>
  <c r="AD443" s="1"/>
  <c r="C444"/>
  <c r="AD444" s="1"/>
  <c r="C403"/>
  <c r="AD403" s="1"/>
  <c r="B376" l="1"/>
  <c r="B443"/>
  <c r="B403"/>
  <c r="B426"/>
  <c r="B405"/>
  <c r="B444"/>
  <c r="B429"/>
  <c r="B425"/>
  <c r="B404"/>
  <c r="B428"/>
  <c r="B446"/>
  <c r="B407"/>
  <c r="B377"/>
  <c r="B427"/>
  <c r="B406"/>
  <c r="B445"/>
  <c r="A406" l="1"/>
  <c r="S406"/>
  <c r="Q406"/>
  <c r="R406"/>
  <c r="A446"/>
  <c r="R446"/>
  <c r="S446"/>
  <c r="Q446"/>
  <c r="A429"/>
  <c r="Q429"/>
  <c r="R429"/>
  <c r="S429"/>
  <c r="A403"/>
  <c r="Q403"/>
  <c r="R403"/>
  <c r="S403"/>
  <c r="A427"/>
  <c r="Q427"/>
  <c r="R427"/>
  <c r="S427"/>
  <c r="A428"/>
  <c r="S428"/>
  <c r="Q428"/>
  <c r="R428"/>
  <c r="A444"/>
  <c r="S444"/>
  <c r="Q444"/>
  <c r="R444"/>
  <c r="A443"/>
  <c r="R443"/>
  <c r="Q443"/>
  <c r="S443"/>
  <c r="A377"/>
  <c r="Q377"/>
  <c r="R377"/>
  <c r="S377"/>
  <c r="A404"/>
  <c r="S404"/>
  <c r="Q404"/>
  <c r="R404"/>
  <c r="A405"/>
  <c r="Q405"/>
  <c r="R405"/>
  <c r="S405"/>
  <c r="A376"/>
  <c r="S376"/>
  <c r="Q376"/>
  <c r="R376"/>
  <c r="A445"/>
  <c r="R445"/>
  <c r="S445"/>
  <c r="Q445"/>
  <c r="A407"/>
  <c r="Q407"/>
  <c r="R407"/>
  <c r="S407"/>
  <c r="A425"/>
  <c r="Q425"/>
  <c r="R425"/>
  <c r="S425"/>
  <c r="A426"/>
  <c r="S426"/>
  <c r="Q426"/>
  <c r="R426"/>
  <c r="U11"/>
  <c r="U12"/>
  <c r="U13"/>
  <c r="U14"/>
  <c r="U15"/>
  <c r="U16"/>
  <c r="U17"/>
  <c r="U18"/>
  <c r="U19"/>
  <c r="U10"/>
  <c r="V11"/>
  <c r="V12"/>
  <c r="V13"/>
  <c r="V14"/>
  <c r="V15"/>
  <c r="V16"/>
  <c r="V17"/>
  <c r="V18"/>
  <c r="V19"/>
  <c r="V10"/>
  <c r="T11"/>
  <c r="T12"/>
  <c r="T13"/>
  <c r="T14"/>
  <c r="T15"/>
  <c r="T16"/>
  <c r="T17"/>
  <c r="T18"/>
  <c r="T19"/>
  <c r="T10"/>
  <c r="I6" i="43"/>
  <c r="M430" i="34"/>
  <c r="M431"/>
  <c r="M432"/>
  <c r="M433"/>
  <c r="M434"/>
  <c r="M435"/>
  <c r="M436"/>
  <c r="M437"/>
  <c r="M466"/>
  <c r="M378"/>
  <c r="M452"/>
  <c r="M453"/>
  <c r="M454"/>
  <c r="M455"/>
  <c r="M424"/>
  <c r="M450"/>
  <c r="M375"/>
  <c r="M442"/>
  <c r="M402"/>
  <c r="U900" l="1"/>
  <c r="V900"/>
  <c r="T900"/>
  <c r="T869"/>
  <c r="T901"/>
  <c r="U912"/>
  <c r="V904"/>
  <c r="T879"/>
  <c r="V915"/>
  <c r="T907"/>
  <c r="U894"/>
  <c r="V882"/>
  <c r="T878"/>
  <c r="V914"/>
  <c r="T910"/>
  <c r="U906"/>
  <c r="V897"/>
  <c r="T893"/>
  <c r="U889"/>
  <c r="V877"/>
  <c r="T873"/>
  <c r="V913"/>
  <c r="T892"/>
  <c r="U884"/>
  <c r="V880"/>
  <c r="T909"/>
  <c r="U925"/>
  <c r="V895"/>
  <c r="T916"/>
  <c r="U908"/>
  <c r="V899"/>
  <c r="T875"/>
  <c r="V924"/>
  <c r="T911"/>
  <c r="U890"/>
  <c r="V874"/>
  <c r="T917"/>
  <c r="U901"/>
  <c r="V912"/>
  <c r="T891"/>
  <c r="U879"/>
  <c r="T915"/>
  <c r="U903"/>
  <c r="V894"/>
  <c r="T882"/>
  <c r="V918"/>
  <c r="T914"/>
  <c r="U910"/>
  <c r="V902"/>
  <c r="T897"/>
  <c r="U893"/>
  <c r="V881"/>
  <c r="T877"/>
  <c r="U873"/>
  <c r="T905"/>
  <c r="U892"/>
  <c r="V884"/>
  <c r="T876"/>
  <c r="U909"/>
  <c r="V925"/>
  <c r="T896"/>
  <c r="U916"/>
  <c r="V908"/>
  <c r="T883"/>
  <c r="U875"/>
  <c r="T924"/>
  <c r="U898"/>
  <c r="V890"/>
  <c r="T874"/>
  <c r="U917"/>
  <c r="V901"/>
  <c r="T904"/>
  <c r="U891"/>
  <c r="V879"/>
  <c r="U907"/>
  <c r="V903"/>
  <c r="T894"/>
  <c r="U878"/>
  <c r="T918"/>
  <c r="U914"/>
  <c r="V906"/>
  <c r="T902"/>
  <c r="U897"/>
  <c r="V889"/>
  <c r="T881"/>
  <c r="U877"/>
  <c r="T913"/>
  <c r="U905"/>
  <c r="V892"/>
  <c r="T880"/>
  <c r="U876"/>
  <c r="V909"/>
  <c r="T895"/>
  <c r="U896"/>
  <c r="V916"/>
  <c r="T899"/>
  <c r="U883"/>
  <c r="V875"/>
  <c r="U911"/>
  <c r="V898"/>
  <c r="T890"/>
  <c r="V917"/>
  <c r="T912"/>
  <c r="U904"/>
  <c r="V891"/>
  <c r="U915"/>
  <c r="V907"/>
  <c r="T903"/>
  <c r="U882"/>
  <c r="V878"/>
  <c r="U918"/>
  <c r="V910"/>
  <c r="T906"/>
  <c r="U902"/>
  <c r="V893"/>
  <c r="T889"/>
  <c r="U881"/>
  <c r="V873"/>
  <c r="U913"/>
  <c r="V905"/>
  <c r="T884"/>
  <c r="U880"/>
  <c r="V876"/>
  <c r="T925"/>
  <c r="U895"/>
  <c r="V896"/>
  <c r="T908"/>
  <c r="U899"/>
  <c r="V883"/>
  <c r="U924"/>
  <c r="V911"/>
  <c r="T898"/>
  <c r="U874"/>
  <c r="V871"/>
  <c r="U872"/>
  <c r="T870"/>
  <c r="V872"/>
  <c r="U870"/>
  <c r="T871"/>
  <c r="V870"/>
  <c r="U871"/>
  <c r="T872"/>
  <c r="U869"/>
  <c r="U866"/>
  <c r="T865"/>
  <c r="T867"/>
  <c r="U864"/>
  <c r="V869"/>
  <c r="V866"/>
  <c r="V868"/>
  <c r="U867"/>
  <c r="V864"/>
  <c r="U865"/>
  <c r="T868"/>
  <c r="V867"/>
  <c r="T866"/>
  <c r="V865"/>
  <c r="U868"/>
  <c r="T864"/>
  <c r="U233"/>
  <c r="T234"/>
  <c r="V236"/>
  <c r="U237"/>
  <c r="T238"/>
  <c r="V251"/>
  <c r="U252"/>
  <c r="V260"/>
  <c r="V263"/>
  <c r="U264"/>
  <c r="T265"/>
  <c r="T269"/>
  <c r="V279"/>
  <c r="U280"/>
  <c r="U296"/>
  <c r="T301"/>
  <c r="V303"/>
  <c r="U304"/>
  <c r="T305"/>
  <c r="V307"/>
  <c r="U308"/>
  <c r="T309"/>
  <c r="T313"/>
  <c r="V315"/>
  <c r="U316"/>
  <c r="T317"/>
  <c r="V319"/>
  <c r="U323"/>
  <c r="T324"/>
  <c r="V326"/>
  <c r="U327"/>
  <c r="T329"/>
  <c r="U333"/>
  <c r="U340"/>
  <c r="T346"/>
  <c r="V348"/>
  <c r="U349"/>
  <c r="T350"/>
  <c r="V352"/>
  <c r="U353"/>
  <c r="T354"/>
  <c r="T371"/>
  <c r="V373"/>
  <c r="U374"/>
  <c r="T384"/>
  <c r="V386"/>
  <c r="U387"/>
  <c r="T388"/>
  <c r="V390"/>
  <c r="U391"/>
  <c r="T392"/>
  <c r="V394"/>
  <c r="U395"/>
  <c r="T396"/>
  <c r="V401"/>
  <c r="U402"/>
  <c r="T403"/>
  <c r="T404"/>
  <c r="T405"/>
  <c r="T406"/>
  <c r="V411"/>
  <c r="U412"/>
  <c r="T413"/>
  <c r="V424"/>
  <c r="U425"/>
  <c r="U426"/>
  <c r="U427"/>
  <c r="U428"/>
  <c r="U430"/>
  <c r="T431"/>
  <c r="V433"/>
  <c r="U434"/>
  <c r="T435"/>
  <c r="V437"/>
  <c r="U441"/>
  <c r="U451"/>
  <c r="T460"/>
  <c r="T463"/>
  <c r="V465"/>
  <c r="U466"/>
  <c r="V469"/>
  <c r="V499"/>
  <c r="V233"/>
  <c r="U234"/>
  <c r="T235"/>
  <c r="V237"/>
  <c r="U238"/>
  <c r="T239"/>
  <c r="V252"/>
  <c r="V264"/>
  <c r="U265"/>
  <c r="T266"/>
  <c r="U269"/>
  <c r="T278"/>
  <c r="V280"/>
  <c r="V296"/>
  <c r="U301"/>
  <c r="T302"/>
  <c r="V304"/>
  <c r="U305"/>
  <c r="T306"/>
  <c r="V308"/>
  <c r="U309"/>
  <c r="T310"/>
  <c r="U313"/>
  <c r="T314"/>
  <c r="V316"/>
  <c r="U317"/>
  <c r="T318"/>
  <c r="V323"/>
  <c r="U324"/>
  <c r="T325"/>
  <c r="V327"/>
  <c r="U329"/>
  <c r="V333"/>
  <c r="V340"/>
  <c r="U346"/>
  <c r="T347"/>
  <c r="V349"/>
  <c r="U350"/>
  <c r="T351"/>
  <c r="V353"/>
  <c r="U354"/>
  <c r="U371"/>
  <c r="T372"/>
  <c r="V374"/>
  <c r="U384"/>
  <c r="T385"/>
  <c r="V387"/>
  <c r="U388"/>
  <c r="T389"/>
  <c r="V391"/>
  <c r="U392"/>
  <c r="T393"/>
  <c r="V395"/>
  <c r="U396"/>
  <c r="T400"/>
  <c r="V402"/>
  <c r="U403"/>
  <c r="U404"/>
  <c r="U405"/>
  <c r="U406"/>
  <c r="V412"/>
  <c r="U413"/>
  <c r="T414"/>
  <c r="V234"/>
  <c r="U235"/>
  <c r="T236"/>
  <c r="V238"/>
  <c r="U239"/>
  <c r="T251"/>
  <c r="T260"/>
  <c r="T263"/>
  <c r="V265"/>
  <c r="U266"/>
  <c r="V269"/>
  <c r="U278"/>
  <c r="T279"/>
  <c r="V301"/>
  <c r="U302"/>
  <c r="T303"/>
  <c r="V305"/>
  <c r="U306"/>
  <c r="T307"/>
  <c r="V309"/>
  <c r="U310"/>
  <c r="V313"/>
  <c r="U314"/>
  <c r="T315"/>
  <c r="V317"/>
  <c r="U318"/>
  <c r="T319"/>
  <c r="V324"/>
  <c r="U325"/>
  <c r="T326"/>
  <c r="V329"/>
  <c r="V346"/>
  <c r="U347"/>
  <c r="T348"/>
  <c r="V350"/>
  <c r="U351"/>
  <c r="T352"/>
  <c r="V354"/>
  <c r="V371"/>
  <c r="U372"/>
  <c r="T373"/>
  <c r="V384"/>
  <c r="U385"/>
  <c r="T386"/>
  <c r="V388"/>
  <c r="U389"/>
  <c r="T390"/>
  <c r="V392"/>
  <c r="U393"/>
  <c r="T394"/>
  <c r="V396"/>
  <c r="U400"/>
  <c r="T401"/>
  <c r="V403"/>
  <c r="V404"/>
  <c r="V405"/>
  <c r="V406"/>
  <c r="T411"/>
  <c r="V413"/>
  <c r="U414"/>
  <c r="T424"/>
  <c r="V431"/>
  <c r="U432"/>
  <c r="T233"/>
  <c r="V235"/>
  <c r="U236"/>
  <c r="T237"/>
  <c r="V239"/>
  <c r="U251"/>
  <c r="T252"/>
  <c r="U260"/>
  <c r="U263"/>
  <c r="T264"/>
  <c r="V266"/>
  <c r="V278"/>
  <c r="U279"/>
  <c r="T280"/>
  <c r="T296"/>
  <c r="V302"/>
  <c r="U303"/>
  <c r="T304"/>
  <c r="V306"/>
  <c r="U307"/>
  <c r="T308"/>
  <c r="V310"/>
  <c r="V314"/>
  <c r="U315"/>
  <c r="T316"/>
  <c r="V318"/>
  <c r="U319"/>
  <c r="T323"/>
  <c r="V325"/>
  <c r="U326"/>
  <c r="T327"/>
  <c r="T333"/>
  <c r="T340"/>
  <c r="V347"/>
  <c r="U348"/>
  <c r="T349"/>
  <c r="V351"/>
  <c r="U352"/>
  <c r="T353"/>
  <c r="V372"/>
  <c r="U373"/>
  <c r="T374"/>
  <c r="V385"/>
  <c r="U386"/>
  <c r="T387"/>
  <c r="V389"/>
  <c r="U390"/>
  <c r="T391"/>
  <c r="V393"/>
  <c r="U394"/>
  <c r="T395"/>
  <c r="V400"/>
  <c r="U401"/>
  <c r="T402"/>
  <c r="U411"/>
  <c r="T412"/>
  <c r="V414"/>
  <c r="U424"/>
  <c r="T425"/>
  <c r="T426"/>
  <c r="T427"/>
  <c r="T428"/>
  <c r="T430"/>
  <c r="V432"/>
  <c r="U433"/>
  <c r="T434"/>
  <c r="V436"/>
  <c r="U437"/>
  <c r="T441"/>
  <c r="T451"/>
  <c r="V426"/>
  <c r="V428"/>
  <c r="T432"/>
  <c r="V441"/>
  <c r="V457"/>
  <c r="U463"/>
  <c r="T464"/>
  <c r="U469"/>
  <c r="V500"/>
  <c r="U501"/>
  <c r="V518"/>
  <c r="U519"/>
  <c r="T520"/>
  <c r="V522"/>
  <c r="U523"/>
  <c r="T524"/>
  <c r="V526"/>
  <c r="U527"/>
  <c r="T528"/>
  <c r="V530"/>
  <c r="U531"/>
  <c r="T532"/>
  <c r="U535"/>
  <c r="T536"/>
  <c r="V538"/>
  <c r="U539"/>
  <c r="T540"/>
  <c r="V542"/>
  <c r="U543"/>
  <c r="T544"/>
  <c r="U547"/>
  <c r="T579"/>
  <c r="V581"/>
  <c r="U582"/>
  <c r="T583"/>
  <c r="V585"/>
  <c r="U586"/>
  <c r="T587"/>
  <c r="V589"/>
  <c r="U590"/>
  <c r="T591"/>
  <c r="V593"/>
  <c r="U594"/>
  <c r="T595"/>
  <c r="V597"/>
  <c r="U598"/>
  <c r="T599"/>
  <c r="V601"/>
  <c r="U602"/>
  <c r="T603"/>
  <c r="V624"/>
  <c r="U625"/>
  <c r="T626"/>
  <c r="V628"/>
  <c r="U629"/>
  <c r="T630"/>
  <c r="V636"/>
  <c r="U642"/>
  <c r="T643"/>
  <c r="V645"/>
  <c r="U646"/>
  <c r="T647"/>
  <c r="V649"/>
  <c r="T669"/>
  <c r="V671"/>
  <c r="V860"/>
  <c r="U861"/>
  <c r="T862"/>
  <c r="U862"/>
  <c r="T863"/>
  <c r="U431"/>
  <c r="U435"/>
  <c r="T436"/>
  <c r="T437"/>
  <c r="U460"/>
  <c r="T461"/>
  <c r="V463"/>
  <c r="U464"/>
  <c r="T465"/>
  <c r="T466"/>
  <c r="T494"/>
  <c r="V501"/>
  <c r="V519"/>
  <c r="U520"/>
  <c r="T521"/>
  <c r="V523"/>
  <c r="U524"/>
  <c r="T525"/>
  <c r="V527"/>
  <c r="U528"/>
  <c r="T529"/>
  <c r="V531"/>
  <c r="U532"/>
  <c r="V535"/>
  <c r="U536"/>
  <c r="T537"/>
  <c r="V539"/>
  <c r="U540"/>
  <c r="T541"/>
  <c r="V543"/>
  <c r="U544"/>
  <c r="T545"/>
  <c r="V547"/>
  <c r="U579"/>
  <c r="T580"/>
  <c r="V582"/>
  <c r="U583"/>
  <c r="T584"/>
  <c r="V586"/>
  <c r="U587"/>
  <c r="T588"/>
  <c r="V590"/>
  <c r="U591"/>
  <c r="T592"/>
  <c r="V594"/>
  <c r="U595"/>
  <c r="T596"/>
  <c r="V598"/>
  <c r="U599"/>
  <c r="T600"/>
  <c r="V602"/>
  <c r="U603"/>
  <c r="T604"/>
  <c r="T623"/>
  <c r="V625"/>
  <c r="U626"/>
  <c r="T627"/>
  <c r="V629"/>
  <c r="U630"/>
  <c r="T631"/>
  <c r="V642"/>
  <c r="U643"/>
  <c r="T644"/>
  <c r="V646"/>
  <c r="U647"/>
  <c r="T648"/>
  <c r="T666"/>
  <c r="U669"/>
  <c r="T670"/>
  <c r="V861"/>
  <c r="V425"/>
  <c r="V427"/>
  <c r="V430"/>
  <c r="V434"/>
  <c r="V435"/>
  <c r="U436"/>
  <c r="V451"/>
  <c r="T457"/>
  <c r="V460"/>
  <c r="U461"/>
  <c r="V464"/>
  <c r="U465"/>
  <c r="V466"/>
  <c r="U494"/>
  <c r="T499"/>
  <c r="T500"/>
  <c r="T518"/>
  <c r="V520"/>
  <c r="U521"/>
  <c r="T522"/>
  <c r="V524"/>
  <c r="U525"/>
  <c r="T526"/>
  <c r="V528"/>
  <c r="U529"/>
  <c r="T530"/>
  <c r="V532"/>
  <c r="V536"/>
  <c r="U537"/>
  <c r="T538"/>
  <c r="V540"/>
  <c r="U541"/>
  <c r="T542"/>
  <c r="V544"/>
  <c r="U545"/>
  <c r="V579"/>
  <c r="U580"/>
  <c r="T581"/>
  <c r="V583"/>
  <c r="U584"/>
  <c r="T585"/>
  <c r="V587"/>
  <c r="U588"/>
  <c r="T589"/>
  <c r="V591"/>
  <c r="U592"/>
  <c r="T593"/>
  <c r="V595"/>
  <c r="U596"/>
  <c r="T597"/>
  <c r="V599"/>
  <c r="U600"/>
  <c r="T601"/>
  <c r="V603"/>
  <c r="U604"/>
  <c r="U623"/>
  <c r="T624"/>
  <c r="V626"/>
  <c r="U627"/>
  <c r="T628"/>
  <c r="V630"/>
  <c r="U631"/>
  <c r="T636"/>
  <c r="V643"/>
  <c r="U644"/>
  <c r="T645"/>
  <c r="V647"/>
  <c r="U648"/>
  <c r="T649"/>
  <c r="U666"/>
  <c r="V669"/>
  <c r="U670"/>
  <c r="T671"/>
  <c r="T860"/>
  <c r="V862"/>
  <c r="U863"/>
  <c r="T861"/>
  <c r="T433"/>
  <c r="U457"/>
  <c r="V461"/>
  <c r="T469"/>
  <c r="V494"/>
  <c r="U499"/>
  <c r="U500"/>
  <c r="T501"/>
  <c r="U518"/>
  <c r="T519"/>
  <c r="V521"/>
  <c r="U522"/>
  <c r="T523"/>
  <c r="V525"/>
  <c r="U526"/>
  <c r="T527"/>
  <c r="V529"/>
  <c r="U530"/>
  <c r="T531"/>
  <c r="T535"/>
  <c r="V537"/>
  <c r="U538"/>
  <c r="T539"/>
  <c r="V541"/>
  <c r="U542"/>
  <c r="T543"/>
  <c r="V545"/>
  <c r="T547"/>
  <c r="V580"/>
  <c r="U581"/>
  <c r="T582"/>
  <c r="V584"/>
  <c r="U585"/>
  <c r="T586"/>
  <c r="V588"/>
  <c r="U589"/>
  <c r="T590"/>
  <c r="V592"/>
  <c r="U593"/>
  <c r="T594"/>
  <c r="V596"/>
  <c r="U597"/>
  <c r="T598"/>
  <c r="V600"/>
  <c r="U601"/>
  <c r="T602"/>
  <c r="V604"/>
  <c r="V623"/>
  <c r="U624"/>
  <c r="T625"/>
  <c r="V627"/>
  <c r="U628"/>
  <c r="T629"/>
  <c r="V631"/>
  <c r="U636"/>
  <c r="T642"/>
  <c r="V644"/>
  <c r="U645"/>
  <c r="T646"/>
  <c r="V648"/>
  <c r="U649"/>
  <c r="V666"/>
  <c r="V670"/>
  <c r="U671"/>
  <c r="U860"/>
  <c r="V863"/>
  <c r="T661"/>
  <c r="T657"/>
  <c r="U657"/>
  <c r="V657"/>
  <c r="V616"/>
  <c r="T616"/>
  <c r="U612"/>
  <c r="U571"/>
  <c r="V571"/>
  <c r="T571"/>
  <c r="U664"/>
  <c r="V664"/>
  <c r="T664"/>
  <c r="T615"/>
  <c r="U611"/>
  <c r="V611"/>
  <c r="T574"/>
  <c r="U574"/>
  <c r="V574"/>
  <c r="T566"/>
  <c r="U566"/>
  <c r="V566"/>
  <c r="T659"/>
  <c r="U659"/>
  <c r="V659"/>
  <c r="U614"/>
  <c r="V614"/>
  <c r="U573"/>
  <c r="V573"/>
  <c r="T573"/>
  <c r="U662"/>
  <c r="V662"/>
  <c r="T662"/>
  <c r="U617"/>
  <c r="T617"/>
  <c r="V613"/>
  <c r="T576"/>
  <c r="U576"/>
  <c r="V576"/>
  <c r="U605"/>
  <c r="T605"/>
  <c r="V605"/>
  <c r="U661"/>
  <c r="V661"/>
  <c r="U616"/>
  <c r="T612"/>
  <c r="V612"/>
  <c r="U575"/>
  <c r="V575"/>
  <c r="T575"/>
  <c r="U567"/>
  <c r="V567"/>
  <c r="T567"/>
  <c r="U615"/>
  <c r="V615"/>
  <c r="T611"/>
  <c r="T578"/>
  <c r="U578"/>
  <c r="V578"/>
  <c r="T570"/>
  <c r="U570"/>
  <c r="V570"/>
  <c r="T663"/>
  <c r="U663"/>
  <c r="V663"/>
  <c r="U618"/>
  <c r="V618"/>
  <c r="T618"/>
  <c r="T614"/>
  <c r="U577"/>
  <c r="V577"/>
  <c r="T577"/>
  <c r="U569"/>
  <c r="V569"/>
  <c r="T569"/>
  <c r="U658"/>
  <c r="V658"/>
  <c r="T658"/>
  <c r="V617"/>
  <c r="U613"/>
  <c r="T613"/>
  <c r="T572"/>
  <c r="U572"/>
  <c r="V572"/>
  <c r="T418"/>
  <c r="U418"/>
  <c r="V418"/>
  <c r="U455"/>
  <c r="V455"/>
  <c r="T455"/>
  <c r="U417"/>
  <c r="V417"/>
  <c r="T417"/>
  <c r="V332"/>
  <c r="T332"/>
  <c r="U293"/>
  <c r="V293"/>
  <c r="T293"/>
  <c r="U375"/>
  <c r="V375"/>
  <c r="T375"/>
  <c r="T341"/>
  <c r="T244"/>
  <c r="U244"/>
  <c r="V244"/>
  <c r="T454"/>
  <c r="U454"/>
  <c r="V454"/>
  <c r="U343"/>
  <c r="V343"/>
  <c r="T343"/>
  <c r="T339"/>
  <c r="U335"/>
  <c r="V335"/>
  <c r="T246"/>
  <c r="U246"/>
  <c r="V246"/>
  <c r="V440"/>
  <c r="U336"/>
  <c r="V336"/>
  <c r="U216"/>
  <c r="T216"/>
  <c r="V216"/>
  <c r="U415"/>
  <c r="V415"/>
  <c r="T415"/>
  <c r="U383"/>
  <c r="V383"/>
  <c r="T383"/>
  <c r="U342"/>
  <c r="V342"/>
  <c r="V338"/>
  <c r="T338"/>
  <c r="U334"/>
  <c r="T334"/>
  <c r="U295"/>
  <c r="V295"/>
  <c r="T295"/>
  <c r="T262"/>
  <c r="U262"/>
  <c r="V262"/>
  <c r="T217"/>
  <c r="T452"/>
  <c r="U452"/>
  <c r="V452"/>
  <c r="T294"/>
  <c r="U294"/>
  <c r="V294"/>
  <c r="U447"/>
  <c r="V447"/>
  <c r="T447"/>
  <c r="U397"/>
  <c r="V397"/>
  <c r="T397"/>
  <c r="U332"/>
  <c r="U297"/>
  <c r="V297"/>
  <c r="T297"/>
  <c r="U243"/>
  <c r="V243"/>
  <c r="T243"/>
  <c r="U341"/>
  <c r="V341"/>
  <c r="T462"/>
  <c r="U462"/>
  <c r="V462"/>
  <c r="T450"/>
  <c r="U450"/>
  <c r="V450"/>
  <c r="T442"/>
  <c r="U442"/>
  <c r="V442"/>
  <c r="T416"/>
  <c r="U416"/>
  <c r="V416"/>
  <c r="U339"/>
  <c r="V339"/>
  <c r="T335"/>
  <c r="T292"/>
  <c r="U292"/>
  <c r="V292"/>
  <c r="T242"/>
  <c r="U242"/>
  <c r="V242"/>
  <c r="T440"/>
  <c r="U440"/>
  <c r="T336"/>
  <c r="U453"/>
  <c r="V453"/>
  <c r="T453"/>
  <c r="T378"/>
  <c r="U378"/>
  <c r="V378"/>
  <c r="T342"/>
  <c r="U338"/>
  <c r="V334"/>
  <c r="U291"/>
  <c r="V291"/>
  <c r="T291"/>
  <c r="U245"/>
  <c r="V245"/>
  <c r="T245"/>
  <c r="V217"/>
  <c r="U217"/>
  <c r="T445"/>
  <c r="V445"/>
  <c r="T377"/>
  <c r="V377"/>
  <c r="U377"/>
  <c r="T443"/>
  <c r="U445"/>
  <c r="V376"/>
  <c r="U376"/>
  <c r="T376"/>
  <c r="U443"/>
  <c r="V443"/>
  <c r="V444"/>
  <c r="U444"/>
  <c r="T444"/>
  <c r="C87"/>
  <c r="AD87" s="1"/>
  <c r="C88"/>
  <c r="AD88" s="1"/>
  <c r="C89"/>
  <c r="AD89" s="1"/>
  <c r="C92"/>
  <c r="AD92" s="1"/>
  <c r="M87"/>
  <c r="M92"/>
  <c r="M89"/>
  <c r="M88"/>
  <c r="E33"/>
  <c r="E32"/>
  <c r="E31"/>
  <c r="E30"/>
  <c r="E29"/>
  <c r="E28"/>
  <c r="K79"/>
  <c r="M79" s="1"/>
  <c r="E79"/>
  <c r="K78"/>
  <c r="E78"/>
  <c r="I28" i="45" l="1" a="1"/>
  <c r="I28" s="1"/>
  <c r="I30" a="1"/>
  <c r="I30" s="1"/>
  <c r="I32" a="1"/>
  <c r="I32" s="1"/>
  <c r="I31" a="1"/>
  <c r="I31" s="1"/>
  <c r="K28" a="1"/>
  <c r="K28" s="1"/>
  <c r="O28" s="1"/>
  <c r="K30" a="1"/>
  <c r="K30" s="1"/>
  <c r="O30" s="1"/>
  <c r="K32" a="1"/>
  <c r="K32" s="1"/>
  <c r="I27" a="1"/>
  <c r="I27" s="1"/>
  <c r="I29" a="1"/>
  <c r="I29" s="1"/>
  <c r="K27" a="1"/>
  <c r="K27" s="1"/>
  <c r="K29" a="1"/>
  <c r="K29" s="1"/>
  <c r="K31" a="1"/>
  <c r="K31" s="1"/>
  <c r="M78" i="34"/>
  <c r="G12" i="62" a="1"/>
  <c r="G12" s="1"/>
  <c r="G13" a="1"/>
  <c r="G13" s="1"/>
  <c r="G14" a="1"/>
  <c r="G14" s="1"/>
  <c r="G15" a="1"/>
  <c r="G15" s="1"/>
  <c r="I12" a="1"/>
  <c r="I12" s="1"/>
  <c r="I13" a="1"/>
  <c r="I13" s="1"/>
  <c r="I14" a="1"/>
  <c r="I14" s="1"/>
  <c r="I15" a="1"/>
  <c r="I15" s="1"/>
  <c r="B88" i="34"/>
  <c r="B87"/>
  <c r="B92"/>
  <c r="B89"/>
  <c r="AG10" i="48"/>
  <c r="AE10"/>
  <c r="AC10"/>
  <c r="AA10"/>
  <c r="Y10"/>
  <c r="W10"/>
  <c r="U10"/>
  <c r="S10"/>
  <c r="Q10"/>
  <c r="O10"/>
  <c r="M10"/>
  <c r="K10"/>
  <c r="CC10"/>
  <c r="CB10"/>
  <c r="CA10"/>
  <c r="BV39"/>
  <c r="BW39"/>
  <c r="BV40"/>
  <c r="BW40"/>
  <c r="BV41"/>
  <c r="BW41"/>
  <c r="BV42"/>
  <c r="BW42"/>
  <c r="BV43"/>
  <c r="BW43"/>
  <c r="BV44"/>
  <c r="BW44"/>
  <c r="BV45"/>
  <c r="BW45"/>
  <c r="BV46"/>
  <c r="BW46"/>
  <c r="BV47"/>
  <c r="BW47"/>
  <c r="BV48"/>
  <c r="BW48"/>
  <c r="BV49"/>
  <c r="BW49"/>
  <c r="BV50"/>
  <c r="BW50"/>
  <c r="BV51"/>
  <c r="BW51"/>
  <c r="BW10"/>
  <c r="BV10"/>
  <c r="BZ10"/>
  <c r="BY10"/>
  <c r="BX10"/>
  <c r="BU10"/>
  <c r="BT10"/>
  <c r="BS10"/>
  <c r="BR10"/>
  <c r="BQ10"/>
  <c r="BP10"/>
  <c r="BO10"/>
  <c r="BN10"/>
  <c r="BM10"/>
  <c r="BL10"/>
  <c r="BK10"/>
  <c r="BJ10"/>
  <c r="BI10"/>
  <c r="BH10"/>
  <c r="BG10"/>
  <c r="BF10"/>
  <c r="BE10"/>
  <c r="BD10"/>
  <c r="AW10"/>
  <c r="AV10"/>
  <c r="AU10"/>
  <c r="AT10"/>
  <c r="AT39"/>
  <c r="AU39"/>
  <c r="AT40"/>
  <c r="AU40"/>
  <c r="AT41"/>
  <c r="AU41"/>
  <c r="AT42"/>
  <c r="AU42"/>
  <c r="AT43"/>
  <c r="AU43"/>
  <c r="AT44"/>
  <c r="AU44"/>
  <c r="AT45"/>
  <c r="AU45"/>
  <c r="AT46"/>
  <c r="AU46"/>
  <c r="AT47"/>
  <c r="AU47"/>
  <c r="AT48"/>
  <c r="AU48"/>
  <c r="AT49"/>
  <c r="AU49"/>
  <c r="AT50"/>
  <c r="AU50"/>
  <c r="AT51"/>
  <c r="AU51"/>
  <c r="AS10"/>
  <c r="AR10"/>
  <c r="AQ10"/>
  <c r="AP10"/>
  <c r="AM10"/>
  <c r="AO10"/>
  <c r="AN10"/>
  <c r="AL10"/>
  <c r="AK10"/>
  <c r="AJ10"/>
  <c r="AI10"/>
  <c r="AH10"/>
  <c r="AF10"/>
  <c r="AD10"/>
  <c r="AB10"/>
  <c r="Z10"/>
  <c r="X10"/>
  <c r="V10"/>
  <c r="T10"/>
  <c r="R10"/>
  <c r="P10"/>
  <c r="N10"/>
  <c r="L10"/>
  <c r="J10"/>
  <c r="J39"/>
  <c r="K39"/>
  <c r="L39"/>
  <c r="M39"/>
  <c r="N39"/>
  <c r="O39"/>
  <c r="P39"/>
  <c r="Q39"/>
  <c r="R39"/>
  <c r="S39"/>
  <c r="T39"/>
  <c r="U39"/>
  <c r="V39"/>
  <c r="W39"/>
  <c r="X39"/>
  <c r="Y39"/>
  <c r="Z39"/>
  <c r="AA39"/>
  <c r="AB39"/>
  <c r="AC39"/>
  <c r="AD39"/>
  <c r="AE39"/>
  <c r="AF39"/>
  <c r="AG39"/>
  <c r="AH39"/>
  <c r="AI39"/>
  <c r="AJ39"/>
  <c r="AK39"/>
  <c r="AL39"/>
  <c r="AM39"/>
  <c r="AN39"/>
  <c r="AO39"/>
  <c r="AP39"/>
  <c r="AQ39"/>
  <c r="AR39"/>
  <c r="AS39"/>
  <c r="AV39"/>
  <c r="AW39"/>
  <c r="AX39"/>
  <c r="AY39"/>
  <c r="AZ39"/>
  <c r="BA39"/>
  <c r="BB39"/>
  <c r="BC39"/>
  <c r="BD39"/>
  <c r="BE39"/>
  <c r="BF39"/>
  <c r="BG39"/>
  <c r="BH39"/>
  <c r="BI39"/>
  <c r="BJ39"/>
  <c r="BK39"/>
  <c r="BL39"/>
  <c r="BM39"/>
  <c r="BN39"/>
  <c r="BO39"/>
  <c r="BP39"/>
  <c r="BQ39"/>
  <c r="BR39"/>
  <c r="BS39"/>
  <c r="BT39"/>
  <c r="BU39"/>
  <c r="BX39"/>
  <c r="BY39"/>
  <c r="BZ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V40"/>
  <c r="AW40"/>
  <c r="AY40"/>
  <c r="AZ40"/>
  <c r="BA40"/>
  <c r="BB40"/>
  <c r="BC40"/>
  <c r="BD40"/>
  <c r="BE40"/>
  <c r="BF40"/>
  <c r="BG40"/>
  <c r="BH40"/>
  <c r="BI40"/>
  <c r="BJ40"/>
  <c r="BK40"/>
  <c r="BL40"/>
  <c r="BM40"/>
  <c r="BN40"/>
  <c r="BO40"/>
  <c r="BP40"/>
  <c r="BQ40"/>
  <c r="BR40"/>
  <c r="BS40"/>
  <c r="BT40"/>
  <c r="BU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V41"/>
  <c r="AW41"/>
  <c r="AX41"/>
  <c r="AY41"/>
  <c r="AZ41"/>
  <c r="BA41"/>
  <c r="BB41"/>
  <c r="BC41"/>
  <c r="BD41"/>
  <c r="BE41"/>
  <c r="BF41"/>
  <c r="BG41"/>
  <c r="BH41"/>
  <c r="BI41"/>
  <c r="BJ41"/>
  <c r="BK41"/>
  <c r="BL41"/>
  <c r="BM41"/>
  <c r="BN41"/>
  <c r="BO41"/>
  <c r="BP41"/>
  <c r="BQ41"/>
  <c r="BR41"/>
  <c r="BS41"/>
  <c r="BT41"/>
  <c r="BU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V42"/>
  <c r="AW42"/>
  <c r="AX42"/>
  <c r="AY42"/>
  <c r="AZ42"/>
  <c r="BA42"/>
  <c r="BB42"/>
  <c r="BC42"/>
  <c r="BD42"/>
  <c r="BE42"/>
  <c r="BF42"/>
  <c r="BG42"/>
  <c r="BH42"/>
  <c r="BI42"/>
  <c r="BJ42"/>
  <c r="BK42"/>
  <c r="BL42"/>
  <c r="BM42"/>
  <c r="BN42"/>
  <c r="BO42"/>
  <c r="BP42"/>
  <c r="BQ42"/>
  <c r="BR42"/>
  <c r="BS42"/>
  <c r="BT42"/>
  <c r="BU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V43"/>
  <c r="AW43"/>
  <c r="AX43"/>
  <c r="AY43"/>
  <c r="AZ43"/>
  <c r="BA43"/>
  <c r="BB43"/>
  <c r="BC43"/>
  <c r="BD43"/>
  <c r="BE43"/>
  <c r="BF43"/>
  <c r="BG43"/>
  <c r="BH43"/>
  <c r="BI43"/>
  <c r="BJ43"/>
  <c r="BK43"/>
  <c r="BL43"/>
  <c r="BM43"/>
  <c r="BN43"/>
  <c r="BO43"/>
  <c r="BP43"/>
  <c r="BQ43"/>
  <c r="BR43"/>
  <c r="BS43"/>
  <c r="BT43"/>
  <c r="BU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V44"/>
  <c r="AW44"/>
  <c r="AX44"/>
  <c r="AY44"/>
  <c r="AZ44"/>
  <c r="BA44"/>
  <c r="BB44"/>
  <c r="BC44"/>
  <c r="BD44"/>
  <c r="BE44"/>
  <c r="BF44"/>
  <c r="BG44"/>
  <c r="BH44"/>
  <c r="BI44"/>
  <c r="BJ44"/>
  <c r="BK44"/>
  <c r="BL44"/>
  <c r="BM44"/>
  <c r="BN44"/>
  <c r="BO44"/>
  <c r="BP44"/>
  <c r="BQ44"/>
  <c r="BR44"/>
  <c r="BS44"/>
  <c r="BT44"/>
  <c r="BU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V45"/>
  <c r="AW45"/>
  <c r="AX45"/>
  <c r="AY45"/>
  <c r="AZ45"/>
  <c r="BA45"/>
  <c r="BB45"/>
  <c r="BC45"/>
  <c r="BD45"/>
  <c r="BE45"/>
  <c r="BF45"/>
  <c r="BG45"/>
  <c r="BH45"/>
  <c r="BI45"/>
  <c r="BJ45"/>
  <c r="BK45"/>
  <c r="BL45"/>
  <c r="BM45"/>
  <c r="BN45"/>
  <c r="BO45"/>
  <c r="BP45"/>
  <c r="BQ45"/>
  <c r="BR45"/>
  <c r="BS45"/>
  <c r="BT45"/>
  <c r="BU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V46"/>
  <c r="AW46"/>
  <c r="AX46"/>
  <c r="AY46"/>
  <c r="AZ46"/>
  <c r="BA46"/>
  <c r="BB46"/>
  <c r="BC46"/>
  <c r="BD46"/>
  <c r="BE46"/>
  <c r="BF46"/>
  <c r="BG46"/>
  <c r="BH46"/>
  <c r="BI46"/>
  <c r="BJ46"/>
  <c r="BK46"/>
  <c r="BL46"/>
  <c r="BM46"/>
  <c r="BN46"/>
  <c r="BO46"/>
  <c r="BP46"/>
  <c r="BQ46"/>
  <c r="BR46"/>
  <c r="BS46"/>
  <c r="BT46"/>
  <c r="BU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V47"/>
  <c r="AW47"/>
  <c r="AX47"/>
  <c r="AY47"/>
  <c r="AZ47"/>
  <c r="BA47"/>
  <c r="BB47"/>
  <c r="BC47"/>
  <c r="BD47"/>
  <c r="BE47"/>
  <c r="BF47"/>
  <c r="BG47"/>
  <c r="BH47"/>
  <c r="BI47"/>
  <c r="BJ47"/>
  <c r="BK47"/>
  <c r="BL47"/>
  <c r="BM47"/>
  <c r="BN47"/>
  <c r="BO47"/>
  <c r="BP47"/>
  <c r="BQ47"/>
  <c r="BR47"/>
  <c r="BS47"/>
  <c r="BT47"/>
  <c r="BU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V48"/>
  <c r="AW48"/>
  <c r="AX48"/>
  <c r="AY48"/>
  <c r="AZ48"/>
  <c r="BA48"/>
  <c r="BB48"/>
  <c r="BC48"/>
  <c r="BD48"/>
  <c r="BE48"/>
  <c r="BF48"/>
  <c r="BG48"/>
  <c r="BH48"/>
  <c r="BI48"/>
  <c r="BJ48"/>
  <c r="BK48"/>
  <c r="BL48"/>
  <c r="BM48"/>
  <c r="BN48"/>
  <c r="BO48"/>
  <c r="BP48"/>
  <c r="BQ48"/>
  <c r="BR48"/>
  <c r="BS48"/>
  <c r="BT48"/>
  <c r="BU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V49"/>
  <c r="AW49"/>
  <c r="AX49"/>
  <c r="AY49"/>
  <c r="AZ49"/>
  <c r="BA49"/>
  <c r="BB49"/>
  <c r="BC49"/>
  <c r="BD49"/>
  <c r="BE49"/>
  <c r="BF49"/>
  <c r="BG49"/>
  <c r="BH49"/>
  <c r="BI49"/>
  <c r="BJ49"/>
  <c r="BK49"/>
  <c r="BL49"/>
  <c r="BM49"/>
  <c r="BN49"/>
  <c r="BO49"/>
  <c r="BP49"/>
  <c r="BQ49"/>
  <c r="BR49"/>
  <c r="BS49"/>
  <c r="BT49"/>
  <c r="BU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V50"/>
  <c r="AW50"/>
  <c r="AX50"/>
  <c r="AY50"/>
  <c r="AZ50"/>
  <c r="BA50"/>
  <c r="BB50"/>
  <c r="BC50"/>
  <c r="BD50"/>
  <c r="BE50"/>
  <c r="BF50"/>
  <c r="BG50"/>
  <c r="BH50"/>
  <c r="BI50"/>
  <c r="BJ50"/>
  <c r="BK50"/>
  <c r="BL50"/>
  <c r="BM50"/>
  <c r="BN50"/>
  <c r="BO50"/>
  <c r="BP50"/>
  <c r="BQ50"/>
  <c r="BR50"/>
  <c r="BS50"/>
  <c r="BT50"/>
  <c r="BU50"/>
  <c r="BX50"/>
  <c r="BY50"/>
  <c r="BZ50"/>
  <c r="CA50"/>
  <c r="CB50"/>
  <c r="CC50"/>
  <c r="CD50"/>
  <c r="CE50"/>
  <c r="CF50"/>
  <c r="CG50"/>
  <c r="CH50"/>
  <c r="CI50"/>
  <c r="CJ50"/>
  <c r="CK50"/>
  <c r="CL50"/>
  <c r="CM50"/>
  <c r="CN50"/>
  <c r="CO50"/>
  <c r="CP50"/>
  <c r="CQ50"/>
  <c r="CR50"/>
  <c r="CS50"/>
  <c r="CT50"/>
  <c r="CU50"/>
  <c r="CV50"/>
  <c r="CX50"/>
  <c r="CY50"/>
  <c r="DA50"/>
  <c r="D39"/>
  <c r="D40"/>
  <c r="D41"/>
  <c r="D42"/>
  <c r="D43"/>
  <c r="D44"/>
  <c r="F39"/>
  <c r="CA39" s="1"/>
  <c r="J51"/>
  <c r="K51"/>
  <c r="L51"/>
  <c r="M51"/>
  <c r="N51"/>
  <c r="O51"/>
  <c r="P51"/>
  <c r="Q51"/>
  <c r="R51"/>
  <c r="S51"/>
  <c r="T51"/>
  <c r="U51"/>
  <c r="V51"/>
  <c r="W51"/>
  <c r="X51"/>
  <c r="Y51"/>
  <c r="Z51"/>
  <c r="AA51"/>
  <c r="AB51"/>
  <c r="AC51"/>
  <c r="AD51"/>
  <c r="AE51"/>
  <c r="AF51"/>
  <c r="AG51"/>
  <c r="AH51"/>
  <c r="AI51"/>
  <c r="AJ51"/>
  <c r="AK51"/>
  <c r="AL51"/>
  <c r="AM51"/>
  <c r="AN51"/>
  <c r="AO51"/>
  <c r="AP51"/>
  <c r="AQ51"/>
  <c r="AR51"/>
  <c r="AS51"/>
  <c r="AV51"/>
  <c r="AW51"/>
  <c r="AX51"/>
  <c r="AY51"/>
  <c r="AZ51"/>
  <c r="BA51"/>
  <c r="BB51"/>
  <c r="BC51"/>
  <c r="BD51"/>
  <c r="BE51"/>
  <c r="BF51"/>
  <c r="BG51"/>
  <c r="BH51"/>
  <c r="BI51"/>
  <c r="BJ51"/>
  <c r="BK51"/>
  <c r="BL51"/>
  <c r="BM51"/>
  <c r="BN51"/>
  <c r="BO51"/>
  <c r="BP51"/>
  <c r="BQ51"/>
  <c r="BR51"/>
  <c r="BS51"/>
  <c r="BT51"/>
  <c r="BU51"/>
  <c r="BX51"/>
  <c r="BY51"/>
  <c r="BZ51"/>
  <c r="CA51"/>
  <c r="CB51"/>
  <c r="CC51"/>
  <c r="CD51"/>
  <c r="CE51"/>
  <c r="CF51"/>
  <c r="CG51"/>
  <c r="CH51"/>
  <c r="CI51"/>
  <c r="CJ51"/>
  <c r="CK51"/>
  <c r="CL51"/>
  <c r="CM51"/>
  <c r="CN51"/>
  <c r="CO51"/>
  <c r="CP51"/>
  <c r="CQ51"/>
  <c r="CR51"/>
  <c r="CS51"/>
  <c r="CT51"/>
  <c r="CU51"/>
  <c r="CV51"/>
  <c r="CW51"/>
  <c r="CX51"/>
  <c r="CY51"/>
  <c r="CZ51"/>
  <c r="DA51"/>
  <c r="A10" a="1"/>
  <c r="A10" s="1"/>
  <c r="A92" i="34" l="1"/>
  <c r="S92"/>
  <c r="R92"/>
  <c r="Q92"/>
  <c r="A87"/>
  <c r="Q87"/>
  <c r="R87"/>
  <c r="S87"/>
  <c r="A88"/>
  <c r="S88"/>
  <c r="Q88"/>
  <c r="R88"/>
  <c r="A89"/>
  <c r="Q89"/>
  <c r="R89"/>
  <c r="S89"/>
  <c r="O32" i="45"/>
  <c r="O31"/>
  <c r="M15" i="62"/>
  <c r="O29" i="45"/>
  <c r="O27"/>
  <c r="M27"/>
  <c r="M31"/>
  <c r="M32"/>
  <c r="M30"/>
  <c r="M29"/>
  <c r="M28"/>
  <c r="M14" i="62"/>
  <c r="M13"/>
  <c r="M12"/>
  <c r="K14"/>
  <c r="K13"/>
  <c r="K12"/>
  <c r="K15"/>
  <c r="CB39" i="48"/>
  <c r="I28" i="12" l="1"/>
  <c r="I29"/>
  <c r="I30"/>
  <c r="I31"/>
  <c r="I32"/>
  <c r="I33"/>
  <c r="I34"/>
  <c r="I35"/>
  <c r="I26"/>
  <c r="I36"/>
  <c r="I37"/>
  <c r="I38"/>
  <c r="I39"/>
  <c r="I40"/>
  <c r="I41"/>
  <c r="I27"/>
  <c r="P12" i="34" l="1"/>
  <c r="P13"/>
  <c r="P14"/>
  <c r="P15"/>
  <c r="P16"/>
  <c r="P17"/>
  <c r="P18"/>
  <c r="P19"/>
  <c r="C290"/>
  <c r="AD290" s="1"/>
  <c r="C298"/>
  <c r="AD298" s="1"/>
  <c r="C328"/>
  <c r="AD328" s="1"/>
  <c r="C365"/>
  <c r="AD365" s="1"/>
  <c r="C255"/>
  <c r="AD255" s="1"/>
  <c r="A5" i="12"/>
  <c r="A6"/>
  <c r="A7"/>
  <c r="A8"/>
  <c r="A9"/>
  <c r="A10"/>
  <c r="A11"/>
  <c r="A12"/>
  <c r="A13"/>
  <c r="A16"/>
  <c r="A17"/>
  <c r="A19"/>
  <c r="A20"/>
  <c r="A21"/>
  <c r="A22"/>
  <c r="A23"/>
  <c r="A24"/>
  <c r="A27"/>
  <c r="A28"/>
  <c r="A29"/>
  <c r="A30"/>
  <c r="A31"/>
  <c r="A32"/>
  <c r="A33"/>
  <c r="A34"/>
  <c r="A35"/>
  <c r="A26"/>
  <c r="A36"/>
  <c r="A37"/>
  <c r="A38"/>
  <c r="A39"/>
  <c r="A40"/>
  <c r="A41"/>
  <c r="A4"/>
  <c r="C739" i="34"/>
  <c r="AD739" s="1"/>
  <c r="M182"/>
  <c r="C182"/>
  <c r="AD182" s="1"/>
  <c r="M183"/>
  <c r="C183"/>
  <c r="AD183" s="1"/>
  <c r="M181"/>
  <c r="C181"/>
  <c r="AD181" s="1"/>
  <c r="M180"/>
  <c r="C180"/>
  <c r="AD180" s="1"/>
  <c r="M179"/>
  <c r="C179"/>
  <c r="AD179" s="1"/>
  <c r="M178"/>
  <c r="C178"/>
  <c r="AD178" s="1"/>
  <c r="M177"/>
  <c r="C177"/>
  <c r="AD177" s="1"/>
  <c r="M176"/>
  <c r="C176"/>
  <c r="AD176" s="1"/>
  <c r="M175"/>
  <c r="C175"/>
  <c r="AD175" s="1"/>
  <c r="M174"/>
  <c r="C174"/>
  <c r="AD174" s="1"/>
  <c r="M173"/>
  <c r="C173"/>
  <c r="AD173" s="1"/>
  <c r="M172"/>
  <c r="C172"/>
  <c r="AD172" s="1"/>
  <c r="C732"/>
  <c r="AD732" s="1"/>
  <c r="C733"/>
  <c r="AD733" s="1"/>
  <c r="C734"/>
  <c r="AD734" s="1"/>
  <c r="C735"/>
  <c r="AD735" s="1"/>
  <c r="C736"/>
  <c r="AD736" s="1"/>
  <c r="C737"/>
  <c r="AD737" s="1"/>
  <c r="C738"/>
  <c r="AD738" s="1"/>
  <c r="C731"/>
  <c r="AD731" s="1"/>
  <c r="B737" l="1"/>
  <c r="B175"/>
  <c r="B732"/>
  <c r="B328"/>
  <c r="B731"/>
  <c r="B735"/>
  <c r="B172"/>
  <c r="B174"/>
  <c r="B176"/>
  <c r="B178"/>
  <c r="B180"/>
  <c r="B739"/>
  <c r="B298"/>
  <c r="B738"/>
  <c r="B734"/>
  <c r="B255"/>
  <c r="B290"/>
  <c r="B173"/>
  <c r="B177"/>
  <c r="B179"/>
  <c r="B181"/>
  <c r="B182"/>
  <c r="B365"/>
  <c r="B733"/>
  <c r="B736"/>
  <c r="B183"/>
  <c r="W12"/>
  <c r="Y12"/>
  <c r="AB12"/>
  <c r="AC12"/>
  <c r="W13"/>
  <c r="Y13"/>
  <c r="AB13"/>
  <c r="AC13"/>
  <c r="W14"/>
  <c r="Y14"/>
  <c r="AB14"/>
  <c r="AC14"/>
  <c r="W15"/>
  <c r="Y15"/>
  <c r="AB15"/>
  <c r="AC15"/>
  <c r="W16"/>
  <c r="Y16"/>
  <c r="AB16"/>
  <c r="AC16"/>
  <c r="W17"/>
  <c r="Y17"/>
  <c r="AB17"/>
  <c r="AC17"/>
  <c r="W18"/>
  <c r="Y18"/>
  <c r="AB18"/>
  <c r="AC18"/>
  <c r="W19"/>
  <c r="Y19"/>
  <c r="AB19"/>
  <c r="AC19"/>
  <c r="F57" i="55"/>
  <c r="F46"/>
  <c r="E45"/>
  <c r="G40" a="1"/>
  <c r="G40" s="1"/>
  <c r="G41" a="1"/>
  <c r="G41" s="1"/>
  <c r="G42" a="1"/>
  <c r="G42" s="1"/>
  <c r="G43" a="1"/>
  <c r="G43" s="1"/>
  <c r="G47" a="1"/>
  <c r="G47" s="1"/>
  <c r="G48" a="1"/>
  <c r="G48" s="1"/>
  <c r="M162" i="34"/>
  <c r="M163"/>
  <c r="M164"/>
  <c r="M165"/>
  <c r="C162"/>
  <c r="AD162" s="1"/>
  <c r="C163"/>
  <c r="AD163" s="1"/>
  <c r="C164"/>
  <c r="AD164" s="1"/>
  <c r="C165"/>
  <c r="AD165" s="1"/>
  <c r="C152"/>
  <c r="AD152" s="1"/>
  <c r="C153"/>
  <c r="AD153" s="1"/>
  <c r="C154"/>
  <c r="AD154" s="1"/>
  <c r="C155"/>
  <c r="AD155" s="1"/>
  <c r="C156"/>
  <c r="AD156" s="1"/>
  <c r="C157"/>
  <c r="AD157" s="1"/>
  <c r="C158"/>
  <c r="AD158" s="1"/>
  <c r="C159"/>
  <c r="AD159" s="1"/>
  <c r="C160"/>
  <c r="AD160" s="1"/>
  <c r="C161"/>
  <c r="AD161" s="1"/>
  <c r="C151"/>
  <c r="AD151" s="1"/>
  <c r="M152"/>
  <c r="M153"/>
  <c r="M154"/>
  <c r="M155"/>
  <c r="M156"/>
  <c r="M157"/>
  <c r="M158"/>
  <c r="M159"/>
  <c r="M160"/>
  <c r="M151"/>
  <c r="M161"/>
  <c r="M119"/>
  <c r="C119"/>
  <c r="AD119" s="1"/>
  <c r="V21" i="60"/>
  <c r="V22"/>
  <c r="A31" i="55"/>
  <c r="A37"/>
  <c r="B31"/>
  <c r="B32"/>
  <c r="A32" s="1"/>
  <c r="B33"/>
  <c r="A33" s="1"/>
  <c r="B34"/>
  <c r="A34" s="1"/>
  <c r="B35"/>
  <c r="A35" s="1"/>
  <c r="B36"/>
  <c r="A36" s="1"/>
  <c r="B13"/>
  <c r="B14"/>
  <c r="B15"/>
  <c r="B16"/>
  <c r="B17"/>
  <c r="B18"/>
  <c r="B19"/>
  <c r="B20"/>
  <c r="A20" s="1"/>
  <c r="B22"/>
  <c r="A22" s="1"/>
  <c r="B23"/>
  <c r="A23" s="1"/>
  <c r="B24"/>
  <c r="A24" s="1"/>
  <c r="B25"/>
  <c r="A25" s="1"/>
  <c r="B26"/>
  <c r="A26" s="1"/>
  <c r="B27"/>
  <c r="A27" s="1"/>
  <c r="B28"/>
  <c r="A28" s="1"/>
  <c r="B29"/>
  <c r="A29" s="1"/>
  <c r="B30"/>
  <c r="A30" s="1"/>
  <c r="B12"/>
  <c r="G20" a="1"/>
  <c r="G20" s="1"/>
  <c r="I20" a="1"/>
  <c r="I20" s="1"/>
  <c r="G22" a="1"/>
  <c r="G22" s="1"/>
  <c r="I22" a="1"/>
  <c r="I22" s="1"/>
  <c r="G23" a="1"/>
  <c r="G23" s="1"/>
  <c r="I23" a="1"/>
  <c r="I23" s="1"/>
  <c r="G24" a="1"/>
  <c r="G24" s="1"/>
  <c r="I24" a="1"/>
  <c r="I24" s="1"/>
  <c r="E37"/>
  <c r="F38"/>
  <c r="V41" i="60"/>
  <c r="V40"/>
  <c r="V39"/>
  <c r="L29" s="1"/>
  <c r="V36"/>
  <c r="V35"/>
  <c r="V34"/>
  <c r="V33"/>
  <c r="V32"/>
  <c r="V31"/>
  <c r="V30"/>
  <c r="V29"/>
  <c r="V23"/>
  <c r="V20"/>
  <c r="L8" s="1"/>
  <c r="V19"/>
  <c r="V18"/>
  <c r="V11"/>
  <c r="V10"/>
  <c r="V9"/>
  <c r="V8"/>
  <c r="V7"/>
  <c r="D48"/>
  <c r="G48" s="1"/>
  <c r="D47"/>
  <c r="A47"/>
  <c r="A48" s="1"/>
  <c r="A49" s="1"/>
  <c r="P30"/>
  <c r="C30"/>
  <c r="D30" s="1"/>
  <c r="G30" s="1"/>
  <c r="A30"/>
  <c r="D29"/>
  <c r="G29" s="1"/>
  <c r="A29"/>
  <c r="D9"/>
  <c r="G9" s="1"/>
  <c r="D8"/>
  <c r="G8" s="1"/>
  <c r="D7"/>
  <c r="G7" s="1"/>
  <c r="A7"/>
  <c r="A8" s="1"/>
  <c r="A9" s="1"/>
  <c r="A733" i="34" l="1"/>
  <c r="Q733"/>
  <c r="R733"/>
  <c r="S733"/>
  <c r="A179"/>
  <c r="S179"/>
  <c r="Q179"/>
  <c r="R179"/>
  <c r="A255"/>
  <c r="Q255"/>
  <c r="R255"/>
  <c r="S255"/>
  <c r="A739"/>
  <c r="Q739"/>
  <c r="R739"/>
  <c r="S739"/>
  <c r="A174"/>
  <c r="Q174"/>
  <c r="R174"/>
  <c r="S174"/>
  <c r="A328"/>
  <c r="S328"/>
  <c r="Q328"/>
  <c r="R328"/>
  <c r="A365"/>
  <c r="Q365"/>
  <c r="S365"/>
  <c r="R365"/>
  <c r="A177"/>
  <c r="S177"/>
  <c r="Q177"/>
  <c r="R177"/>
  <c r="A734"/>
  <c r="S734"/>
  <c r="Q734"/>
  <c r="R734"/>
  <c r="A180"/>
  <c r="Q180"/>
  <c r="R180"/>
  <c r="S180"/>
  <c r="A172"/>
  <c r="Q172"/>
  <c r="R172"/>
  <c r="S172"/>
  <c r="A732"/>
  <c r="S732"/>
  <c r="Q732"/>
  <c r="R732"/>
  <c r="A183"/>
  <c r="S183"/>
  <c r="Q183"/>
  <c r="R183"/>
  <c r="A182"/>
  <c r="Q182"/>
  <c r="R182"/>
  <c r="S182"/>
  <c r="A173"/>
  <c r="S173"/>
  <c r="Q173"/>
  <c r="R173"/>
  <c r="A738"/>
  <c r="S738"/>
  <c r="Q738"/>
  <c r="R738"/>
  <c r="A178"/>
  <c r="Q178"/>
  <c r="R178"/>
  <c r="S178"/>
  <c r="A735"/>
  <c r="Q735"/>
  <c r="R735"/>
  <c r="S735"/>
  <c r="A175"/>
  <c r="S175"/>
  <c r="Q175"/>
  <c r="R175"/>
  <c r="A736"/>
  <c r="S736"/>
  <c r="Q736"/>
  <c r="R736"/>
  <c r="A181"/>
  <c r="S181"/>
  <c r="Q181"/>
  <c r="R181"/>
  <c r="A290"/>
  <c r="S290"/>
  <c r="Q290"/>
  <c r="R290"/>
  <c r="A298"/>
  <c r="S298"/>
  <c r="Q298"/>
  <c r="R298"/>
  <c r="A176"/>
  <c r="Q176"/>
  <c r="R176"/>
  <c r="S176"/>
  <c r="A731"/>
  <c r="Q731"/>
  <c r="R731"/>
  <c r="S731"/>
  <c r="A737"/>
  <c r="Q737"/>
  <c r="R737"/>
  <c r="S737"/>
  <c r="L7" i="60"/>
  <c r="L9"/>
  <c r="B151" i="34"/>
  <c r="B158"/>
  <c r="B154"/>
  <c r="B164"/>
  <c r="B161"/>
  <c r="B157"/>
  <c r="B153"/>
  <c r="B163"/>
  <c r="B160"/>
  <c r="B156"/>
  <c r="B152"/>
  <c r="B162"/>
  <c r="B119"/>
  <c r="B159"/>
  <c r="B155"/>
  <c r="B165"/>
  <c r="V38" i="60"/>
  <c r="V17"/>
  <c r="K24" i="55"/>
  <c r="K23"/>
  <c r="K22"/>
  <c r="K20"/>
  <c r="A160" i="34" l="1"/>
  <c r="Q160"/>
  <c r="R160"/>
  <c r="S160"/>
  <c r="A163"/>
  <c r="S163"/>
  <c r="Q163"/>
  <c r="R163"/>
  <c r="A155"/>
  <c r="S155"/>
  <c r="Q155"/>
  <c r="R155"/>
  <c r="A152"/>
  <c r="R152"/>
  <c r="S152"/>
  <c r="Q152"/>
  <c r="A154"/>
  <c r="Q154"/>
  <c r="R154"/>
  <c r="S154"/>
  <c r="A159"/>
  <c r="S159"/>
  <c r="R159"/>
  <c r="Q159"/>
  <c r="A156"/>
  <c r="Q156"/>
  <c r="R156"/>
  <c r="S156"/>
  <c r="A157"/>
  <c r="S157"/>
  <c r="Q157"/>
  <c r="R157"/>
  <c r="A158"/>
  <c r="Q158"/>
  <c r="S158"/>
  <c r="R158"/>
  <c r="A161"/>
  <c r="S161"/>
  <c r="Q161"/>
  <c r="R161"/>
  <c r="A162"/>
  <c r="Q162"/>
  <c r="R162"/>
  <c r="S162"/>
  <c r="A119"/>
  <c r="Q119"/>
  <c r="R119"/>
  <c r="S119"/>
  <c r="A151"/>
  <c r="Q151"/>
  <c r="S151"/>
  <c r="R151"/>
  <c r="A165"/>
  <c r="S165"/>
  <c r="Q165"/>
  <c r="R165"/>
  <c r="A164"/>
  <c r="Q164"/>
  <c r="R164"/>
  <c r="S164"/>
  <c r="A153"/>
  <c r="S153"/>
  <c r="Q153"/>
  <c r="R153"/>
  <c r="M20"/>
  <c r="M18"/>
  <c r="M19"/>
  <c r="M16"/>
  <c r="M17"/>
  <c r="M11"/>
  <c r="M10" l="1"/>
  <c r="C11"/>
  <c r="AD11" s="1"/>
  <c r="C12"/>
  <c r="AD12" s="1"/>
  <c r="C13"/>
  <c r="AD13" s="1"/>
  <c r="C14"/>
  <c r="AD14" s="1"/>
  <c r="C15"/>
  <c r="AD15" s="1"/>
  <c r="C21"/>
  <c r="AD21" s="1"/>
  <c r="C16"/>
  <c r="AD16" s="1"/>
  <c r="C17"/>
  <c r="AD17" s="1"/>
  <c r="C18"/>
  <c r="AD18" s="1"/>
  <c r="C19"/>
  <c r="AD19" s="1"/>
  <c r="C20"/>
  <c r="AD20" s="1"/>
  <c r="C10"/>
  <c r="AD10" s="1"/>
  <c r="E76"/>
  <c r="B20" l="1"/>
  <c r="B18"/>
  <c r="A18" s="1"/>
  <c r="B17"/>
  <c r="B16"/>
  <c r="A16" s="1"/>
  <c r="B19"/>
  <c r="A19" s="1"/>
  <c r="A20" l="1"/>
  <c r="S20"/>
  <c r="Q20"/>
  <c r="R20"/>
  <c r="S17"/>
  <c r="A17"/>
  <c r="Q17"/>
  <c r="R17"/>
  <c r="S16"/>
  <c r="Q16"/>
  <c r="R16"/>
  <c r="S18"/>
  <c r="Q18"/>
  <c r="R18"/>
  <c r="S19"/>
  <c r="Q19"/>
  <c r="R19"/>
  <c r="G7" i="57"/>
  <c r="D42" i="12"/>
  <c r="C42"/>
  <c r="E6" i="43" l="1"/>
  <c r="I111" i="42"/>
  <c r="G90" i="43"/>
  <c r="S9" l="1"/>
  <c r="S8"/>
  <c r="D74" i="15" l="1"/>
  <c r="C74"/>
  <c r="C23"/>
  <c r="D23"/>
  <c r="C35"/>
  <c r="D35"/>
  <c r="D32"/>
  <c r="C32"/>
  <c r="C50"/>
  <c r="D50"/>
  <c r="C43"/>
  <c r="D43"/>
  <c r="D55" l="1"/>
  <c r="L338" i="34" l="1"/>
  <c r="I23" i="45" l="1" a="1"/>
  <c r="I23" s="1"/>
  <c r="K23" a="1"/>
  <c r="K23" s="1"/>
  <c r="I24" a="1"/>
  <c r="I24" s="1"/>
  <c r="K24" a="1"/>
  <c r="K24" s="1"/>
  <c r="I25" a="1"/>
  <c r="I25" s="1"/>
  <c r="K25" a="1"/>
  <c r="K25" s="1"/>
  <c r="I26" a="1"/>
  <c r="I26" s="1"/>
  <c r="K26" a="1"/>
  <c r="K26" s="1"/>
  <c r="O25" l="1"/>
  <c r="O23"/>
  <c r="O26"/>
  <c r="O24"/>
  <c r="M26"/>
  <c r="M25"/>
  <c r="M24"/>
  <c r="M23"/>
  <c r="I22" a="1"/>
  <c r="I22" s="1"/>
  <c r="K22" a="1"/>
  <c r="K22" s="1"/>
  <c r="M22" l="1"/>
  <c r="O22"/>
  <c r="E16" i="61" l="1"/>
  <c r="B11"/>
  <c r="D5"/>
  <c r="V281" i="60"/>
  <c r="V280"/>
  <c r="V279"/>
  <c r="V278"/>
  <c r="V277"/>
  <c r="V276"/>
  <c r="V275"/>
  <c r="W274"/>
  <c r="V272"/>
  <c r="V271"/>
  <c r="V270"/>
  <c r="O270"/>
  <c r="L270"/>
  <c r="E270"/>
  <c r="V269"/>
  <c r="A269"/>
  <c r="V268"/>
  <c r="M268"/>
  <c r="C268"/>
  <c r="D268" s="1"/>
  <c r="G268" s="1"/>
  <c r="A268"/>
  <c r="V267"/>
  <c r="C267"/>
  <c r="D267" s="1"/>
  <c r="G267" s="1"/>
  <c r="A267"/>
  <c r="V266"/>
  <c r="M266"/>
  <c r="C266"/>
  <c r="D266" s="1"/>
  <c r="G266" s="1"/>
  <c r="A266"/>
  <c r="V265"/>
  <c r="C265"/>
  <c r="D265" s="1"/>
  <c r="G265" s="1"/>
  <c r="A265"/>
  <c r="V264"/>
  <c r="C264"/>
  <c r="D264" s="1"/>
  <c r="G264" s="1"/>
  <c r="A264"/>
  <c r="V263"/>
  <c r="M263"/>
  <c r="M270" s="1"/>
  <c r="C263"/>
  <c r="D263" s="1"/>
  <c r="A263"/>
  <c r="V255"/>
  <c r="L243" s="1"/>
  <c r="V254"/>
  <c r="L242" s="1"/>
  <c r="V253"/>
  <c r="L241" s="1"/>
  <c r="V252"/>
  <c r="L240" s="1"/>
  <c r="V251"/>
  <c r="L239" s="1"/>
  <c r="V250"/>
  <c r="L238" s="1"/>
  <c r="W249"/>
  <c r="V247"/>
  <c r="V246"/>
  <c r="V245"/>
  <c r="O245"/>
  <c r="N245"/>
  <c r="E245"/>
  <c r="V244"/>
  <c r="A244"/>
  <c r="V243"/>
  <c r="P243"/>
  <c r="M243"/>
  <c r="D243"/>
  <c r="G243" s="1"/>
  <c r="A243"/>
  <c r="V242"/>
  <c r="P242"/>
  <c r="C242"/>
  <c r="D242" s="1"/>
  <c r="G242" s="1"/>
  <c r="A242"/>
  <c r="V241"/>
  <c r="P241"/>
  <c r="M241"/>
  <c r="C241"/>
  <c r="D241" s="1"/>
  <c r="G241" s="1"/>
  <c r="A241"/>
  <c r="V240"/>
  <c r="P240"/>
  <c r="C240"/>
  <c r="D240" s="1"/>
  <c r="G240" s="1"/>
  <c r="A240"/>
  <c r="V239"/>
  <c r="P239"/>
  <c r="C239"/>
  <c r="D239" s="1"/>
  <c r="G239" s="1"/>
  <c r="A239"/>
  <c r="V238"/>
  <c r="P238"/>
  <c r="M238"/>
  <c r="M245" s="1"/>
  <c r="C238"/>
  <c r="D238" s="1"/>
  <c r="A238"/>
  <c r="V231"/>
  <c r="V230"/>
  <c r="V229"/>
  <c r="V228"/>
  <c r="V227"/>
  <c r="V226"/>
  <c r="V225"/>
  <c r="V224"/>
  <c r="W223"/>
  <c r="V221"/>
  <c r="V220"/>
  <c r="V219"/>
  <c r="O219"/>
  <c r="L219"/>
  <c r="E219"/>
  <c r="V218"/>
  <c r="A218"/>
  <c r="V217"/>
  <c r="C217"/>
  <c r="D217" s="1"/>
  <c r="G217" s="1"/>
  <c r="A217"/>
  <c r="V216"/>
  <c r="C216"/>
  <c r="D216" s="1"/>
  <c r="G216" s="1"/>
  <c r="A216"/>
  <c r="V215"/>
  <c r="C215"/>
  <c r="D215" s="1"/>
  <c r="G215" s="1"/>
  <c r="A215"/>
  <c r="V214"/>
  <c r="C214"/>
  <c r="D214" s="1"/>
  <c r="G214" s="1"/>
  <c r="A214"/>
  <c r="V213"/>
  <c r="M213"/>
  <c r="M219" s="1"/>
  <c r="C213"/>
  <c r="D213" s="1"/>
  <c r="G213" s="1"/>
  <c r="A213"/>
  <c r="V212"/>
  <c r="C212"/>
  <c r="D212" s="1"/>
  <c r="A212"/>
  <c r="V204"/>
  <c r="V203"/>
  <c r="V202"/>
  <c r="V201"/>
  <c r="V200"/>
  <c r="V199"/>
  <c r="V198"/>
  <c r="V197"/>
  <c r="W196"/>
  <c r="V194"/>
  <c r="V193"/>
  <c r="V192"/>
  <c r="V191"/>
  <c r="O191"/>
  <c r="L191"/>
  <c r="E191"/>
  <c r="H185" s="1"/>
  <c r="V190"/>
  <c r="A190"/>
  <c r="V189"/>
  <c r="H189"/>
  <c r="C189"/>
  <c r="D189" s="1"/>
  <c r="G189" s="1"/>
  <c r="A189"/>
  <c r="V188"/>
  <c r="H188"/>
  <c r="C188"/>
  <c r="D188" s="1"/>
  <c r="G188" s="1"/>
  <c r="A188"/>
  <c r="V187"/>
  <c r="H187"/>
  <c r="C187"/>
  <c r="D187" s="1"/>
  <c r="G187" s="1"/>
  <c r="A187"/>
  <c r="V186"/>
  <c r="C186"/>
  <c r="D186" s="1"/>
  <c r="G186" s="1"/>
  <c r="A186"/>
  <c r="V185"/>
  <c r="M185"/>
  <c r="M191" s="1"/>
  <c r="C185"/>
  <c r="D185" s="1"/>
  <c r="A185"/>
  <c r="V178"/>
  <c r="V177"/>
  <c r="V176"/>
  <c r="V175"/>
  <c r="V174"/>
  <c r="V173"/>
  <c r="V172"/>
  <c r="V171"/>
  <c r="W170"/>
  <c r="V168"/>
  <c r="V167"/>
  <c r="V166"/>
  <c r="V165"/>
  <c r="V164"/>
  <c r="V163"/>
  <c r="O163"/>
  <c r="L163"/>
  <c r="E163"/>
  <c r="V162"/>
  <c r="C162"/>
  <c r="A162"/>
  <c r="V161"/>
  <c r="M161"/>
  <c r="C161"/>
  <c r="D161" s="1"/>
  <c r="G161" s="1"/>
  <c r="A161"/>
  <c r="V160"/>
  <c r="M160"/>
  <c r="C160"/>
  <c r="D160" s="1"/>
  <c r="G160" s="1"/>
  <c r="A160"/>
  <c r="V159"/>
  <c r="C159"/>
  <c r="D159" s="1"/>
  <c r="G159" s="1"/>
  <c r="A159"/>
  <c r="V158"/>
  <c r="M158"/>
  <c r="M163" s="1"/>
  <c r="C158"/>
  <c r="D158" s="1"/>
  <c r="A158"/>
  <c r="V152"/>
  <c r="V151"/>
  <c r="V150"/>
  <c r="V149"/>
  <c r="V148"/>
  <c r="V147"/>
  <c r="W146"/>
  <c r="V144"/>
  <c r="V143"/>
  <c r="V142"/>
  <c r="V141"/>
  <c r="V140"/>
  <c r="V139"/>
  <c r="O139"/>
  <c r="L139"/>
  <c r="V138"/>
  <c r="M138"/>
  <c r="D138"/>
  <c r="G138" s="1"/>
  <c r="A138"/>
  <c r="V137"/>
  <c r="C137"/>
  <c r="D137" s="1"/>
  <c r="G137" s="1"/>
  <c r="A137"/>
  <c r="V136"/>
  <c r="C136"/>
  <c r="D136" s="1"/>
  <c r="G136" s="1"/>
  <c r="A136"/>
  <c r="V135"/>
  <c r="M135"/>
  <c r="M139" s="1"/>
  <c r="C135"/>
  <c r="D135" s="1"/>
  <c r="A135"/>
  <c r="V128"/>
  <c r="V127"/>
  <c r="V126"/>
  <c r="V125"/>
  <c r="V124"/>
  <c r="V123"/>
  <c r="V122"/>
  <c r="W121"/>
  <c r="V119"/>
  <c r="V118"/>
  <c r="V117"/>
  <c r="V116"/>
  <c r="V115"/>
  <c r="V114"/>
  <c r="V113"/>
  <c r="V112"/>
  <c r="O112"/>
  <c r="L112"/>
  <c r="V111"/>
  <c r="A111"/>
  <c r="V110"/>
  <c r="M110"/>
  <c r="C110"/>
  <c r="D110" s="1"/>
  <c r="G110" s="1"/>
  <c r="A110"/>
  <c r="V109"/>
  <c r="C109"/>
  <c r="D109" s="1"/>
  <c r="G109" s="1"/>
  <c r="A109"/>
  <c r="V108"/>
  <c r="C108"/>
  <c r="D108" s="1"/>
  <c r="G108" s="1"/>
  <c r="A108"/>
  <c r="V107"/>
  <c r="M107"/>
  <c r="M112" s="1"/>
  <c r="C107"/>
  <c r="D107" s="1"/>
  <c r="A107"/>
  <c r="V100"/>
  <c r="V99"/>
  <c r="V98"/>
  <c r="V97"/>
  <c r="V96"/>
  <c r="W95"/>
  <c r="V93"/>
  <c r="V92"/>
  <c r="V91"/>
  <c r="V90"/>
  <c r="O90"/>
  <c r="L90"/>
  <c r="E90"/>
  <c r="V89"/>
  <c r="A89"/>
  <c r="V88"/>
  <c r="C88"/>
  <c r="D88" s="1"/>
  <c r="G88" s="1"/>
  <c r="A88"/>
  <c r="V87"/>
  <c r="M87"/>
  <c r="M90" s="1"/>
  <c r="C87"/>
  <c r="D87" s="1"/>
  <c r="A87"/>
  <c r="V81"/>
  <c r="V80"/>
  <c r="V79"/>
  <c r="V78"/>
  <c r="W77"/>
  <c r="V75"/>
  <c r="V74"/>
  <c r="V73"/>
  <c r="V72"/>
  <c r="O72"/>
  <c r="V71"/>
  <c r="V69"/>
  <c r="V68"/>
  <c r="M72"/>
  <c r="A68"/>
  <c r="A69" s="1"/>
  <c r="V62"/>
  <c r="V61"/>
  <c r="V60"/>
  <c r="V59"/>
  <c r="L49" s="1"/>
  <c r="V58"/>
  <c r="V57"/>
  <c r="W56"/>
  <c r="V54"/>
  <c r="V53"/>
  <c r="V52"/>
  <c r="V51"/>
  <c r="O52"/>
  <c r="M52"/>
  <c r="E52"/>
  <c r="V50"/>
  <c r="A51"/>
  <c r="V49"/>
  <c r="V48"/>
  <c r="V47"/>
  <c r="W38"/>
  <c r="O32"/>
  <c r="M32"/>
  <c r="L32"/>
  <c r="I32"/>
  <c r="G32"/>
  <c r="E32"/>
  <c r="D32"/>
  <c r="A31"/>
  <c r="W17"/>
  <c r="O11"/>
  <c r="M11"/>
  <c r="L11"/>
  <c r="I11"/>
  <c r="G11"/>
  <c r="D11"/>
  <c r="P10"/>
  <c r="A10"/>
  <c r="A31" i="58"/>
  <c r="I13"/>
  <c r="C8"/>
  <c r="A31" i="57"/>
  <c r="L13"/>
  <c r="K13"/>
  <c r="I7"/>
  <c r="A27" i="56"/>
  <c r="A12"/>
  <c r="D7"/>
  <c r="AA900" i="34" s="1"/>
  <c r="C7" i="56"/>
  <c r="D5"/>
  <c r="A57" i="55"/>
  <c r="F56"/>
  <c r="E57" s="1"/>
  <c r="E56"/>
  <c r="A56"/>
  <c r="B55"/>
  <c r="A55" s="1"/>
  <c r="I54" a="1"/>
  <c r="I54" s="1"/>
  <c r="G54" a="1"/>
  <c r="G54" s="1"/>
  <c r="I53" a="1"/>
  <c r="I53" s="1"/>
  <c r="G53" a="1"/>
  <c r="G53" s="1"/>
  <c r="I52" a="1"/>
  <c r="I52" s="1"/>
  <c r="G52" a="1"/>
  <c r="G52" s="1"/>
  <c r="I51" a="1"/>
  <c r="I51" s="1"/>
  <c r="G51" a="1"/>
  <c r="G51" s="1"/>
  <c r="I50" a="1"/>
  <c r="I50" s="1"/>
  <c r="G50" a="1"/>
  <c r="G50" s="1"/>
  <c r="I49" a="1"/>
  <c r="I49" s="1"/>
  <c r="G49" a="1"/>
  <c r="G49" s="1"/>
  <c r="I48" a="1"/>
  <c r="I48" s="1"/>
  <c r="I47" a="1"/>
  <c r="I47" s="1"/>
  <c r="B47"/>
  <c r="B48" s="1"/>
  <c r="F45"/>
  <c r="E46" s="1"/>
  <c r="A45"/>
  <c r="B44"/>
  <c r="A44" s="1"/>
  <c r="I43" a="1"/>
  <c r="I43" s="1"/>
  <c r="B43"/>
  <c r="A43" s="1"/>
  <c r="I42" a="1"/>
  <c r="I42" s="1"/>
  <c r="B42"/>
  <c r="A42" s="1"/>
  <c r="I41" a="1"/>
  <c r="I41" s="1"/>
  <c r="B41"/>
  <c r="A41" s="1"/>
  <c r="I40" a="1"/>
  <c r="I40" s="1"/>
  <c r="I39" a="1"/>
  <c r="I39" s="1"/>
  <c r="G39" a="1"/>
  <c r="G39" s="1"/>
  <c r="G45" s="1"/>
  <c r="B39"/>
  <c r="A39" s="1"/>
  <c r="F37"/>
  <c r="E38" s="1"/>
  <c r="I35" a="1"/>
  <c r="I35" s="1"/>
  <c r="G35" a="1"/>
  <c r="G35" s="1"/>
  <c r="I34" a="1"/>
  <c r="I34" s="1"/>
  <c r="G34" a="1"/>
  <c r="G34" s="1"/>
  <c r="I33" a="1"/>
  <c r="I33" s="1"/>
  <c r="G33" a="1"/>
  <c r="G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L13" i="54"/>
  <c r="L18" s="1"/>
  <c r="A25" i="52"/>
  <c r="N16"/>
  <c r="M16"/>
  <c r="L16"/>
  <c r="K16"/>
  <c r="J9"/>
  <c r="A8"/>
  <c r="H34" i="45"/>
  <c r="F34"/>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A51" i="63"/>
  <c r="O16"/>
  <c r="N16"/>
  <c r="M16"/>
  <c r="L16"/>
  <c r="F17" i="62"/>
  <c r="E17"/>
  <c r="D17"/>
  <c r="C17"/>
  <c r="I11" a="1"/>
  <c r="I11" s="1"/>
  <c r="G11" a="1"/>
  <c r="G11" s="1"/>
  <c r="I10" a="1"/>
  <c r="I10" s="1"/>
  <c r="G10" a="1"/>
  <c r="G10" s="1"/>
  <c r="I9" a="1"/>
  <c r="I9" s="1"/>
  <c r="G9" a="1"/>
  <c r="G9" s="1"/>
  <c r="I8" a="1"/>
  <c r="I8" s="1"/>
  <c r="G8" a="1"/>
  <c r="G8" s="1"/>
  <c r="I7" a="1"/>
  <c r="I7" s="1"/>
  <c r="G7" a="1"/>
  <c r="G7" s="1"/>
  <c r="I6" a="1"/>
  <c r="I6" s="1"/>
  <c r="G6" a="1"/>
  <c r="G6" s="1"/>
  <c r="I5" a="1"/>
  <c r="I5" s="1"/>
  <c r="G5" a="1"/>
  <c r="G5" s="1"/>
  <c r="A6" i="42"/>
  <c r="M24" i="39"/>
  <c r="H24"/>
  <c r="M17"/>
  <c r="H17"/>
  <c r="C11"/>
  <c r="M9"/>
  <c r="M7"/>
  <c r="L7"/>
  <c r="L6"/>
  <c r="H4"/>
  <c r="L3"/>
  <c r="L2"/>
  <c r="L1"/>
  <c r="I14" i="47"/>
  <c r="H14"/>
  <c r="E8"/>
  <c r="AZ59" i="51"/>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50"/>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49"/>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M2"/>
  <c r="M1"/>
  <c r="AZ59" i="48"/>
  <c r="A52" a="1"/>
  <c r="A52" s="1"/>
  <c r="A51" a="1"/>
  <c r="A51" s="1"/>
  <c r="I51" s="1"/>
  <c r="D50"/>
  <c r="D49"/>
  <c r="D48"/>
  <c r="D47"/>
  <c r="D46"/>
  <c r="D45"/>
  <c r="M335" i="34"/>
  <c r="M334"/>
  <c r="M246"/>
  <c r="M216"/>
  <c r="M333"/>
  <c r="M332"/>
  <c r="M323"/>
  <c r="M309"/>
  <c r="M306"/>
  <c r="M302"/>
  <c r="M301"/>
  <c r="M263"/>
  <c r="M252"/>
  <c r="M251"/>
  <c r="M236"/>
  <c r="M235"/>
  <c r="M234"/>
  <c r="M233"/>
  <c r="M242"/>
  <c r="M329"/>
  <c r="M319"/>
  <c r="M308"/>
  <c r="M304"/>
  <c r="M262"/>
  <c r="M86"/>
  <c r="C86"/>
  <c r="AD86" s="1"/>
  <c r="M85"/>
  <c r="C85"/>
  <c r="AD85" s="1"/>
  <c r="M84"/>
  <c r="C84"/>
  <c r="AD84" s="1"/>
  <c r="M83"/>
  <c r="C83"/>
  <c r="AD83" s="1"/>
  <c r="M82"/>
  <c r="C82"/>
  <c r="AD82" s="1"/>
  <c r="M81"/>
  <c r="C81"/>
  <c r="AD81" s="1"/>
  <c r="M80"/>
  <c r="C80"/>
  <c r="AD80" s="1"/>
  <c r="M171"/>
  <c r="C171"/>
  <c r="AD171" s="1"/>
  <c r="M170"/>
  <c r="C170"/>
  <c r="AD170" s="1"/>
  <c r="M169"/>
  <c r="C169"/>
  <c r="AD169" s="1"/>
  <c r="M168"/>
  <c r="C168"/>
  <c r="AD168" s="1"/>
  <c r="M167"/>
  <c r="C167"/>
  <c r="AD167" s="1"/>
  <c r="M166"/>
  <c r="C166"/>
  <c r="AD166" s="1"/>
  <c r="M121"/>
  <c r="C121"/>
  <c r="AD121" s="1"/>
  <c r="M120"/>
  <c r="C120"/>
  <c r="AD120" s="1"/>
  <c r="M118"/>
  <c r="C118"/>
  <c r="AD118" s="1"/>
  <c r="M117"/>
  <c r="C117"/>
  <c r="AD117" s="1"/>
  <c r="M116"/>
  <c r="C116"/>
  <c r="AD116" s="1"/>
  <c r="C115"/>
  <c r="AD115" s="1"/>
  <c r="M114"/>
  <c r="C114"/>
  <c r="AD114" s="1"/>
  <c r="M113"/>
  <c r="C113"/>
  <c r="AD113" s="1"/>
  <c r="M112"/>
  <c r="C112"/>
  <c r="AD112" s="1"/>
  <c r="M111"/>
  <c r="C111"/>
  <c r="AD111" s="1"/>
  <c r="M110"/>
  <c r="C110"/>
  <c r="AD110" s="1"/>
  <c r="M109"/>
  <c r="C109"/>
  <c r="AD109" s="1"/>
  <c r="C108"/>
  <c r="AD108" s="1"/>
  <c r="C107"/>
  <c r="AD107" s="1"/>
  <c r="C106"/>
  <c r="AD106" s="1"/>
  <c r="C105"/>
  <c r="AD105" s="1"/>
  <c r="C104"/>
  <c r="AD104" s="1"/>
  <c r="C103"/>
  <c r="AD103" s="1"/>
  <c r="C102"/>
  <c r="AD102" s="1"/>
  <c r="C101"/>
  <c r="AD101" s="1"/>
  <c r="C100"/>
  <c r="AD100" s="1"/>
  <c r="C99"/>
  <c r="AD99" s="1"/>
  <c r="C98"/>
  <c r="AD98" s="1"/>
  <c r="C97"/>
  <c r="AD97" s="1"/>
  <c r="C96"/>
  <c r="AD96" s="1"/>
  <c r="C95"/>
  <c r="AD95" s="1"/>
  <c r="C94"/>
  <c r="AD94" s="1"/>
  <c r="C93"/>
  <c r="AD93" s="1"/>
  <c r="M331"/>
  <c r="C331"/>
  <c r="AD331" s="1"/>
  <c r="M330"/>
  <c r="C330"/>
  <c r="AD330" s="1"/>
  <c r="M322"/>
  <c r="C322"/>
  <c r="AD322" s="1"/>
  <c r="M321"/>
  <c r="C321"/>
  <c r="AD321" s="1"/>
  <c r="M320"/>
  <c r="C320"/>
  <c r="AD320" s="1"/>
  <c r="E27"/>
  <c r="AA27" s="1"/>
  <c r="E26"/>
  <c r="AA26" s="1"/>
  <c r="E25"/>
  <c r="AA25" s="1"/>
  <c r="E77"/>
  <c r="AA77" s="1"/>
  <c r="B21"/>
  <c r="B15"/>
  <c r="A15" s="1"/>
  <c r="B14"/>
  <c r="A14" s="1"/>
  <c r="B13"/>
  <c r="A13" s="1"/>
  <c r="B12"/>
  <c r="A12" s="1"/>
  <c r="AC11"/>
  <c r="AB11"/>
  <c r="AA11"/>
  <c r="Y11"/>
  <c r="W11"/>
  <c r="P11"/>
  <c r="B11"/>
  <c r="A11" s="1"/>
  <c r="AC10"/>
  <c r="AB10"/>
  <c r="AA10"/>
  <c r="Y10"/>
  <c r="W10"/>
  <c r="P10"/>
  <c r="B10"/>
  <c r="A10" s="1"/>
  <c r="X7"/>
  <c r="D53" i="15"/>
  <c r="C53"/>
  <c r="H12" i="61"/>
  <c r="C12"/>
  <c r="X855" i="34" l="1"/>
  <c r="X854"/>
  <c r="X922"/>
  <c r="X923"/>
  <c r="X920"/>
  <c r="X921"/>
  <c r="X919"/>
  <c r="X887"/>
  <c r="X886"/>
  <c r="X885"/>
  <c r="X900"/>
  <c r="X888"/>
  <c r="AA842"/>
  <c r="AA824"/>
  <c r="AA850"/>
  <c r="AA828"/>
  <c r="AA820"/>
  <c r="AA825"/>
  <c r="AA839"/>
  <c r="AA821"/>
  <c r="AA724"/>
  <c r="AA840"/>
  <c r="AA841"/>
  <c r="AA819"/>
  <c r="AA849"/>
  <c r="AA822"/>
  <c r="AA823"/>
  <c r="AA837"/>
  <c r="AA829"/>
  <c r="AA818"/>
  <c r="AA835"/>
  <c r="AA808"/>
  <c r="AA836"/>
  <c r="AA827"/>
  <c r="AA806"/>
  <c r="AA833"/>
  <c r="AA843"/>
  <c r="AA838"/>
  <c r="AA810"/>
  <c r="AA831"/>
  <c r="AA813"/>
  <c r="AA809"/>
  <c r="AA812"/>
  <c r="AA834"/>
  <c r="AA807"/>
  <c r="AA845"/>
  <c r="AA832"/>
  <c r="X842"/>
  <c r="X843"/>
  <c r="X829"/>
  <c r="X828"/>
  <c r="X820"/>
  <c r="X821"/>
  <c r="X824"/>
  <c r="X825"/>
  <c r="X849"/>
  <c r="X850"/>
  <c r="X724"/>
  <c r="X822"/>
  <c r="X823"/>
  <c r="X841"/>
  <c r="X840"/>
  <c r="X819"/>
  <c r="X806"/>
  <c r="X845"/>
  <c r="X813"/>
  <c r="X839"/>
  <c r="X837"/>
  <c r="X834"/>
  <c r="X838"/>
  <c r="X836"/>
  <c r="X835"/>
  <c r="X833"/>
  <c r="X832"/>
  <c r="X827"/>
  <c r="X831"/>
  <c r="X818"/>
  <c r="X810"/>
  <c r="X808"/>
  <c r="X809"/>
  <c r="X812"/>
  <c r="X807"/>
  <c r="AA564"/>
  <c r="AA565"/>
  <c r="AA560"/>
  <c r="AA561"/>
  <c r="AA562"/>
  <c r="AA563"/>
  <c r="AA486"/>
  <c r="AA487"/>
  <c r="AA492"/>
  <c r="AA493"/>
  <c r="AA21"/>
  <c r="AA81"/>
  <c r="AA85"/>
  <c r="AA89"/>
  <c r="AA93"/>
  <c r="AA97"/>
  <c r="AA101"/>
  <c r="AA105"/>
  <c r="AA109"/>
  <c r="AA113"/>
  <c r="AA117"/>
  <c r="AA121"/>
  <c r="AA125"/>
  <c r="AA129"/>
  <c r="AA152"/>
  <c r="AA156"/>
  <c r="AA160"/>
  <c r="AA164"/>
  <c r="AA168"/>
  <c r="AA172"/>
  <c r="AA176"/>
  <c r="AA180"/>
  <c r="AA184"/>
  <c r="AA188"/>
  <c r="AA192"/>
  <c r="AA196"/>
  <c r="AA200"/>
  <c r="AA204"/>
  <c r="AA216"/>
  <c r="AA244"/>
  <c r="AA247"/>
  <c r="AA249"/>
  <c r="AA251"/>
  <c r="AA253"/>
  <c r="AA255"/>
  <c r="AA263"/>
  <c r="AA265"/>
  <c r="AA267"/>
  <c r="AA269"/>
  <c r="AA271"/>
  <c r="AA273"/>
  <c r="AA275"/>
  <c r="AA277"/>
  <c r="AA279"/>
  <c r="AA281"/>
  <c r="AA283"/>
  <c r="AA285"/>
  <c r="AA287"/>
  <c r="AA289"/>
  <c r="AA291"/>
  <c r="AA295"/>
  <c r="AA299"/>
  <c r="AA301"/>
  <c r="AA303"/>
  <c r="AA305"/>
  <c r="AA307"/>
  <c r="AA309"/>
  <c r="AA311"/>
  <c r="AA313"/>
  <c r="AA315"/>
  <c r="AA317"/>
  <c r="AA319"/>
  <c r="AA322"/>
  <c r="AA329"/>
  <c r="AA336"/>
  <c r="AA339"/>
  <c r="AA342"/>
  <c r="AA366"/>
  <c r="AA368"/>
  <c r="AA370"/>
  <c r="AA372"/>
  <c r="AA374"/>
  <c r="AA377"/>
  <c r="AA379"/>
  <c r="AA22"/>
  <c r="AA82"/>
  <c r="AA86"/>
  <c r="AA94"/>
  <c r="AA98"/>
  <c r="AA102"/>
  <c r="AA106"/>
  <c r="AA110"/>
  <c r="AA114"/>
  <c r="AA118"/>
  <c r="AA122"/>
  <c r="AA126"/>
  <c r="AA130"/>
  <c r="AA132"/>
  <c r="AA134"/>
  <c r="AA136"/>
  <c r="AA138"/>
  <c r="AA153"/>
  <c r="AA157"/>
  <c r="AA161"/>
  <c r="AA165"/>
  <c r="AA169"/>
  <c r="AA173"/>
  <c r="AA177"/>
  <c r="AA181"/>
  <c r="AA185"/>
  <c r="AA189"/>
  <c r="AA193"/>
  <c r="AA197"/>
  <c r="AA201"/>
  <c r="AA205"/>
  <c r="AA207"/>
  <c r="AA209"/>
  <c r="AA211"/>
  <c r="AA213"/>
  <c r="AA215"/>
  <c r="AA218"/>
  <c r="AA220"/>
  <c r="AA222"/>
  <c r="AA224"/>
  <c r="AA226"/>
  <c r="AA228"/>
  <c r="AA230"/>
  <c r="AA232"/>
  <c r="AA234"/>
  <c r="AA236"/>
  <c r="AA238"/>
  <c r="AA240"/>
  <c r="AA243"/>
  <c r="AA256"/>
  <c r="AA258"/>
  <c r="AA260"/>
  <c r="AA294"/>
  <c r="AA297"/>
  <c r="AA323"/>
  <c r="AA325"/>
  <c r="AA327"/>
  <c r="AA332"/>
  <c r="AA335"/>
  <c r="AA338"/>
  <c r="AA341"/>
  <c r="AA344"/>
  <c r="AA346"/>
  <c r="AA348"/>
  <c r="AA350"/>
  <c r="AA352"/>
  <c r="AA354"/>
  <c r="AA356"/>
  <c r="AA358"/>
  <c r="AA360"/>
  <c r="AA362"/>
  <c r="AA364"/>
  <c r="AA383"/>
  <c r="AA385"/>
  <c r="AA387"/>
  <c r="AA389"/>
  <c r="AA391"/>
  <c r="AA393"/>
  <c r="AA395"/>
  <c r="AA406"/>
  <c r="AA23"/>
  <c r="AA83"/>
  <c r="AA87"/>
  <c r="AA91"/>
  <c r="AA95"/>
  <c r="AA99"/>
  <c r="AA103"/>
  <c r="AA107"/>
  <c r="AA111"/>
  <c r="AA115"/>
  <c r="AA119"/>
  <c r="AA123"/>
  <c r="AA127"/>
  <c r="AA154"/>
  <c r="AA158"/>
  <c r="AA162"/>
  <c r="AA166"/>
  <c r="AA170"/>
  <c r="AA174"/>
  <c r="AA178"/>
  <c r="AA182"/>
  <c r="AA186"/>
  <c r="AA190"/>
  <c r="AA194"/>
  <c r="AA198"/>
  <c r="AA202"/>
  <c r="AA242"/>
  <c r="AA246"/>
  <c r="AA248"/>
  <c r="AA250"/>
  <c r="AA252"/>
  <c r="AA254"/>
  <c r="AA262"/>
  <c r="AA264"/>
  <c r="AA266"/>
  <c r="AA268"/>
  <c r="AA270"/>
  <c r="AA272"/>
  <c r="AA274"/>
  <c r="AA276"/>
  <c r="AA278"/>
  <c r="AA280"/>
  <c r="AA282"/>
  <c r="AA284"/>
  <c r="AA286"/>
  <c r="AA288"/>
  <c r="AA290"/>
  <c r="AA293"/>
  <c r="AA296"/>
  <c r="AA300"/>
  <c r="AA302"/>
  <c r="AA304"/>
  <c r="AA306"/>
  <c r="AA308"/>
  <c r="AA310"/>
  <c r="AA312"/>
  <c r="AA314"/>
  <c r="AA316"/>
  <c r="AA318"/>
  <c r="AA320"/>
  <c r="AA330"/>
  <c r="AA334"/>
  <c r="AA337"/>
  <c r="AA340"/>
  <c r="AA367"/>
  <c r="AA369"/>
  <c r="AA371"/>
  <c r="AA373"/>
  <c r="AA376"/>
  <c r="AA378"/>
  <c r="AA380"/>
  <c r="AA382"/>
  <c r="AA397"/>
  <c r="AA399"/>
  <c r="AA20"/>
  <c r="AA24"/>
  <c r="AA80"/>
  <c r="AA84"/>
  <c r="AA88"/>
  <c r="AA92"/>
  <c r="AA96"/>
  <c r="AA100"/>
  <c r="AA104"/>
  <c r="AA108"/>
  <c r="AA112"/>
  <c r="AA116"/>
  <c r="AA120"/>
  <c r="AA124"/>
  <c r="AA128"/>
  <c r="AA131"/>
  <c r="AA133"/>
  <c r="AA135"/>
  <c r="AA137"/>
  <c r="AA151"/>
  <c r="AA155"/>
  <c r="AA159"/>
  <c r="AA163"/>
  <c r="AA167"/>
  <c r="AA171"/>
  <c r="AA175"/>
  <c r="AA179"/>
  <c r="AA183"/>
  <c r="AA187"/>
  <c r="AA191"/>
  <c r="AA195"/>
  <c r="AA199"/>
  <c r="AA203"/>
  <c r="AA206"/>
  <c r="AA208"/>
  <c r="AA210"/>
  <c r="AA212"/>
  <c r="AA214"/>
  <c r="AA217"/>
  <c r="AA219"/>
  <c r="AA221"/>
  <c r="AA223"/>
  <c r="AA225"/>
  <c r="AA227"/>
  <c r="AA229"/>
  <c r="AA231"/>
  <c r="AA233"/>
  <c r="AA235"/>
  <c r="AA237"/>
  <c r="AA239"/>
  <c r="AA241"/>
  <c r="AA245"/>
  <c r="AA257"/>
  <c r="AA259"/>
  <c r="AA261"/>
  <c r="AA292"/>
  <c r="AA298"/>
  <c r="AA321"/>
  <c r="AA324"/>
  <c r="AA326"/>
  <c r="AA328"/>
  <c r="AA331"/>
  <c r="AA333"/>
  <c r="AA343"/>
  <c r="AA345"/>
  <c r="AA347"/>
  <c r="AA349"/>
  <c r="AA351"/>
  <c r="AA353"/>
  <c r="AA355"/>
  <c r="AA357"/>
  <c r="AA359"/>
  <c r="AA361"/>
  <c r="AA363"/>
  <c r="AA365"/>
  <c r="AA375"/>
  <c r="AA384"/>
  <c r="AA386"/>
  <c r="AA388"/>
  <c r="AA390"/>
  <c r="AA392"/>
  <c r="AA394"/>
  <c r="AA396"/>
  <c r="AA400"/>
  <c r="AA402"/>
  <c r="AA405"/>
  <c r="AA415"/>
  <c r="AA420"/>
  <c r="AA422"/>
  <c r="AA424"/>
  <c r="AA427"/>
  <c r="AA440"/>
  <c r="AA443"/>
  <c r="AA445"/>
  <c r="AA451"/>
  <c r="AA455"/>
  <c r="AA457"/>
  <c r="AA459"/>
  <c r="AA461"/>
  <c r="AA566"/>
  <c r="AA572"/>
  <c r="AA576"/>
  <c r="AA579"/>
  <c r="AA581"/>
  <c r="AA583"/>
  <c r="AA585"/>
  <c r="AA587"/>
  <c r="AA589"/>
  <c r="AA591"/>
  <c r="AA593"/>
  <c r="AA595"/>
  <c r="AA597"/>
  <c r="AA599"/>
  <c r="AA601"/>
  <c r="AA603"/>
  <c r="AA613"/>
  <c r="AA617"/>
  <c r="AA639"/>
  <c r="AA641"/>
  <c r="AA643"/>
  <c r="AA645"/>
  <c r="AA647"/>
  <c r="AA649"/>
  <c r="AA651"/>
  <c r="AA653"/>
  <c r="AA655"/>
  <c r="AA658"/>
  <c r="AA663"/>
  <c r="AA381"/>
  <c r="AA398"/>
  <c r="AA407"/>
  <c r="AA410"/>
  <c r="AA412"/>
  <c r="AA414"/>
  <c r="AA418"/>
  <c r="AA428"/>
  <c r="AA431"/>
  <c r="AA433"/>
  <c r="AA435"/>
  <c r="AA437"/>
  <c r="AA439"/>
  <c r="AA442"/>
  <c r="AA446"/>
  <c r="AA448"/>
  <c r="AA454"/>
  <c r="AA463"/>
  <c r="AA465"/>
  <c r="AA467"/>
  <c r="AA469"/>
  <c r="AA471"/>
  <c r="AA473"/>
  <c r="AA475"/>
  <c r="AA477"/>
  <c r="AA479"/>
  <c r="AA481"/>
  <c r="AA483"/>
  <c r="AA485"/>
  <c r="AA491"/>
  <c r="AA495"/>
  <c r="AA497"/>
  <c r="AA499"/>
  <c r="AA501"/>
  <c r="AA503"/>
  <c r="AA505"/>
  <c r="AA507"/>
  <c r="AA511"/>
  <c r="AA513"/>
  <c r="AA515"/>
  <c r="AA517"/>
  <c r="AA519"/>
  <c r="AA521"/>
  <c r="AA523"/>
  <c r="AA525"/>
  <c r="AA527"/>
  <c r="AA529"/>
  <c r="AA531"/>
  <c r="AA533"/>
  <c r="AA535"/>
  <c r="AA537"/>
  <c r="AA539"/>
  <c r="AA541"/>
  <c r="AA543"/>
  <c r="AA545"/>
  <c r="AA547"/>
  <c r="AA549"/>
  <c r="AA551"/>
  <c r="AA553"/>
  <c r="AA555"/>
  <c r="AA557"/>
  <c r="AA559"/>
  <c r="AA568"/>
  <c r="AA571"/>
  <c r="AA575"/>
  <c r="AA605"/>
  <c r="AA607"/>
  <c r="AA609"/>
  <c r="AA612"/>
  <c r="AA616"/>
  <c r="AA619"/>
  <c r="AA621"/>
  <c r="AA623"/>
  <c r="AA625"/>
  <c r="AA627"/>
  <c r="AA629"/>
  <c r="AA631"/>
  <c r="AA633"/>
  <c r="AA635"/>
  <c r="AA637"/>
  <c r="AA657"/>
  <c r="AA662"/>
  <c r="AA665"/>
  <c r="AA667"/>
  <c r="AA669"/>
  <c r="AA401"/>
  <c r="AA403"/>
  <c r="AA408"/>
  <c r="AA417"/>
  <c r="AA421"/>
  <c r="AA423"/>
  <c r="AA425"/>
  <c r="AA429"/>
  <c r="AA441"/>
  <c r="AA444"/>
  <c r="AA450"/>
  <c r="AA453"/>
  <c r="AA456"/>
  <c r="AA458"/>
  <c r="AA460"/>
  <c r="AA570"/>
  <c r="AA574"/>
  <c r="AA578"/>
  <c r="AA580"/>
  <c r="AA582"/>
  <c r="AA584"/>
  <c r="AA586"/>
  <c r="AA588"/>
  <c r="AA590"/>
  <c r="AA592"/>
  <c r="AA594"/>
  <c r="AA596"/>
  <c r="AA598"/>
  <c r="AA600"/>
  <c r="AA602"/>
  <c r="AA604"/>
  <c r="AA611"/>
  <c r="AA615"/>
  <c r="AA638"/>
  <c r="AA640"/>
  <c r="AA642"/>
  <c r="AA644"/>
  <c r="AA646"/>
  <c r="AA648"/>
  <c r="AA650"/>
  <c r="AA652"/>
  <c r="AA654"/>
  <c r="AA656"/>
  <c r="AA404"/>
  <c r="AA409"/>
  <c r="AA411"/>
  <c r="AA413"/>
  <c r="AA416"/>
  <c r="AA419"/>
  <c r="AA426"/>
  <c r="AA430"/>
  <c r="AA432"/>
  <c r="AA434"/>
  <c r="AA436"/>
  <c r="AA438"/>
  <c r="AA447"/>
  <c r="AA449"/>
  <c r="AA452"/>
  <c r="AA462"/>
  <c r="AA464"/>
  <c r="AA466"/>
  <c r="AA468"/>
  <c r="AA470"/>
  <c r="AA472"/>
  <c r="AA474"/>
  <c r="AA476"/>
  <c r="AA478"/>
  <c r="AA480"/>
  <c r="AA482"/>
  <c r="AA484"/>
  <c r="AA490"/>
  <c r="AA494"/>
  <c r="AA496"/>
  <c r="AA498"/>
  <c r="AA500"/>
  <c r="AA502"/>
  <c r="AA504"/>
  <c r="AA506"/>
  <c r="AA510"/>
  <c r="AA512"/>
  <c r="AA514"/>
  <c r="AA516"/>
  <c r="AA518"/>
  <c r="AA520"/>
  <c r="AA522"/>
  <c r="AA524"/>
  <c r="AA526"/>
  <c r="AA528"/>
  <c r="AA530"/>
  <c r="AA532"/>
  <c r="AA534"/>
  <c r="AA536"/>
  <c r="AA538"/>
  <c r="AA540"/>
  <c r="AA542"/>
  <c r="AA544"/>
  <c r="AA546"/>
  <c r="AA548"/>
  <c r="AA550"/>
  <c r="AA552"/>
  <c r="AA554"/>
  <c r="AA556"/>
  <c r="AA558"/>
  <c r="AA567"/>
  <c r="AA569"/>
  <c r="AA573"/>
  <c r="AA577"/>
  <c r="AA606"/>
  <c r="AA608"/>
  <c r="AA610"/>
  <c r="AA614"/>
  <c r="AA618"/>
  <c r="AA620"/>
  <c r="AA622"/>
  <c r="AA624"/>
  <c r="AA626"/>
  <c r="AA628"/>
  <c r="AA630"/>
  <c r="AA632"/>
  <c r="AA634"/>
  <c r="AA636"/>
  <c r="AA659"/>
  <c r="AA668"/>
  <c r="AA677"/>
  <c r="AA679"/>
  <c r="AA681"/>
  <c r="AA683"/>
  <c r="AA685"/>
  <c r="AA687"/>
  <c r="AA689"/>
  <c r="AA691"/>
  <c r="AA693"/>
  <c r="AA695"/>
  <c r="AA697"/>
  <c r="AA699"/>
  <c r="AA701"/>
  <c r="AA703"/>
  <c r="AA705"/>
  <c r="AA707"/>
  <c r="AA709"/>
  <c r="AA711"/>
  <c r="AA713"/>
  <c r="AA715"/>
  <c r="AA717"/>
  <c r="AA719"/>
  <c r="AA721"/>
  <c r="AA723"/>
  <c r="AA726"/>
  <c r="AA728"/>
  <c r="AA734"/>
  <c r="AA738"/>
  <c r="AA742"/>
  <c r="AA746"/>
  <c r="AA666"/>
  <c r="AA671"/>
  <c r="AA731"/>
  <c r="AA735"/>
  <c r="AA739"/>
  <c r="AA743"/>
  <c r="AA747"/>
  <c r="AA805"/>
  <c r="AA811"/>
  <c r="AA815"/>
  <c r="AA844"/>
  <c r="AA846"/>
  <c r="AA848"/>
  <c r="AA861"/>
  <c r="AA863"/>
  <c r="AA865"/>
  <c r="AA867"/>
  <c r="AA869"/>
  <c r="AA871"/>
  <c r="AA873"/>
  <c r="AA875"/>
  <c r="AA877"/>
  <c r="AA879"/>
  <c r="AA881"/>
  <c r="AA883"/>
  <c r="AA889"/>
  <c r="AA891"/>
  <c r="AA893"/>
  <c r="AA895"/>
  <c r="AA897"/>
  <c r="AA899"/>
  <c r="AA902"/>
  <c r="AA904"/>
  <c r="AA906"/>
  <c r="AA908"/>
  <c r="AA910"/>
  <c r="AA912"/>
  <c r="AA914"/>
  <c r="AA916"/>
  <c r="AA918"/>
  <c r="AA925"/>
  <c r="AA927"/>
  <c r="AA929"/>
  <c r="AA931"/>
  <c r="AA933"/>
  <c r="AA935"/>
  <c r="AA937"/>
  <c r="AA939"/>
  <c r="AA941"/>
  <c r="AA943"/>
  <c r="AA945"/>
  <c r="AA947"/>
  <c r="AA949"/>
  <c r="AA951"/>
  <c r="AA953"/>
  <c r="AA955"/>
  <c r="AA957"/>
  <c r="AA959"/>
  <c r="AA961"/>
  <c r="AA963"/>
  <c r="AA965"/>
  <c r="AA967"/>
  <c r="AA969"/>
  <c r="AA971"/>
  <c r="AA973"/>
  <c r="AA975"/>
  <c r="AA664"/>
  <c r="AA678"/>
  <c r="AA680"/>
  <c r="AA682"/>
  <c r="AA684"/>
  <c r="AA686"/>
  <c r="AA688"/>
  <c r="AA690"/>
  <c r="AA692"/>
  <c r="AA694"/>
  <c r="AA696"/>
  <c r="AA698"/>
  <c r="AA700"/>
  <c r="AA702"/>
  <c r="AA704"/>
  <c r="AA706"/>
  <c r="AA708"/>
  <c r="AA710"/>
  <c r="AA712"/>
  <c r="AA714"/>
  <c r="AA716"/>
  <c r="AA718"/>
  <c r="AA720"/>
  <c r="AA722"/>
  <c r="AA725"/>
  <c r="AA727"/>
  <c r="AA729"/>
  <c r="AA732"/>
  <c r="AA736"/>
  <c r="AA740"/>
  <c r="AA744"/>
  <c r="AA748"/>
  <c r="AA661"/>
  <c r="AA670"/>
  <c r="AA733"/>
  <c r="AA737"/>
  <c r="AA741"/>
  <c r="AA745"/>
  <c r="AA749"/>
  <c r="AA804"/>
  <c r="AA814"/>
  <c r="AA816"/>
  <c r="AA817"/>
  <c r="AA826"/>
  <c r="AA830"/>
  <c r="AA847"/>
  <c r="AA860"/>
  <c r="AA862"/>
  <c r="AA864"/>
  <c r="AA866"/>
  <c r="AA868"/>
  <c r="AA870"/>
  <c r="AA872"/>
  <c r="AA874"/>
  <c r="AA876"/>
  <c r="AA878"/>
  <c r="AA880"/>
  <c r="AA882"/>
  <c r="AA884"/>
  <c r="AA890"/>
  <c r="AA892"/>
  <c r="AA894"/>
  <c r="AA896"/>
  <c r="AA898"/>
  <c r="AA901"/>
  <c r="AA903"/>
  <c r="AA905"/>
  <c r="AA907"/>
  <c r="AA909"/>
  <c r="AA911"/>
  <c r="AA913"/>
  <c r="AA915"/>
  <c r="AA917"/>
  <c r="AA924"/>
  <c r="AA926"/>
  <c r="AA928"/>
  <c r="AA930"/>
  <c r="AA932"/>
  <c r="AA934"/>
  <c r="AA936"/>
  <c r="AA938"/>
  <c r="AA940"/>
  <c r="AA942"/>
  <c r="AA944"/>
  <c r="AA946"/>
  <c r="AA948"/>
  <c r="AA950"/>
  <c r="AA952"/>
  <c r="AA954"/>
  <c r="AA956"/>
  <c r="AA958"/>
  <c r="AA960"/>
  <c r="AA962"/>
  <c r="AA964"/>
  <c r="AA966"/>
  <c r="AA968"/>
  <c r="AA970"/>
  <c r="AA972"/>
  <c r="AA974"/>
  <c r="AA976"/>
  <c r="AA978"/>
  <c r="AA980"/>
  <c r="AA982"/>
  <c r="AA984"/>
  <c r="AA986"/>
  <c r="AA983"/>
  <c r="AA802"/>
  <c r="AA981"/>
  <c r="AA985"/>
  <c r="AA979"/>
  <c r="AA987"/>
  <c r="AA977"/>
  <c r="AA754"/>
  <c r="AA771"/>
  <c r="AA773"/>
  <c r="AA799"/>
  <c r="AA778"/>
  <c r="AA753"/>
  <c r="AA761"/>
  <c r="AA774"/>
  <c r="AA787"/>
  <c r="AA800"/>
  <c r="AA779"/>
  <c r="AA764"/>
  <c r="AA784"/>
  <c r="AA803"/>
  <c r="AA758"/>
  <c r="AA794"/>
  <c r="AA783"/>
  <c r="AA762"/>
  <c r="AA782"/>
  <c r="AA755"/>
  <c r="AA765"/>
  <c r="AA777"/>
  <c r="AA789"/>
  <c r="AA756"/>
  <c r="AA786"/>
  <c r="AA768"/>
  <c r="AA792"/>
  <c r="AA763"/>
  <c r="AA798"/>
  <c r="AA788"/>
  <c r="AA766"/>
  <c r="AA790"/>
  <c r="AA757"/>
  <c r="AA769"/>
  <c r="AA781"/>
  <c r="AA793"/>
  <c r="AA760"/>
  <c r="AA795"/>
  <c r="AA776"/>
  <c r="AA796"/>
  <c r="AA767"/>
  <c r="AA752"/>
  <c r="AA791"/>
  <c r="AA770"/>
  <c r="AA751"/>
  <c r="AA759"/>
  <c r="AA772"/>
  <c r="AA785"/>
  <c r="AA797"/>
  <c r="AA775"/>
  <c r="AA801"/>
  <c r="AA780"/>
  <c r="AA750"/>
  <c r="AA673"/>
  <c r="AA675"/>
  <c r="AA674"/>
  <c r="AA676"/>
  <c r="AA140"/>
  <c r="AA144"/>
  <c r="AA143"/>
  <c r="AA146"/>
  <c r="AA141"/>
  <c r="AA148"/>
  <c r="AA730"/>
  <c r="AA142"/>
  <c r="AA145"/>
  <c r="AA139"/>
  <c r="AA147"/>
  <c r="AA150"/>
  <c r="AA149"/>
  <c r="AA90"/>
  <c r="AA672"/>
  <c r="AA40"/>
  <c r="AA41"/>
  <c r="AA55"/>
  <c r="AA49"/>
  <c r="AA70"/>
  <c r="AA56"/>
  <c r="AA46"/>
  <c r="AA61"/>
  <c r="AA71"/>
  <c r="AA52"/>
  <c r="AA51"/>
  <c r="AA50"/>
  <c r="AA45"/>
  <c r="AA57"/>
  <c r="AA63"/>
  <c r="AA72"/>
  <c r="AA64"/>
  <c r="AA54"/>
  <c r="AA65"/>
  <c r="AA73"/>
  <c r="AA34"/>
  <c r="AA59"/>
  <c r="AA58"/>
  <c r="AA48"/>
  <c r="AA62"/>
  <c r="AA66"/>
  <c r="AA74"/>
  <c r="AA75"/>
  <c r="AA60"/>
  <c r="AA67"/>
  <c r="AA36"/>
  <c r="AA39"/>
  <c r="AA37"/>
  <c r="AA53"/>
  <c r="AA35"/>
  <c r="AA68"/>
  <c r="AA44"/>
  <c r="AA38"/>
  <c r="AA47"/>
  <c r="AA69"/>
  <c r="AA42"/>
  <c r="AA43"/>
  <c r="AA30"/>
  <c r="AA29"/>
  <c r="AA31"/>
  <c r="AA33"/>
  <c r="AA28"/>
  <c r="AA79"/>
  <c r="AA32"/>
  <c r="AA78"/>
  <c r="AA76"/>
  <c r="X564"/>
  <c r="X565"/>
  <c r="X560"/>
  <c r="X561"/>
  <c r="X562"/>
  <c r="X563"/>
  <c r="X486"/>
  <c r="X487"/>
  <c r="X492"/>
  <c r="X493"/>
  <c r="J38" i="63"/>
  <c r="E38"/>
  <c r="K37"/>
  <c r="F37"/>
  <c r="B37"/>
  <c r="H36"/>
  <c r="C36"/>
  <c r="A36" s="1"/>
  <c r="I35"/>
  <c r="D35"/>
  <c r="K38"/>
  <c r="F38"/>
  <c r="B38"/>
  <c r="H37"/>
  <c r="C37"/>
  <c r="A37" s="1"/>
  <c r="I36"/>
  <c r="D36"/>
  <c r="J35"/>
  <c r="E35"/>
  <c r="C35"/>
  <c r="A35" s="1"/>
  <c r="H38"/>
  <c r="C38"/>
  <c r="A38" s="1"/>
  <c r="I37"/>
  <c r="D37"/>
  <c r="J36"/>
  <c r="E36"/>
  <c r="K35"/>
  <c r="F35"/>
  <c r="B35"/>
  <c r="I38"/>
  <c r="D38"/>
  <c r="J37"/>
  <c r="E37"/>
  <c r="K36"/>
  <c r="F36"/>
  <c r="B36"/>
  <c r="H35"/>
  <c r="X20" i="34"/>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2"/>
  <c r="X134"/>
  <c r="X136"/>
  <c r="X138"/>
  <c r="X206"/>
  <c r="X208"/>
  <c r="X210"/>
  <c r="X212"/>
  <c r="X214"/>
  <c r="X218"/>
  <c r="X220"/>
  <c r="X222"/>
  <c r="X224"/>
  <c r="X226"/>
  <c r="X228"/>
  <c r="X230"/>
  <c r="X232"/>
  <c r="X234"/>
  <c r="X236"/>
  <c r="X238"/>
  <c r="X240"/>
  <c r="X247"/>
  <c r="X249"/>
  <c r="X251"/>
  <c r="X253"/>
  <c r="X255"/>
  <c r="X256"/>
  <c r="X258"/>
  <c r="X260"/>
  <c r="X263"/>
  <c r="X265"/>
  <c r="X267"/>
  <c r="X269"/>
  <c r="X271"/>
  <c r="X273"/>
  <c r="X275"/>
  <c r="X277"/>
  <c r="X279"/>
  <c r="X281"/>
  <c r="X283"/>
  <c r="X285"/>
  <c r="X287"/>
  <c r="X289"/>
  <c r="X291"/>
  <c r="X292"/>
  <c r="X293"/>
  <c r="X294"/>
  <c r="X295"/>
  <c r="X298"/>
  <c r="X299"/>
  <c r="X301"/>
  <c r="X303"/>
  <c r="X305"/>
  <c r="X307"/>
  <c r="X309"/>
  <c r="X311"/>
  <c r="X313"/>
  <c r="X315"/>
  <c r="X317"/>
  <c r="X319"/>
  <c r="X324"/>
  <c r="X326"/>
  <c r="X328"/>
  <c r="X329"/>
  <c r="X332"/>
  <c r="X337"/>
  <c r="X338"/>
  <c r="X339"/>
  <c r="X344"/>
  <c r="X346"/>
  <c r="X348"/>
  <c r="X350"/>
  <c r="X352"/>
  <c r="X354"/>
  <c r="X356"/>
  <c r="X358"/>
  <c r="X360"/>
  <c r="X362"/>
  <c r="X364"/>
  <c r="X367"/>
  <c r="X369"/>
  <c r="X371"/>
  <c r="X373"/>
  <c r="X377"/>
  <c r="X379"/>
  <c r="X381"/>
  <c r="X384"/>
  <c r="X386"/>
  <c r="X388"/>
  <c r="X390"/>
  <c r="X392"/>
  <c r="X394"/>
  <c r="X396"/>
  <c r="X397"/>
  <c r="X399"/>
  <c r="X401"/>
  <c r="X403"/>
  <c r="X404"/>
  <c r="X405"/>
  <c r="X406"/>
  <c r="X407"/>
  <c r="X408"/>
  <c r="X409"/>
  <c r="X411"/>
  <c r="X413"/>
  <c r="X419"/>
  <c r="X420"/>
  <c r="X422"/>
  <c r="X424"/>
  <c r="X431"/>
  <c r="X433"/>
  <c r="X435"/>
  <c r="X437"/>
  <c r="X439"/>
  <c r="X440"/>
  <c r="X444"/>
  <c r="X447"/>
  <c r="X449"/>
  <c r="X450"/>
  <c r="X456"/>
  <c r="X458"/>
  <c r="X460"/>
  <c r="X463"/>
  <c r="X465"/>
  <c r="X467"/>
  <c r="X469"/>
  <c r="X471"/>
  <c r="X473"/>
  <c r="X475"/>
  <c r="X477"/>
  <c r="X479"/>
  <c r="X481"/>
  <c r="X483"/>
  <c r="X485"/>
  <c r="X491"/>
  <c r="X495"/>
  <c r="X497"/>
  <c r="X499"/>
  <c r="X501"/>
  <c r="X503"/>
  <c r="X505"/>
  <c r="X507"/>
  <c r="X511"/>
  <c r="X513"/>
  <c r="X515"/>
  <c r="X131"/>
  <c r="X133"/>
  <c r="X135"/>
  <c r="X137"/>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X189"/>
  <c r="X190"/>
  <c r="X191"/>
  <c r="X192"/>
  <c r="X193"/>
  <c r="X194"/>
  <c r="X195"/>
  <c r="X196"/>
  <c r="X197"/>
  <c r="X198"/>
  <c r="X199"/>
  <c r="X200"/>
  <c r="X201"/>
  <c r="X202"/>
  <c r="X203"/>
  <c r="X204"/>
  <c r="X205"/>
  <c r="X207"/>
  <c r="X209"/>
  <c r="X211"/>
  <c r="X213"/>
  <c r="X215"/>
  <c r="X216"/>
  <c r="X217"/>
  <c r="X219"/>
  <c r="X221"/>
  <c r="X223"/>
  <c r="X225"/>
  <c r="X227"/>
  <c r="X229"/>
  <c r="X231"/>
  <c r="X233"/>
  <c r="X235"/>
  <c r="X237"/>
  <c r="X239"/>
  <c r="X241"/>
  <c r="X242"/>
  <c r="X243"/>
  <c r="X244"/>
  <c r="X245"/>
  <c r="X246"/>
  <c r="X248"/>
  <c r="X250"/>
  <c r="X252"/>
  <c r="X254"/>
  <c r="X257"/>
  <c r="X259"/>
  <c r="X261"/>
  <c r="X262"/>
  <c r="X264"/>
  <c r="X266"/>
  <c r="X268"/>
  <c r="X270"/>
  <c r="X272"/>
  <c r="X274"/>
  <c r="X276"/>
  <c r="X278"/>
  <c r="X280"/>
  <c r="X282"/>
  <c r="X284"/>
  <c r="X286"/>
  <c r="X288"/>
  <c r="X290"/>
  <c r="X296"/>
  <c r="X297"/>
  <c r="X300"/>
  <c r="X302"/>
  <c r="X304"/>
  <c r="X306"/>
  <c r="X308"/>
  <c r="X310"/>
  <c r="X312"/>
  <c r="X314"/>
  <c r="X316"/>
  <c r="X318"/>
  <c r="X320"/>
  <c r="X321"/>
  <c r="X322"/>
  <c r="X323"/>
  <c r="X325"/>
  <c r="X327"/>
  <c r="X330"/>
  <c r="X331"/>
  <c r="X333"/>
  <c r="X334"/>
  <c r="X335"/>
  <c r="X336"/>
  <c r="X340"/>
  <c r="X341"/>
  <c r="X342"/>
  <c r="X343"/>
  <c r="X345"/>
  <c r="X347"/>
  <c r="X349"/>
  <c r="X351"/>
  <c r="X353"/>
  <c r="X355"/>
  <c r="X357"/>
  <c r="X359"/>
  <c r="X361"/>
  <c r="X363"/>
  <c r="X365"/>
  <c r="X366"/>
  <c r="X368"/>
  <c r="X370"/>
  <c r="X372"/>
  <c r="X374"/>
  <c r="X375"/>
  <c r="X376"/>
  <c r="X378"/>
  <c r="X380"/>
  <c r="X382"/>
  <c r="X383"/>
  <c r="X385"/>
  <c r="X387"/>
  <c r="X389"/>
  <c r="X391"/>
  <c r="X393"/>
  <c r="X395"/>
  <c r="X398"/>
  <c r="X400"/>
  <c r="X402"/>
  <c r="X410"/>
  <c r="X412"/>
  <c r="X414"/>
  <c r="X415"/>
  <c r="X416"/>
  <c r="X417"/>
  <c r="X418"/>
  <c r="X421"/>
  <c r="X423"/>
  <c r="X425"/>
  <c r="X426"/>
  <c r="X427"/>
  <c r="X428"/>
  <c r="X429"/>
  <c r="X430"/>
  <c r="X432"/>
  <c r="X434"/>
  <c r="X436"/>
  <c r="X438"/>
  <c r="X441"/>
  <c r="X442"/>
  <c r="X443"/>
  <c r="X445"/>
  <c r="X446"/>
  <c r="X448"/>
  <c r="X451"/>
  <c r="X452"/>
  <c r="X453"/>
  <c r="X454"/>
  <c r="X455"/>
  <c r="X457"/>
  <c r="X459"/>
  <c r="X461"/>
  <c r="X462"/>
  <c r="X464"/>
  <c r="X466"/>
  <c r="X468"/>
  <c r="X470"/>
  <c r="X472"/>
  <c r="X474"/>
  <c r="X476"/>
  <c r="X478"/>
  <c r="X480"/>
  <c r="X482"/>
  <c r="X484"/>
  <c r="X490"/>
  <c r="X494"/>
  <c r="X496"/>
  <c r="X498"/>
  <c r="X500"/>
  <c r="X502"/>
  <c r="X504"/>
  <c r="X506"/>
  <c r="X510"/>
  <c r="X512"/>
  <c r="X514"/>
  <c r="X516"/>
  <c r="X518"/>
  <c r="X520"/>
  <c r="X522"/>
  <c r="X524"/>
  <c r="X526"/>
  <c r="X528"/>
  <c r="X530"/>
  <c r="X532"/>
  <c r="X519"/>
  <c r="X523"/>
  <c r="X527"/>
  <c r="X531"/>
  <c r="X534"/>
  <c r="X536"/>
  <c r="X538"/>
  <c r="X540"/>
  <c r="X542"/>
  <c r="X544"/>
  <c r="X546"/>
  <c r="X548"/>
  <c r="X550"/>
  <c r="X552"/>
  <c r="X554"/>
  <c r="X556"/>
  <c r="X558"/>
  <c r="X568"/>
  <c r="X579"/>
  <c r="X581"/>
  <c r="X583"/>
  <c r="X585"/>
  <c r="X587"/>
  <c r="X589"/>
  <c r="X591"/>
  <c r="X593"/>
  <c r="X595"/>
  <c r="X597"/>
  <c r="X599"/>
  <c r="X601"/>
  <c r="X603"/>
  <c r="X606"/>
  <c r="X608"/>
  <c r="X610"/>
  <c r="X611"/>
  <c r="X612"/>
  <c r="X613"/>
  <c r="X614"/>
  <c r="X615"/>
  <c r="X616"/>
  <c r="X617"/>
  <c r="X618"/>
  <c r="X620"/>
  <c r="X622"/>
  <c r="X624"/>
  <c r="X626"/>
  <c r="X628"/>
  <c r="X630"/>
  <c r="X632"/>
  <c r="X634"/>
  <c r="X636"/>
  <c r="X639"/>
  <c r="X641"/>
  <c r="X643"/>
  <c r="X645"/>
  <c r="X647"/>
  <c r="X649"/>
  <c r="X651"/>
  <c r="X653"/>
  <c r="X655"/>
  <c r="X661"/>
  <c r="X662"/>
  <c r="X663"/>
  <c r="X664"/>
  <c r="X666"/>
  <c r="X668"/>
  <c r="X670"/>
  <c r="X672"/>
  <c r="X673"/>
  <c r="X674"/>
  <c r="X675"/>
  <c r="X676"/>
  <c r="X677"/>
  <c r="X679"/>
  <c r="X681"/>
  <c r="X683"/>
  <c r="X685"/>
  <c r="X687"/>
  <c r="X689"/>
  <c r="X691"/>
  <c r="X693"/>
  <c r="X695"/>
  <c r="X697"/>
  <c r="X699"/>
  <c r="X701"/>
  <c r="X703"/>
  <c r="X705"/>
  <c r="X707"/>
  <c r="X709"/>
  <c r="X711"/>
  <c r="X713"/>
  <c r="X715"/>
  <c r="X717"/>
  <c r="X719"/>
  <c r="X721"/>
  <c r="X723"/>
  <c r="X726"/>
  <c r="X728"/>
  <c r="X730"/>
  <c r="X731"/>
  <c r="X732"/>
  <c r="X733"/>
  <c r="X734"/>
  <c r="X735"/>
  <c r="X736"/>
  <c r="X737"/>
  <c r="X738"/>
  <c r="X739"/>
  <c r="X740"/>
  <c r="X741"/>
  <c r="X742"/>
  <c r="X743"/>
  <c r="X744"/>
  <c r="X745"/>
  <c r="X746"/>
  <c r="X747"/>
  <c r="X748"/>
  <c r="X749"/>
  <c r="X750"/>
  <c r="X751"/>
  <c r="X752"/>
  <c r="X753"/>
  <c r="X754"/>
  <c r="X755"/>
  <c r="X756"/>
  <c r="X757"/>
  <c r="X758"/>
  <c r="X759"/>
  <c r="X760"/>
  <c r="X761"/>
  <c r="X762"/>
  <c r="X763"/>
  <c r="X764"/>
  <c r="X765"/>
  <c r="X766"/>
  <c r="X767"/>
  <c r="X768"/>
  <c r="X769"/>
  <c r="X770"/>
  <c r="X771"/>
  <c r="X772"/>
  <c r="X773"/>
  <c r="X774"/>
  <c r="X775"/>
  <c r="X776"/>
  <c r="X777"/>
  <c r="X778"/>
  <c r="X779"/>
  <c r="X780"/>
  <c r="X781"/>
  <c r="X782"/>
  <c r="X783"/>
  <c r="X784"/>
  <c r="X785"/>
  <c r="X786"/>
  <c r="X787"/>
  <c r="X788"/>
  <c r="X789"/>
  <c r="X790"/>
  <c r="X791"/>
  <c r="X792"/>
  <c r="X793"/>
  <c r="X794"/>
  <c r="X795"/>
  <c r="X796"/>
  <c r="X797"/>
  <c r="X798"/>
  <c r="X799"/>
  <c r="X800"/>
  <c r="X801"/>
  <c r="X802"/>
  <c r="X804"/>
  <c r="X814"/>
  <c r="X816"/>
  <c r="X817"/>
  <c r="X826"/>
  <c r="X830"/>
  <c r="X847"/>
  <c r="X860"/>
  <c r="X862"/>
  <c r="X864"/>
  <c r="X866"/>
  <c r="X868"/>
  <c r="X870"/>
  <c r="X872"/>
  <c r="X874"/>
  <c r="X876"/>
  <c r="X878"/>
  <c r="X880"/>
  <c r="X882"/>
  <c r="X884"/>
  <c r="X890"/>
  <c r="X892"/>
  <c r="X894"/>
  <c r="X896"/>
  <c r="X898"/>
  <c r="X901"/>
  <c r="X903"/>
  <c r="X905"/>
  <c r="X907"/>
  <c r="X909"/>
  <c r="X911"/>
  <c r="X913"/>
  <c r="X915"/>
  <c r="X917"/>
  <c r="X924"/>
  <c r="X926"/>
  <c r="X928"/>
  <c r="X930"/>
  <c r="X932"/>
  <c r="X934"/>
  <c r="X936"/>
  <c r="X938"/>
  <c r="X940"/>
  <c r="X942"/>
  <c r="X944"/>
  <c r="X946"/>
  <c r="X948"/>
  <c r="X950"/>
  <c r="X952"/>
  <c r="X954"/>
  <c r="X956"/>
  <c r="X958"/>
  <c r="X960"/>
  <c r="X962"/>
  <c r="X964"/>
  <c r="X966"/>
  <c r="X968"/>
  <c r="X970"/>
  <c r="X972"/>
  <c r="X974"/>
  <c r="X976"/>
  <c r="X978"/>
  <c r="X980"/>
  <c r="X982"/>
  <c r="X984"/>
  <c r="X986"/>
  <c r="X517"/>
  <c r="X521"/>
  <c r="X525"/>
  <c r="X529"/>
  <c r="X533"/>
  <c r="X535"/>
  <c r="X537"/>
  <c r="X539"/>
  <c r="X541"/>
  <c r="X543"/>
  <c r="X545"/>
  <c r="X547"/>
  <c r="X549"/>
  <c r="X551"/>
  <c r="X553"/>
  <c r="X555"/>
  <c r="X557"/>
  <c r="X559"/>
  <c r="X566"/>
  <c r="X567"/>
  <c r="X569"/>
  <c r="X570"/>
  <c r="X571"/>
  <c r="X572"/>
  <c r="X573"/>
  <c r="X574"/>
  <c r="X575"/>
  <c r="X576"/>
  <c r="X577"/>
  <c r="X578"/>
  <c r="X580"/>
  <c r="X582"/>
  <c r="X584"/>
  <c r="X586"/>
  <c r="X588"/>
  <c r="X590"/>
  <c r="X592"/>
  <c r="X594"/>
  <c r="X596"/>
  <c r="X598"/>
  <c r="X600"/>
  <c r="X602"/>
  <c r="X604"/>
  <c r="X605"/>
  <c r="X607"/>
  <c r="X609"/>
  <c r="X619"/>
  <c r="X621"/>
  <c r="X623"/>
  <c r="X625"/>
  <c r="X627"/>
  <c r="X629"/>
  <c r="X631"/>
  <c r="X633"/>
  <c r="X635"/>
  <c r="X637"/>
  <c r="X638"/>
  <c r="X640"/>
  <c r="X642"/>
  <c r="X644"/>
  <c r="X646"/>
  <c r="X648"/>
  <c r="X650"/>
  <c r="X652"/>
  <c r="X654"/>
  <c r="X656"/>
  <c r="X657"/>
  <c r="X658"/>
  <c r="X659"/>
  <c r="X665"/>
  <c r="X667"/>
  <c r="X669"/>
  <c r="X671"/>
  <c r="X678"/>
  <c r="X680"/>
  <c r="X682"/>
  <c r="X684"/>
  <c r="X686"/>
  <c r="X688"/>
  <c r="X690"/>
  <c r="X692"/>
  <c r="X694"/>
  <c r="X696"/>
  <c r="X698"/>
  <c r="X700"/>
  <c r="X702"/>
  <c r="X704"/>
  <c r="X706"/>
  <c r="X708"/>
  <c r="X710"/>
  <c r="X712"/>
  <c r="X714"/>
  <c r="X716"/>
  <c r="X718"/>
  <c r="X720"/>
  <c r="X722"/>
  <c r="X725"/>
  <c r="X727"/>
  <c r="X729"/>
  <c r="X803"/>
  <c r="X805"/>
  <c r="X811"/>
  <c r="X815"/>
  <c r="X844"/>
  <c r="X846"/>
  <c r="X848"/>
  <c r="X861"/>
  <c r="X863"/>
  <c r="X865"/>
  <c r="X867"/>
  <c r="X869"/>
  <c r="X871"/>
  <c r="X873"/>
  <c r="X875"/>
  <c r="X877"/>
  <c r="X879"/>
  <c r="X881"/>
  <c r="X883"/>
  <c r="X889"/>
  <c r="X891"/>
  <c r="X893"/>
  <c r="X895"/>
  <c r="X897"/>
  <c r="X899"/>
  <c r="X902"/>
  <c r="X904"/>
  <c r="X906"/>
  <c r="X908"/>
  <c r="X910"/>
  <c r="X912"/>
  <c r="X914"/>
  <c r="X916"/>
  <c r="X918"/>
  <c r="X925"/>
  <c r="X927"/>
  <c r="X929"/>
  <c r="X931"/>
  <c r="X933"/>
  <c r="X935"/>
  <c r="X937"/>
  <c r="X939"/>
  <c r="X941"/>
  <c r="X943"/>
  <c r="X945"/>
  <c r="X947"/>
  <c r="X949"/>
  <c r="X951"/>
  <c r="X953"/>
  <c r="X955"/>
  <c r="X957"/>
  <c r="X959"/>
  <c r="X961"/>
  <c r="X963"/>
  <c r="X965"/>
  <c r="X967"/>
  <c r="X969"/>
  <c r="X971"/>
  <c r="X973"/>
  <c r="X975"/>
  <c r="X977"/>
  <c r="X979"/>
  <c r="X981"/>
  <c r="X983"/>
  <c r="X985"/>
  <c r="X987"/>
  <c r="A21"/>
  <c r="Q21"/>
  <c r="R21"/>
  <c r="S21"/>
  <c r="L71" i="60"/>
  <c r="L70"/>
  <c r="L69"/>
  <c r="L68"/>
  <c r="D72" i="15"/>
  <c r="D75" s="1"/>
  <c r="C72"/>
  <c r="C75" s="1"/>
  <c r="B21" i="14"/>
  <c r="D21"/>
  <c r="G21"/>
  <c r="A22"/>
  <c r="C22"/>
  <c r="E22"/>
  <c r="H22"/>
  <c r="B23"/>
  <c r="D23"/>
  <c r="G23"/>
  <c r="A24"/>
  <c r="C24"/>
  <c r="E24"/>
  <c r="H24"/>
  <c r="B25"/>
  <c r="D25"/>
  <c r="G25"/>
  <c r="A26"/>
  <c r="C26"/>
  <c r="E26"/>
  <c r="H26"/>
  <c r="A27"/>
  <c r="C27"/>
  <c r="E27"/>
  <c r="H27"/>
  <c r="A28"/>
  <c r="C28"/>
  <c r="E28"/>
  <c r="H28"/>
  <c r="A29"/>
  <c r="C29"/>
  <c r="E29"/>
  <c r="H29"/>
  <c r="B30"/>
  <c r="D30"/>
  <c r="G30"/>
  <c r="B31"/>
  <c r="D31"/>
  <c r="G31"/>
  <c r="B32"/>
  <c r="D32"/>
  <c r="G32"/>
  <c r="A33"/>
  <c r="C33"/>
  <c r="E33"/>
  <c r="H33"/>
  <c r="A21"/>
  <c r="C21"/>
  <c r="E21"/>
  <c r="H21"/>
  <c r="B22"/>
  <c r="D22"/>
  <c r="G22"/>
  <c r="A23"/>
  <c r="C23"/>
  <c r="E23"/>
  <c r="H23"/>
  <c r="B24"/>
  <c r="D24"/>
  <c r="G24"/>
  <c r="A25"/>
  <c r="C25"/>
  <c r="E25"/>
  <c r="H25"/>
  <c r="B26"/>
  <c r="D26"/>
  <c r="G26"/>
  <c r="B27"/>
  <c r="D27"/>
  <c r="G27"/>
  <c r="B28"/>
  <c r="D28"/>
  <c r="G28"/>
  <c r="B29"/>
  <c r="D29"/>
  <c r="G29"/>
  <c r="A30"/>
  <c r="C30"/>
  <c r="E30"/>
  <c r="H30"/>
  <c r="A31"/>
  <c r="C31"/>
  <c r="E31"/>
  <c r="H31"/>
  <c r="A32"/>
  <c r="C32"/>
  <c r="E32"/>
  <c r="H32"/>
  <c r="B33"/>
  <c r="D33"/>
  <c r="G33"/>
  <c r="A14" i="69"/>
  <c r="H14"/>
  <c r="A16"/>
  <c r="D17"/>
  <c r="H18"/>
  <c r="A20"/>
  <c r="D21"/>
  <c r="H22"/>
  <c r="A24"/>
  <c r="D25"/>
  <c r="H26"/>
  <c r="A28"/>
  <c r="D29"/>
  <c r="H30"/>
  <c r="A32"/>
  <c r="D33"/>
  <c r="H34"/>
  <c r="A36"/>
  <c r="D37"/>
  <c r="H38"/>
  <c r="A40"/>
  <c r="I14"/>
  <c r="B16"/>
  <c r="G17"/>
  <c r="I18"/>
  <c r="B20"/>
  <c r="G21"/>
  <c r="I22"/>
  <c r="B24"/>
  <c r="G25"/>
  <c r="I26"/>
  <c r="B28"/>
  <c r="G29"/>
  <c r="I30"/>
  <c r="B32"/>
  <c r="G33"/>
  <c r="I34"/>
  <c r="B36"/>
  <c r="G37"/>
  <c r="I38"/>
  <c r="B40"/>
  <c r="H40"/>
  <c r="A15"/>
  <c r="D16"/>
  <c r="H17"/>
  <c r="A19"/>
  <c r="D20"/>
  <c r="H21"/>
  <c r="A23"/>
  <c r="D24"/>
  <c r="H25"/>
  <c r="A27"/>
  <c r="D28"/>
  <c r="H29"/>
  <c r="A31"/>
  <c r="D32"/>
  <c r="H33"/>
  <c r="A35"/>
  <c r="D36"/>
  <c r="H37"/>
  <c r="A39"/>
  <c r="D40"/>
  <c r="B15"/>
  <c r="G16"/>
  <c r="I17"/>
  <c r="B19"/>
  <c r="G20"/>
  <c r="I21"/>
  <c r="B23"/>
  <c r="G24"/>
  <c r="I25"/>
  <c r="B27"/>
  <c r="G28"/>
  <c r="I29"/>
  <c r="B31"/>
  <c r="G32"/>
  <c r="I33"/>
  <c r="B35"/>
  <c r="G36"/>
  <c r="I37"/>
  <c r="B39"/>
  <c r="G40"/>
  <c r="D15"/>
  <c r="H16"/>
  <c r="A18"/>
  <c r="D19"/>
  <c r="H20"/>
  <c r="A22"/>
  <c r="D23"/>
  <c r="H24"/>
  <c r="A26"/>
  <c r="D27"/>
  <c r="H28"/>
  <c r="A30"/>
  <c r="D31"/>
  <c r="H32"/>
  <c r="A34"/>
  <c r="D35"/>
  <c r="H36"/>
  <c r="A38"/>
  <c r="D39"/>
  <c r="B14"/>
  <c r="G15"/>
  <c r="I16"/>
  <c r="B18"/>
  <c r="G19"/>
  <c r="I20"/>
  <c r="B22"/>
  <c r="G23"/>
  <c r="I24"/>
  <c r="B26"/>
  <c r="G27"/>
  <c r="I28"/>
  <c r="B30"/>
  <c r="G31"/>
  <c r="I32"/>
  <c r="B34"/>
  <c r="G35"/>
  <c r="I36"/>
  <c r="B38"/>
  <c r="G39"/>
  <c r="I40"/>
  <c r="D14"/>
  <c r="H15"/>
  <c r="A17"/>
  <c r="D18"/>
  <c r="H19"/>
  <c r="A21"/>
  <c r="D22"/>
  <c r="H23"/>
  <c r="A25"/>
  <c r="D26"/>
  <c r="H27"/>
  <c r="A29"/>
  <c r="D30"/>
  <c r="H31"/>
  <c r="A33"/>
  <c r="D34"/>
  <c r="H35"/>
  <c r="A37"/>
  <c r="D38"/>
  <c r="H39"/>
  <c r="G14"/>
  <c r="I15"/>
  <c r="B17"/>
  <c r="G18"/>
  <c r="I19"/>
  <c r="B21"/>
  <c r="G22"/>
  <c r="I23"/>
  <c r="B25"/>
  <c r="G26"/>
  <c r="I27"/>
  <c r="B29"/>
  <c r="G30"/>
  <c r="I31"/>
  <c r="B33"/>
  <c r="G34"/>
  <c r="I35"/>
  <c r="B37"/>
  <c r="G38"/>
  <c r="I39"/>
  <c r="F36" i="56"/>
  <c r="F29"/>
  <c r="A11"/>
  <c r="F30"/>
  <c r="G14" i="57"/>
  <c r="G16"/>
  <c r="A18" i="14"/>
  <c r="A34"/>
  <c r="A38"/>
  <c r="A17"/>
  <c r="A37"/>
  <c r="A16"/>
  <c r="A20"/>
  <c r="A36"/>
  <c r="A15"/>
  <c r="A19"/>
  <c r="A35"/>
  <c r="A14"/>
  <c r="G2" i="56"/>
  <c r="A10"/>
  <c r="H186" i="60"/>
  <c r="AA14" i="34"/>
  <c r="AA17"/>
  <c r="AA15"/>
  <c r="AA18"/>
  <c r="AA12"/>
  <c r="AA19"/>
  <c r="AA13"/>
  <c r="AA16"/>
  <c r="F15" i="56"/>
  <c r="H30"/>
  <c r="V274" i="60"/>
  <c r="I270" s="1"/>
  <c r="V121"/>
  <c r="I112" s="1"/>
  <c r="V77"/>
  <c r="I72" s="1"/>
  <c r="L245"/>
  <c r="V256"/>
  <c r="V196"/>
  <c r="I191" s="1"/>
  <c r="V170"/>
  <c r="I163" s="1"/>
  <c r="V249"/>
  <c r="I245" s="1"/>
  <c r="V95"/>
  <c r="I90" s="1"/>
  <c r="V223"/>
  <c r="I219" s="1"/>
  <c r="V282"/>
  <c r="L272" s="1"/>
  <c r="V146"/>
  <c r="I139" s="1"/>
  <c r="L48"/>
  <c r="L47"/>
  <c r="B93" i="34"/>
  <c r="B109"/>
  <c r="B96"/>
  <c r="B100"/>
  <c r="B104"/>
  <c r="B108"/>
  <c r="B117"/>
  <c r="B120"/>
  <c r="B166"/>
  <c r="B168"/>
  <c r="B170"/>
  <c r="B80"/>
  <c r="B82"/>
  <c r="B84"/>
  <c r="B86"/>
  <c r="B330"/>
  <c r="B113"/>
  <c r="B321"/>
  <c r="B97"/>
  <c r="B105"/>
  <c r="B111"/>
  <c r="B115"/>
  <c r="B94"/>
  <c r="B98"/>
  <c r="B102"/>
  <c r="B106"/>
  <c r="B116"/>
  <c r="B118"/>
  <c r="B121"/>
  <c r="B167"/>
  <c r="B169"/>
  <c r="B171"/>
  <c r="B81"/>
  <c r="B83"/>
  <c r="B85"/>
  <c r="B101"/>
  <c r="B320"/>
  <c r="B322"/>
  <c r="B331"/>
  <c r="B95"/>
  <c r="B99"/>
  <c r="B103"/>
  <c r="B107"/>
  <c r="B110"/>
  <c r="B112"/>
  <c r="B114"/>
  <c r="F13" i="57"/>
  <c r="V56" i="60"/>
  <c r="I52" s="1"/>
  <c r="S14" i="34"/>
  <c r="Q14"/>
  <c r="R14"/>
  <c r="S15"/>
  <c r="Q15"/>
  <c r="R15"/>
  <c r="S12"/>
  <c r="Q12"/>
  <c r="R12"/>
  <c r="S13"/>
  <c r="Q13"/>
  <c r="R13"/>
  <c r="X12"/>
  <c r="X19"/>
  <c r="X13"/>
  <c r="X16"/>
  <c r="X14"/>
  <c r="X17"/>
  <c r="X15"/>
  <c r="X18"/>
  <c r="M14"/>
  <c r="M12"/>
  <c r="M15"/>
  <c r="M13"/>
  <c r="A12" i="55"/>
  <c r="A13"/>
  <c r="A48"/>
  <c r="B49"/>
  <c r="B40"/>
  <c r="A40" s="1"/>
  <c r="A47"/>
  <c r="D52" i="60"/>
  <c r="D270"/>
  <c r="G263"/>
  <c r="G135"/>
  <c r="D139"/>
  <c r="G212"/>
  <c r="D219"/>
  <c r="G87"/>
  <c r="D90"/>
  <c r="G185"/>
  <c r="D191"/>
  <c r="G238"/>
  <c r="G245" s="1"/>
  <c r="D245"/>
  <c r="D72"/>
  <c r="G107"/>
  <c r="D112"/>
  <c r="G158"/>
  <c r="D163"/>
  <c r="H29"/>
  <c r="H30"/>
  <c r="K29"/>
  <c r="J29"/>
  <c r="K30"/>
  <c r="J30"/>
  <c r="I29"/>
  <c r="I30"/>
  <c r="K8"/>
  <c r="H7"/>
  <c r="K9"/>
  <c r="I8"/>
  <c r="K7"/>
  <c r="J9"/>
  <c r="H8"/>
  <c r="J7"/>
  <c r="I9"/>
  <c r="I7"/>
  <c r="H9"/>
  <c r="J8"/>
  <c r="E17" i="57"/>
  <c r="E21"/>
  <c r="E25"/>
  <c r="E29"/>
  <c r="E18"/>
  <c r="E22"/>
  <c r="E26"/>
  <c r="E30"/>
  <c r="E19"/>
  <c r="E23"/>
  <c r="E27"/>
  <c r="E14"/>
  <c r="E20"/>
  <c r="E24"/>
  <c r="E28"/>
  <c r="E15"/>
  <c r="E16"/>
  <c r="I56" i="55"/>
  <c r="S10" i="34"/>
  <c r="R10"/>
  <c r="Q10"/>
  <c r="S11"/>
  <c r="R11"/>
  <c r="Q11"/>
  <c r="X11"/>
  <c r="X10"/>
  <c r="M9" i="62"/>
  <c r="I50" i="63"/>
  <c r="K54" i="55"/>
  <c r="K16"/>
  <c r="K28"/>
  <c r="K49"/>
  <c r="K26"/>
  <c r="K32"/>
  <c r="K34"/>
  <c r="K14"/>
  <c r="K15"/>
  <c r="K18"/>
  <c r="K19"/>
  <c r="K25"/>
  <c r="K29"/>
  <c r="K30"/>
  <c r="K53"/>
  <c r="K40"/>
  <c r="I45"/>
  <c r="K41"/>
  <c r="K50"/>
  <c r="K51"/>
  <c r="H38" i="14"/>
  <c r="C38"/>
  <c r="E37"/>
  <c r="H36"/>
  <c r="C36"/>
  <c r="E35"/>
  <c r="H34"/>
  <c r="C34"/>
  <c r="H20"/>
  <c r="C20"/>
  <c r="E19"/>
  <c r="H18"/>
  <c r="C18"/>
  <c r="E17"/>
  <c r="H16"/>
  <c r="C16"/>
  <c r="E15"/>
  <c r="H14"/>
  <c r="C14"/>
  <c r="G38"/>
  <c r="H37"/>
  <c r="B37"/>
  <c r="B36"/>
  <c r="C35"/>
  <c r="D34"/>
  <c r="B20"/>
  <c r="C19"/>
  <c r="D18"/>
  <c r="D17"/>
  <c r="E16"/>
  <c r="G15"/>
  <c r="G14"/>
  <c r="I19" i="52"/>
  <c r="D19"/>
  <c r="J18"/>
  <c r="E18"/>
  <c r="A18"/>
  <c r="G17"/>
  <c r="B17"/>
  <c r="H19"/>
  <c r="C19"/>
  <c r="L19" s="1"/>
  <c r="I18"/>
  <c r="D18"/>
  <c r="J17"/>
  <c r="E17"/>
  <c r="A17"/>
  <c r="G19"/>
  <c r="B19"/>
  <c r="H18"/>
  <c r="C18"/>
  <c r="I17"/>
  <c r="D17"/>
  <c r="J19"/>
  <c r="E19"/>
  <c r="A19"/>
  <c r="G18"/>
  <c r="B18"/>
  <c r="H17"/>
  <c r="C17"/>
  <c r="C17" i="63"/>
  <c r="A17" s="1"/>
  <c r="H17"/>
  <c r="B18"/>
  <c r="F18"/>
  <c r="K18"/>
  <c r="E19"/>
  <c r="J19"/>
  <c r="D20"/>
  <c r="I20"/>
  <c r="C21"/>
  <c r="A21" s="1"/>
  <c r="I21"/>
  <c r="D22"/>
  <c r="K22"/>
  <c r="F23"/>
  <c r="B24"/>
  <c r="I24"/>
  <c r="D25"/>
  <c r="J25"/>
  <c r="F26"/>
  <c r="B27"/>
  <c r="H27"/>
  <c r="D28"/>
  <c r="J28"/>
  <c r="E29"/>
  <c r="B30"/>
  <c r="H30"/>
  <c r="C31"/>
  <c r="A31" s="1"/>
  <c r="J31"/>
  <c r="E32"/>
  <c r="K32"/>
  <c r="J33"/>
  <c r="F34"/>
  <c r="D39"/>
  <c r="M39" s="1"/>
  <c r="B40"/>
  <c r="K40"/>
  <c r="H41"/>
  <c r="E42"/>
  <c r="D43"/>
  <c r="M43" s="1"/>
  <c r="B44"/>
  <c r="I44"/>
  <c r="H45"/>
  <c r="E46"/>
  <c r="C47"/>
  <c r="A47" s="1"/>
  <c r="B48"/>
  <c r="I48"/>
  <c r="F49"/>
  <c r="E50"/>
  <c r="D14" i="14"/>
  <c r="D15"/>
  <c r="G16"/>
  <c r="H17"/>
  <c r="B19"/>
  <c r="D20"/>
  <c r="E34"/>
  <c r="G35"/>
  <c r="G36"/>
  <c r="B38"/>
  <c r="K6" i="62"/>
  <c r="K11"/>
  <c r="D17" i="63"/>
  <c r="I17"/>
  <c r="C18"/>
  <c r="A18" s="1"/>
  <c r="H18"/>
  <c r="B19"/>
  <c r="F19"/>
  <c r="K19"/>
  <c r="E20"/>
  <c r="J20"/>
  <c r="D21"/>
  <c r="J21"/>
  <c r="F22"/>
  <c r="B23"/>
  <c r="H23"/>
  <c r="D24"/>
  <c r="J24"/>
  <c r="E25"/>
  <c r="B26"/>
  <c r="H26"/>
  <c r="C27"/>
  <c r="A27" s="1"/>
  <c r="J27"/>
  <c r="E28"/>
  <c r="K28"/>
  <c r="H29"/>
  <c r="C30"/>
  <c r="A30" s="1"/>
  <c r="I30"/>
  <c r="E31"/>
  <c r="K31"/>
  <c r="F32"/>
  <c r="C33"/>
  <c r="A33" s="1"/>
  <c r="K33"/>
  <c r="I34"/>
  <c r="E39"/>
  <c r="D40"/>
  <c r="L40" s="1"/>
  <c r="B41"/>
  <c r="J41"/>
  <c r="I42"/>
  <c r="E43"/>
  <c r="C44"/>
  <c r="A44" s="1"/>
  <c r="B45"/>
  <c r="J45"/>
  <c r="F46"/>
  <c r="E47"/>
  <c r="C48"/>
  <c r="A48" s="1"/>
  <c r="K48"/>
  <c r="J49"/>
  <c r="F50"/>
  <c r="E14" i="14"/>
  <c r="H15"/>
  <c r="B17"/>
  <c r="B18"/>
  <c r="D19"/>
  <c r="E20"/>
  <c r="G34"/>
  <c r="H35"/>
  <c r="C37"/>
  <c r="D38"/>
  <c r="E17" i="63"/>
  <c r="J17"/>
  <c r="D18"/>
  <c r="I18"/>
  <c r="C19"/>
  <c r="A19" s="1"/>
  <c r="H19"/>
  <c r="B20"/>
  <c r="F20"/>
  <c r="K20"/>
  <c r="E21"/>
  <c r="B22"/>
  <c r="H22"/>
  <c r="C23"/>
  <c r="A23" s="1"/>
  <c r="J23"/>
  <c r="E24"/>
  <c r="K24"/>
  <c r="H25"/>
  <c r="C26"/>
  <c r="A26" s="1"/>
  <c r="I26"/>
  <c r="E27"/>
  <c r="K27"/>
  <c r="F28"/>
  <c r="C29"/>
  <c r="A29" s="1"/>
  <c r="I29"/>
  <c r="D30"/>
  <c r="K30"/>
  <c r="F31"/>
  <c r="B32"/>
  <c r="I32"/>
  <c r="E33"/>
  <c r="B34"/>
  <c r="K34"/>
  <c r="I39"/>
  <c r="F40"/>
  <c r="C41"/>
  <c r="A41" s="1"/>
  <c r="B42"/>
  <c r="J42"/>
  <c r="H43"/>
  <c r="F44"/>
  <c r="C45"/>
  <c r="A45" s="1"/>
  <c r="K45"/>
  <c r="J46"/>
  <c r="H47"/>
  <c r="D48"/>
  <c r="L48" s="1"/>
  <c r="C49"/>
  <c r="A49" s="1"/>
  <c r="K49"/>
  <c r="B15" i="14"/>
  <c r="B16"/>
  <c r="C17"/>
  <c r="E18"/>
  <c r="G19"/>
  <c r="G20"/>
  <c r="B35"/>
  <c r="D36"/>
  <c r="D37"/>
  <c r="E38"/>
  <c r="H50" i="63"/>
  <c r="C50"/>
  <c r="A50" s="1"/>
  <c r="I49"/>
  <c r="D49"/>
  <c r="M49" s="1"/>
  <c r="J48"/>
  <c r="E48"/>
  <c r="K47"/>
  <c r="F47"/>
  <c r="B47"/>
  <c r="H46"/>
  <c r="C46"/>
  <c r="A46" s="1"/>
  <c r="I45"/>
  <c r="D45"/>
  <c r="M45" s="1"/>
  <c r="J44"/>
  <c r="E44"/>
  <c r="K43"/>
  <c r="F43"/>
  <c r="B43"/>
  <c r="H42"/>
  <c r="C42"/>
  <c r="A42" s="1"/>
  <c r="I41"/>
  <c r="D41"/>
  <c r="M41" s="1"/>
  <c r="J40"/>
  <c r="E40"/>
  <c r="K39"/>
  <c r="F39"/>
  <c r="B39"/>
  <c r="H34"/>
  <c r="C34"/>
  <c r="A34" s="1"/>
  <c r="I33"/>
  <c r="D33"/>
  <c r="J50"/>
  <c r="D50"/>
  <c r="L50" s="1"/>
  <c r="H49"/>
  <c r="B49"/>
  <c r="F48"/>
  <c r="J47"/>
  <c r="D47"/>
  <c r="M47" s="1"/>
  <c r="I46"/>
  <c r="B46"/>
  <c r="F45"/>
  <c r="K44"/>
  <c r="D44"/>
  <c r="L44" s="1"/>
  <c r="I43"/>
  <c r="C43"/>
  <c r="A43" s="1"/>
  <c r="F42"/>
  <c r="K41"/>
  <c r="E41"/>
  <c r="I40"/>
  <c r="C40"/>
  <c r="A40" s="1"/>
  <c r="H39"/>
  <c r="J34"/>
  <c r="D34"/>
  <c r="H33"/>
  <c r="B33"/>
  <c r="H32"/>
  <c r="C32"/>
  <c r="A32" s="1"/>
  <c r="I31"/>
  <c r="D31"/>
  <c r="J30"/>
  <c r="E30"/>
  <c r="K29"/>
  <c r="F29"/>
  <c r="B29"/>
  <c r="H28"/>
  <c r="C28"/>
  <c r="A28" s="1"/>
  <c r="I27"/>
  <c r="D27"/>
  <c r="J26"/>
  <c r="E26"/>
  <c r="K25"/>
  <c r="F25"/>
  <c r="B25"/>
  <c r="H24"/>
  <c r="C24"/>
  <c r="A24" s="1"/>
  <c r="I23"/>
  <c r="D23"/>
  <c r="J22"/>
  <c r="E22"/>
  <c r="K21"/>
  <c r="F21"/>
  <c r="M5" i="62"/>
  <c r="B17" i="63"/>
  <c r="F17"/>
  <c r="K17"/>
  <c r="E18"/>
  <c r="J18"/>
  <c r="D19"/>
  <c r="I19"/>
  <c r="C20"/>
  <c r="A20" s="1"/>
  <c r="H20"/>
  <c r="B21"/>
  <c r="H21"/>
  <c r="C22"/>
  <c r="A22" s="1"/>
  <c r="I22"/>
  <c r="E23"/>
  <c r="K23"/>
  <c r="F24"/>
  <c r="C25"/>
  <c r="A25" s="1"/>
  <c r="I25"/>
  <c r="D26"/>
  <c r="K26"/>
  <c r="F27"/>
  <c r="B28"/>
  <c r="I28"/>
  <c r="D29"/>
  <c r="J29"/>
  <c r="F30"/>
  <c r="B31"/>
  <c r="H31"/>
  <c r="D32"/>
  <c r="J32"/>
  <c r="F33"/>
  <c r="E34"/>
  <c r="C39"/>
  <c r="A39" s="1"/>
  <c r="J39"/>
  <c r="H40"/>
  <c r="F41"/>
  <c r="D42"/>
  <c r="L42" s="1"/>
  <c r="K42"/>
  <c r="J43"/>
  <c r="H44"/>
  <c r="E45"/>
  <c r="D46"/>
  <c r="L46" s="1"/>
  <c r="K46"/>
  <c r="I47"/>
  <c r="H48"/>
  <c r="E49"/>
  <c r="B50"/>
  <c r="K50"/>
  <c r="B14" i="14"/>
  <c r="C15"/>
  <c r="D16"/>
  <c r="G17"/>
  <c r="G18"/>
  <c r="H19"/>
  <c r="B34"/>
  <c r="D35"/>
  <c r="E36"/>
  <c r="G37"/>
  <c r="E30" i="58"/>
  <c r="I30" s="1"/>
  <c r="H29"/>
  <c r="C29"/>
  <c r="E28"/>
  <c r="I28" s="1"/>
  <c r="H27"/>
  <c r="C27"/>
  <c r="E26"/>
  <c r="I26" s="1"/>
  <c r="H25"/>
  <c r="C25"/>
  <c r="E24"/>
  <c r="I24" s="1"/>
  <c r="H23"/>
  <c r="C23"/>
  <c r="E22"/>
  <c r="I22" s="1"/>
  <c r="H21"/>
  <c r="C21"/>
  <c r="E20"/>
  <c r="H19"/>
  <c r="C19"/>
  <c r="E18"/>
  <c r="H17"/>
  <c r="C17"/>
  <c r="E16"/>
  <c r="H15"/>
  <c r="C15"/>
  <c r="E14"/>
  <c r="D30"/>
  <c r="G29"/>
  <c r="B29"/>
  <c r="F29" s="1"/>
  <c r="D28"/>
  <c r="G27"/>
  <c r="B27"/>
  <c r="F27" s="1"/>
  <c r="D26"/>
  <c r="G25"/>
  <c r="B25"/>
  <c r="F25" s="1"/>
  <c r="D24"/>
  <c r="G23"/>
  <c r="B23"/>
  <c r="F23" s="1"/>
  <c r="D22"/>
  <c r="G21"/>
  <c r="B21"/>
  <c r="F21" s="1"/>
  <c r="D20"/>
  <c r="G19"/>
  <c r="B19"/>
  <c r="F19" s="1"/>
  <c r="D18"/>
  <c r="G17"/>
  <c r="B17"/>
  <c r="F17" s="1"/>
  <c r="D16"/>
  <c r="G15"/>
  <c r="B15"/>
  <c r="F15" s="1"/>
  <c r="D14"/>
  <c r="H30"/>
  <c r="C30"/>
  <c r="E29"/>
  <c r="I29" s="1"/>
  <c r="H28"/>
  <c r="C28"/>
  <c r="E27"/>
  <c r="I27" s="1"/>
  <c r="H26"/>
  <c r="C26"/>
  <c r="E25"/>
  <c r="I25" s="1"/>
  <c r="H24"/>
  <c r="C24"/>
  <c r="E23"/>
  <c r="I23" s="1"/>
  <c r="H22"/>
  <c r="C22"/>
  <c r="E21"/>
  <c r="I21" s="1"/>
  <c r="H20"/>
  <c r="C20"/>
  <c r="E19"/>
  <c r="H18"/>
  <c r="C18"/>
  <c r="E17"/>
  <c r="H16"/>
  <c r="C16"/>
  <c r="E15"/>
  <c r="H14"/>
  <c r="C14"/>
  <c r="G30"/>
  <c r="B30"/>
  <c r="F30" s="1"/>
  <c r="D29"/>
  <c r="G28"/>
  <c r="B28"/>
  <c r="A28" s="1"/>
  <c r="D27"/>
  <c r="G26"/>
  <c r="B26"/>
  <c r="F26" s="1"/>
  <c r="D25"/>
  <c r="G24"/>
  <c r="B24"/>
  <c r="A24" s="1"/>
  <c r="D23"/>
  <c r="G22"/>
  <c r="B22"/>
  <c r="F22" s="1"/>
  <c r="D21"/>
  <c r="G20"/>
  <c r="B20"/>
  <c r="D19"/>
  <c r="G18"/>
  <c r="B18"/>
  <c r="F18" s="1"/>
  <c r="D17"/>
  <c r="G16"/>
  <c r="B16"/>
  <c r="F16" s="1"/>
  <c r="D15"/>
  <c r="G14"/>
  <c r="B14"/>
  <c r="A35" s="1"/>
  <c r="F23" i="56"/>
  <c r="H23" s="1"/>
  <c r="B22"/>
  <c r="D22" s="1"/>
  <c r="G20"/>
  <c r="F19"/>
  <c r="B18"/>
  <c r="D18" s="1"/>
  <c r="A9"/>
  <c r="B23"/>
  <c r="A23" s="1"/>
  <c r="G21"/>
  <c r="F20"/>
  <c r="B19"/>
  <c r="D19" s="1"/>
  <c r="G17"/>
  <c r="G8"/>
  <c r="D6"/>
  <c r="F28" s="1"/>
  <c r="G22"/>
  <c r="F21"/>
  <c r="H21" s="1"/>
  <c r="B20"/>
  <c r="D20" s="1"/>
  <c r="G18"/>
  <c r="F17"/>
  <c r="G7"/>
  <c r="G23"/>
  <c r="F22"/>
  <c r="B21"/>
  <c r="G19"/>
  <c r="F18"/>
  <c r="B17"/>
  <c r="D17" s="1"/>
  <c r="G30" i="57"/>
  <c r="C30"/>
  <c r="G29"/>
  <c r="C29"/>
  <c r="F28"/>
  <c r="B28"/>
  <c r="A28" s="1"/>
  <c r="I26"/>
  <c r="D26"/>
  <c r="L26" s="1"/>
  <c r="G25"/>
  <c r="C25"/>
  <c r="F24"/>
  <c r="B24"/>
  <c r="A24" s="1"/>
  <c r="I22"/>
  <c r="D22"/>
  <c r="L22" s="1"/>
  <c r="G21"/>
  <c r="C21"/>
  <c r="F20"/>
  <c r="B20"/>
  <c r="F30"/>
  <c r="B30"/>
  <c r="A30" s="1"/>
  <c r="F29"/>
  <c r="B29"/>
  <c r="A29" s="1"/>
  <c r="I27"/>
  <c r="D27"/>
  <c r="L27" s="1"/>
  <c r="G26"/>
  <c r="C26"/>
  <c r="F25"/>
  <c r="B25"/>
  <c r="A25" s="1"/>
  <c r="I23"/>
  <c r="D23"/>
  <c r="L23" s="1"/>
  <c r="G22"/>
  <c r="C22"/>
  <c r="F21"/>
  <c r="B21"/>
  <c r="A21" s="1"/>
  <c r="I19"/>
  <c r="I28"/>
  <c r="D28"/>
  <c r="L28" s="1"/>
  <c r="G27"/>
  <c r="C27"/>
  <c r="F26"/>
  <c r="B26"/>
  <c r="A26" s="1"/>
  <c r="I24"/>
  <c r="D24"/>
  <c r="L24" s="1"/>
  <c r="G23"/>
  <c r="C23"/>
  <c r="F22"/>
  <c r="B22"/>
  <c r="A22" s="1"/>
  <c r="I20"/>
  <c r="I30"/>
  <c r="D30"/>
  <c r="L30" s="1"/>
  <c r="I29"/>
  <c r="D29"/>
  <c r="G28"/>
  <c r="C28"/>
  <c r="F27"/>
  <c r="B27"/>
  <c r="A27" s="1"/>
  <c r="I25"/>
  <c r="D25"/>
  <c r="L25" s="1"/>
  <c r="G24"/>
  <c r="C24"/>
  <c r="F23"/>
  <c r="B23"/>
  <c r="A23" s="1"/>
  <c r="I21"/>
  <c r="D21"/>
  <c r="L21" s="1"/>
  <c r="D20"/>
  <c r="I18"/>
  <c r="D18"/>
  <c r="G17"/>
  <c r="C17"/>
  <c r="F16"/>
  <c r="B16"/>
  <c r="I14"/>
  <c r="D14"/>
  <c r="C20"/>
  <c r="D19"/>
  <c r="G18"/>
  <c r="C18"/>
  <c r="F17"/>
  <c r="B17"/>
  <c r="I15"/>
  <c r="D15"/>
  <c r="C14"/>
  <c r="B34" s="1"/>
  <c r="G19"/>
  <c r="C19"/>
  <c r="F18"/>
  <c r="B18"/>
  <c r="I16"/>
  <c r="D16"/>
  <c r="G15"/>
  <c r="C15"/>
  <c r="F14"/>
  <c r="B14"/>
  <c r="A14" s="1"/>
  <c r="G20"/>
  <c r="F19"/>
  <c r="B19"/>
  <c r="I17"/>
  <c r="D17"/>
  <c r="C16"/>
  <c r="F15"/>
  <c r="B15"/>
  <c r="I37" i="55"/>
  <c r="K13"/>
  <c r="K17"/>
  <c r="K27"/>
  <c r="K33"/>
  <c r="K42"/>
  <c r="K43"/>
  <c r="K52"/>
  <c r="K47"/>
  <c r="G56"/>
  <c r="G37"/>
  <c r="K12"/>
  <c r="K31"/>
  <c r="K35"/>
  <c r="K39"/>
  <c r="K48"/>
  <c r="K8" i="62"/>
  <c r="M8"/>
  <c r="K9"/>
  <c r="K5"/>
  <c r="M6"/>
  <c r="M7"/>
  <c r="K10"/>
  <c r="M10"/>
  <c r="K7"/>
  <c r="M11"/>
  <c r="I17"/>
  <c r="G17"/>
  <c r="M5" i="45"/>
  <c r="M6"/>
  <c r="M7"/>
  <c r="M8"/>
  <c r="M9"/>
  <c r="M10"/>
  <c r="M11"/>
  <c r="M12"/>
  <c r="M13"/>
  <c r="M14"/>
  <c r="M15"/>
  <c r="M16"/>
  <c r="M17"/>
  <c r="M18"/>
  <c r="M20"/>
  <c r="O21"/>
  <c r="O19"/>
  <c r="M21"/>
  <c r="O5"/>
  <c r="O6"/>
  <c r="O7"/>
  <c r="O8"/>
  <c r="O9"/>
  <c r="O10"/>
  <c r="O11"/>
  <c r="O12"/>
  <c r="O13"/>
  <c r="O14"/>
  <c r="O15"/>
  <c r="O16"/>
  <c r="O17"/>
  <c r="O18"/>
  <c r="O20"/>
  <c r="M19"/>
  <c r="H13" i="61"/>
  <c r="H14" s="1"/>
  <c r="C13"/>
  <c r="C14" s="1"/>
  <c r="D12"/>
  <c r="F12"/>
  <c r="E12"/>
  <c r="G12"/>
  <c r="V322" i="34" l="1"/>
  <c r="T322"/>
  <c r="U322"/>
  <c r="T321"/>
  <c r="U321"/>
  <c r="V321"/>
  <c r="U320"/>
  <c r="V320"/>
  <c r="T320"/>
  <c r="T330"/>
  <c r="U330"/>
  <c r="V330"/>
  <c r="T331"/>
  <c r="U331"/>
  <c r="V331"/>
  <c r="L37" i="63"/>
  <c r="M37"/>
  <c r="N37"/>
  <c r="O37"/>
  <c r="N38"/>
  <c r="O38"/>
  <c r="L38"/>
  <c r="M38"/>
  <c r="O36"/>
  <c r="N36"/>
  <c r="M36"/>
  <c r="L36"/>
  <c r="A110" i="34"/>
  <c r="R110"/>
  <c r="S110"/>
  <c r="Q110"/>
  <c r="A95"/>
  <c r="Q95"/>
  <c r="R95"/>
  <c r="S95"/>
  <c r="A101"/>
  <c r="Q101"/>
  <c r="R101"/>
  <c r="S101"/>
  <c r="A171"/>
  <c r="S171"/>
  <c r="Q171"/>
  <c r="R171"/>
  <c r="A118"/>
  <c r="R118"/>
  <c r="S118"/>
  <c r="Q118"/>
  <c r="A98"/>
  <c r="R98"/>
  <c r="S98"/>
  <c r="Q98"/>
  <c r="A105"/>
  <c r="Q105"/>
  <c r="R105"/>
  <c r="S105"/>
  <c r="A330"/>
  <c r="S330"/>
  <c r="Q330"/>
  <c r="R330"/>
  <c r="A80"/>
  <c r="S80"/>
  <c r="Q80"/>
  <c r="R80"/>
  <c r="A120"/>
  <c r="R120"/>
  <c r="S120"/>
  <c r="Q120"/>
  <c r="A100"/>
  <c r="R100"/>
  <c r="S100"/>
  <c r="Q100"/>
  <c r="A107"/>
  <c r="Q107"/>
  <c r="R107"/>
  <c r="S107"/>
  <c r="A331"/>
  <c r="Q331"/>
  <c r="S331"/>
  <c r="R331"/>
  <c r="A85"/>
  <c r="Q85"/>
  <c r="R85"/>
  <c r="S85"/>
  <c r="A169"/>
  <c r="S169"/>
  <c r="Q169"/>
  <c r="R169"/>
  <c r="A116"/>
  <c r="R116"/>
  <c r="S116"/>
  <c r="Q116"/>
  <c r="A94"/>
  <c r="S94"/>
  <c r="R94"/>
  <c r="Q94"/>
  <c r="A97"/>
  <c r="R97"/>
  <c r="Q97"/>
  <c r="S97"/>
  <c r="A86"/>
  <c r="S86"/>
  <c r="Q86"/>
  <c r="R86"/>
  <c r="A170"/>
  <c r="Q170"/>
  <c r="R170"/>
  <c r="S170"/>
  <c r="A117"/>
  <c r="Q117"/>
  <c r="R117"/>
  <c r="S117"/>
  <c r="A96"/>
  <c r="Q96"/>
  <c r="R96"/>
  <c r="S96"/>
  <c r="A114"/>
  <c r="R114"/>
  <c r="S114"/>
  <c r="Q114"/>
  <c r="A103"/>
  <c r="Q103"/>
  <c r="R103"/>
  <c r="S103"/>
  <c r="A322"/>
  <c r="S322"/>
  <c r="Q322"/>
  <c r="R322"/>
  <c r="A83"/>
  <c r="Q83"/>
  <c r="R83"/>
  <c r="S83"/>
  <c r="A167"/>
  <c r="S167"/>
  <c r="Q167"/>
  <c r="R167"/>
  <c r="A106"/>
  <c r="R106"/>
  <c r="S106"/>
  <c r="Q106"/>
  <c r="A115"/>
  <c r="Q115"/>
  <c r="R115"/>
  <c r="S115"/>
  <c r="A321"/>
  <c r="Q321"/>
  <c r="R321"/>
  <c r="S321"/>
  <c r="A84"/>
  <c r="S84"/>
  <c r="Q84"/>
  <c r="R84"/>
  <c r="A168"/>
  <c r="Q168"/>
  <c r="R168"/>
  <c r="S168"/>
  <c r="A108"/>
  <c r="R108"/>
  <c r="S108"/>
  <c r="Q108"/>
  <c r="A109"/>
  <c r="Q109"/>
  <c r="R109"/>
  <c r="S109"/>
  <c r="A112"/>
  <c r="R112"/>
  <c r="S112"/>
  <c r="Q112"/>
  <c r="A99"/>
  <c r="Q99"/>
  <c r="R99"/>
  <c r="S99"/>
  <c r="A320"/>
  <c r="S320"/>
  <c r="Q320"/>
  <c r="R320"/>
  <c r="A81"/>
  <c r="Q81"/>
  <c r="R81"/>
  <c r="S81"/>
  <c r="A121"/>
  <c r="Q121"/>
  <c r="R121"/>
  <c r="S121"/>
  <c r="A102"/>
  <c r="R102"/>
  <c r="S102"/>
  <c r="Q102"/>
  <c r="A111"/>
  <c r="Q111"/>
  <c r="R111"/>
  <c r="S111"/>
  <c r="A113"/>
  <c r="Q113"/>
  <c r="R113"/>
  <c r="S113"/>
  <c r="A82"/>
  <c r="S82"/>
  <c r="Q82"/>
  <c r="R82"/>
  <c r="A166"/>
  <c r="Q166"/>
  <c r="R166"/>
  <c r="S166"/>
  <c r="A104"/>
  <c r="R104"/>
  <c r="S104"/>
  <c r="Q104"/>
  <c r="A93"/>
  <c r="Q93"/>
  <c r="R93"/>
  <c r="S93"/>
  <c r="H71" i="60"/>
  <c r="I70"/>
  <c r="H70"/>
  <c r="J70"/>
  <c r="I71"/>
  <c r="J71"/>
  <c r="K71"/>
  <c r="K70"/>
  <c r="N70" s="1"/>
  <c r="P70" s="1"/>
  <c r="L72"/>
  <c r="N29"/>
  <c r="N9"/>
  <c r="J68"/>
  <c r="H69"/>
  <c r="K68"/>
  <c r="I69"/>
  <c r="J69"/>
  <c r="H68"/>
  <c r="K69"/>
  <c r="I68"/>
  <c r="I49"/>
  <c r="K49"/>
  <c r="J49"/>
  <c r="H49"/>
  <c r="J33" i="14"/>
  <c r="I33"/>
  <c r="C33" i="69"/>
  <c r="E33"/>
  <c r="F33"/>
  <c r="J33"/>
  <c r="C25"/>
  <c r="F25"/>
  <c r="E25"/>
  <c r="J25"/>
  <c r="C17"/>
  <c r="F17"/>
  <c r="E17"/>
  <c r="J17"/>
  <c r="E34"/>
  <c r="C34"/>
  <c r="J34"/>
  <c r="F34"/>
  <c r="E26"/>
  <c r="J26"/>
  <c r="C26"/>
  <c r="F26"/>
  <c r="E18"/>
  <c r="J18"/>
  <c r="C18"/>
  <c r="F18"/>
  <c r="C39"/>
  <c r="F39"/>
  <c r="E39"/>
  <c r="J39"/>
  <c r="C31"/>
  <c r="F31"/>
  <c r="E31"/>
  <c r="J31"/>
  <c r="C23"/>
  <c r="E23"/>
  <c r="F23"/>
  <c r="J23"/>
  <c r="C15"/>
  <c r="F15"/>
  <c r="E15"/>
  <c r="J15"/>
  <c r="E40"/>
  <c r="J40"/>
  <c r="C40"/>
  <c r="F40"/>
  <c r="E32"/>
  <c r="C32"/>
  <c r="J32"/>
  <c r="F32"/>
  <c r="E24"/>
  <c r="C24"/>
  <c r="J24"/>
  <c r="F24"/>
  <c r="E16"/>
  <c r="C16"/>
  <c r="J16"/>
  <c r="F16"/>
  <c r="C37"/>
  <c r="E37"/>
  <c r="F37"/>
  <c r="J37"/>
  <c r="C29"/>
  <c r="F29"/>
  <c r="E29"/>
  <c r="J29"/>
  <c r="C21"/>
  <c r="F21"/>
  <c r="E21"/>
  <c r="J21"/>
  <c r="E38"/>
  <c r="J38"/>
  <c r="C38"/>
  <c r="F38"/>
  <c r="E30"/>
  <c r="C30"/>
  <c r="J30"/>
  <c r="F30"/>
  <c r="E22"/>
  <c r="C22"/>
  <c r="J22"/>
  <c r="F22"/>
  <c r="E14"/>
  <c r="C14"/>
  <c r="J14"/>
  <c r="F14"/>
  <c r="C35"/>
  <c r="F35"/>
  <c r="E35"/>
  <c r="J35"/>
  <c r="C27"/>
  <c r="E27"/>
  <c r="F27"/>
  <c r="J27"/>
  <c r="C19"/>
  <c r="F19"/>
  <c r="E19"/>
  <c r="J19"/>
  <c r="E36"/>
  <c r="J36"/>
  <c r="C36"/>
  <c r="F36"/>
  <c r="E28"/>
  <c r="C28"/>
  <c r="J28"/>
  <c r="F28"/>
  <c r="E20"/>
  <c r="C20"/>
  <c r="J20"/>
  <c r="F20"/>
  <c r="L52" i="60"/>
  <c r="H47"/>
  <c r="I47"/>
  <c r="H48"/>
  <c r="I48"/>
  <c r="J47"/>
  <c r="K47"/>
  <c r="J48"/>
  <c r="K48"/>
  <c r="H20" i="56"/>
  <c r="H22"/>
  <c r="O44" i="63"/>
  <c r="N49"/>
  <c r="M50"/>
  <c r="O43"/>
  <c r="E37" i="47"/>
  <c r="G34"/>
  <c r="I14" i="14"/>
  <c r="G47" i="47"/>
  <c r="F20"/>
  <c r="G26"/>
  <c r="C45"/>
  <c r="D29"/>
  <c r="J189" i="60"/>
  <c r="I188"/>
  <c r="K186"/>
  <c r="K185"/>
  <c r="I189"/>
  <c r="K187"/>
  <c r="J186"/>
  <c r="J185"/>
  <c r="K188"/>
  <c r="J187"/>
  <c r="I186"/>
  <c r="N186" s="1"/>
  <c r="P186" s="1"/>
  <c r="I185"/>
  <c r="K189"/>
  <c r="J188"/>
  <c r="I187"/>
  <c r="G90"/>
  <c r="K217"/>
  <c r="J216"/>
  <c r="I215"/>
  <c r="H214"/>
  <c r="H213"/>
  <c r="K212"/>
  <c r="J217"/>
  <c r="I216"/>
  <c r="H215"/>
  <c r="K214"/>
  <c r="K213"/>
  <c r="J212"/>
  <c r="I217"/>
  <c r="H216"/>
  <c r="K215"/>
  <c r="J214"/>
  <c r="J213"/>
  <c r="I212"/>
  <c r="H217"/>
  <c r="K216"/>
  <c r="J215"/>
  <c r="I214"/>
  <c r="I213"/>
  <c r="H212"/>
  <c r="G139"/>
  <c r="B50" i="55"/>
  <c r="A49"/>
  <c r="I243" i="60"/>
  <c r="K242"/>
  <c r="K241"/>
  <c r="J240"/>
  <c r="I239"/>
  <c r="I238"/>
  <c r="H243"/>
  <c r="J242"/>
  <c r="J241"/>
  <c r="I240"/>
  <c r="H239"/>
  <c r="H238"/>
  <c r="K243"/>
  <c r="I242"/>
  <c r="I241"/>
  <c r="H240"/>
  <c r="K239"/>
  <c r="K238"/>
  <c r="J243"/>
  <c r="H242"/>
  <c r="H241"/>
  <c r="K240"/>
  <c r="J239"/>
  <c r="J238"/>
  <c r="N185"/>
  <c r="G191"/>
  <c r="G219"/>
  <c r="J161"/>
  <c r="J160"/>
  <c r="I159"/>
  <c r="I158"/>
  <c r="I161"/>
  <c r="I160"/>
  <c r="H159"/>
  <c r="H158"/>
  <c r="H161"/>
  <c r="H160"/>
  <c r="K159"/>
  <c r="K158"/>
  <c r="K161"/>
  <c r="K160"/>
  <c r="J159"/>
  <c r="J158"/>
  <c r="I110"/>
  <c r="H109"/>
  <c r="K108"/>
  <c r="K107"/>
  <c r="H110"/>
  <c r="K109"/>
  <c r="J108"/>
  <c r="J107"/>
  <c r="K110"/>
  <c r="J109"/>
  <c r="I108"/>
  <c r="I107"/>
  <c r="J110"/>
  <c r="I109"/>
  <c r="H108"/>
  <c r="N108" s="1"/>
  <c r="P108" s="1"/>
  <c r="H107"/>
  <c r="N107" s="1"/>
  <c r="G270"/>
  <c r="G163"/>
  <c r="G112"/>
  <c r="K88"/>
  <c r="K87"/>
  <c r="J88"/>
  <c r="J87"/>
  <c r="I88"/>
  <c r="I87"/>
  <c r="H88"/>
  <c r="H87"/>
  <c r="J138"/>
  <c r="H137"/>
  <c r="K136"/>
  <c r="K135"/>
  <c r="I138"/>
  <c r="K137"/>
  <c r="J136"/>
  <c r="J135"/>
  <c r="H138"/>
  <c r="J137"/>
  <c r="I136"/>
  <c r="I135"/>
  <c r="K138"/>
  <c r="I137"/>
  <c r="H136"/>
  <c r="N136" s="1"/>
  <c r="P136" s="1"/>
  <c r="H135"/>
  <c r="N135" s="1"/>
  <c r="J268"/>
  <c r="I267"/>
  <c r="I266"/>
  <c r="H265"/>
  <c r="K264"/>
  <c r="K263"/>
  <c r="I268"/>
  <c r="H267"/>
  <c r="H266"/>
  <c r="K265"/>
  <c r="J264"/>
  <c r="J263"/>
  <c r="H268"/>
  <c r="K267"/>
  <c r="K266"/>
  <c r="J265"/>
  <c r="I264"/>
  <c r="I263"/>
  <c r="K268"/>
  <c r="J267"/>
  <c r="J266"/>
  <c r="I265"/>
  <c r="H264"/>
  <c r="H263"/>
  <c r="A14" i="55"/>
  <c r="N7" i="60"/>
  <c r="P7" s="1"/>
  <c r="N30"/>
  <c r="B12" i="61"/>
  <c r="D13"/>
  <c r="D14" s="1"/>
  <c r="G13"/>
  <c r="G14" s="1"/>
  <c r="F13"/>
  <c r="F14" s="1"/>
  <c r="E13"/>
  <c r="E14" s="1"/>
  <c r="N8" i="60"/>
  <c r="P8" s="1"/>
  <c r="L43" i="63"/>
  <c r="O40"/>
  <c r="N40"/>
  <c r="M17" i="52"/>
  <c r="F36" i="47"/>
  <c r="G15"/>
  <c r="G18"/>
  <c r="E33"/>
  <c r="A46"/>
  <c r="C29"/>
  <c r="G42"/>
  <c r="G23"/>
  <c r="F39"/>
  <c r="H25" i="57"/>
  <c r="H30"/>
  <c r="F31" i="47"/>
  <c r="F48"/>
  <c r="F32"/>
  <c r="F16"/>
  <c r="G46"/>
  <c r="G30"/>
  <c r="B38"/>
  <c r="C43"/>
  <c r="F23"/>
  <c r="A22"/>
  <c r="C32"/>
  <c r="C41"/>
  <c r="F24"/>
  <c r="G27"/>
  <c r="D39"/>
  <c r="C22"/>
  <c r="C23"/>
  <c r="E50"/>
  <c r="O39" i="63"/>
  <c r="O45"/>
  <c r="O49"/>
  <c r="N44"/>
  <c r="M44"/>
  <c r="L49"/>
  <c r="H19" i="57"/>
  <c r="H21"/>
  <c r="H29"/>
  <c r="H40" i="14"/>
  <c r="B48" i="47"/>
  <c r="B44"/>
  <c r="E39"/>
  <c r="B36"/>
  <c r="B32"/>
  <c r="E27"/>
  <c r="E23"/>
  <c r="B20"/>
  <c r="D15"/>
  <c r="D36"/>
  <c r="D24"/>
  <c r="F49"/>
  <c r="C46"/>
  <c r="C42"/>
  <c r="F37"/>
  <c r="F33"/>
  <c r="C30"/>
  <c r="F25"/>
  <c r="F21"/>
  <c r="F17"/>
  <c r="G31"/>
  <c r="B22"/>
  <c r="F50"/>
  <c r="B46"/>
  <c r="B42"/>
  <c r="D32"/>
  <c r="B18"/>
  <c r="B35"/>
  <c r="D21"/>
  <c r="C40"/>
  <c r="E18"/>
  <c r="G44"/>
  <c r="C20"/>
  <c r="D25"/>
  <c r="E47"/>
  <c r="A43"/>
  <c r="A39"/>
  <c r="A35"/>
  <c r="D30"/>
  <c r="A27"/>
  <c r="A23"/>
  <c r="D18"/>
  <c r="F42"/>
  <c r="F34"/>
  <c r="A21"/>
  <c r="B49"/>
  <c r="B45"/>
  <c r="E40"/>
  <c r="B37"/>
  <c r="B33"/>
  <c r="E28"/>
  <c r="E24"/>
  <c r="B21"/>
  <c r="E16"/>
  <c r="B30"/>
  <c r="F18"/>
  <c r="E49"/>
  <c r="E45"/>
  <c r="G39"/>
  <c r="F26"/>
  <c r="D16"/>
  <c r="G32"/>
  <c r="A34"/>
  <c r="E15"/>
  <c r="E38"/>
  <c r="D17"/>
  <c r="G45"/>
  <c r="G41"/>
  <c r="D38"/>
  <c r="G33"/>
  <c r="G29"/>
  <c r="G25"/>
  <c r="C21"/>
  <c r="G17"/>
  <c r="E41"/>
  <c r="E29"/>
  <c r="E17"/>
  <c r="E48"/>
  <c r="A44"/>
  <c r="A40"/>
  <c r="A36"/>
  <c r="D31"/>
  <c r="A28"/>
  <c r="A24"/>
  <c r="D19"/>
  <c r="C15"/>
  <c r="D28"/>
  <c r="B15"/>
  <c r="D48"/>
  <c r="A45"/>
  <c r="A37"/>
  <c r="A25"/>
  <c r="C44"/>
  <c r="A26"/>
  <c r="B31"/>
  <c r="L47" i="63"/>
  <c r="N47"/>
  <c r="E19" i="47"/>
  <c r="F19"/>
  <c r="G49"/>
  <c r="D46"/>
  <c r="E43"/>
  <c r="F40"/>
  <c r="C37"/>
  <c r="D34"/>
  <c r="E31"/>
  <c r="B28"/>
  <c r="C25"/>
  <c r="D22"/>
  <c r="A19"/>
  <c r="B16"/>
  <c r="D40"/>
  <c r="C31"/>
  <c r="F22"/>
  <c r="G50"/>
  <c r="D47"/>
  <c r="E44"/>
  <c r="F41"/>
  <c r="C38"/>
  <c r="D35"/>
  <c r="E32"/>
  <c r="B29"/>
  <c r="C26"/>
  <c r="D23"/>
  <c r="A20"/>
  <c r="B17"/>
  <c r="G35"/>
  <c r="E25"/>
  <c r="A17"/>
  <c r="B50"/>
  <c r="C47"/>
  <c r="G43"/>
  <c r="F38"/>
  <c r="F30"/>
  <c r="G19"/>
  <c r="A42"/>
  <c r="E30"/>
  <c r="G16"/>
  <c r="B43"/>
  <c r="F27"/>
  <c r="D41"/>
  <c r="E26"/>
  <c r="A38"/>
  <c r="C49"/>
  <c r="A47"/>
  <c r="F44"/>
  <c r="D42"/>
  <c r="B40"/>
  <c r="G37"/>
  <c r="E35"/>
  <c r="C33"/>
  <c r="A31"/>
  <c r="F28"/>
  <c r="D26"/>
  <c r="B24"/>
  <c r="G21"/>
  <c r="C17"/>
  <c r="C39"/>
  <c r="A33"/>
  <c r="B26"/>
  <c r="C19"/>
  <c r="C50"/>
  <c r="A48"/>
  <c r="F45"/>
  <c r="D43"/>
  <c r="B41"/>
  <c r="G38"/>
  <c r="E36"/>
  <c r="C34"/>
  <c r="A32"/>
  <c r="F29"/>
  <c r="D27"/>
  <c r="B25"/>
  <c r="G22"/>
  <c r="E20"/>
  <c r="C18"/>
  <c r="A16"/>
  <c r="B34"/>
  <c r="C27"/>
  <c r="D20"/>
  <c r="A49"/>
  <c r="F46"/>
  <c r="D44"/>
  <c r="A41"/>
  <c r="C35"/>
  <c r="A29"/>
  <c r="E21"/>
  <c r="E46"/>
  <c r="D37"/>
  <c r="C28"/>
  <c r="B19"/>
  <c r="D49"/>
  <c r="G36"/>
  <c r="G24"/>
  <c r="D50"/>
  <c r="F47"/>
  <c r="F35"/>
  <c r="B23"/>
  <c r="F43"/>
  <c r="J21" i="52"/>
  <c r="I21"/>
  <c r="O47" i="63"/>
  <c r="N17" i="52"/>
  <c r="A14" i="58"/>
  <c r="A15" s="1"/>
  <c r="A16" s="1"/>
  <c r="A17" s="1"/>
  <c r="A18" s="1"/>
  <c r="A19" s="1"/>
  <c r="A20" s="1"/>
  <c r="L17" i="52"/>
  <c r="K17"/>
  <c r="G21"/>
  <c r="O50" i="63"/>
  <c r="M46"/>
  <c r="N41"/>
  <c r="O41"/>
  <c r="O46"/>
  <c r="N50"/>
  <c r="N46"/>
  <c r="M40"/>
  <c r="L41"/>
  <c r="N43"/>
  <c r="O17"/>
  <c r="L17"/>
  <c r="N17"/>
  <c r="K19" i="52"/>
  <c r="M19"/>
  <c r="N19"/>
  <c r="N45" i="63"/>
  <c r="F24" i="58"/>
  <c r="A27"/>
  <c r="J14" i="14"/>
  <c r="H21" i="52"/>
  <c r="G32" i="58"/>
  <c r="G40" i="14"/>
  <c r="J52" i="63"/>
  <c r="K52"/>
  <c r="H52"/>
  <c r="I52"/>
  <c r="O42"/>
  <c r="N42"/>
  <c r="A29" i="58"/>
  <c r="O48" i="63"/>
  <c r="N48"/>
  <c r="M42"/>
  <c r="A26" i="58"/>
  <c r="L45" i="63"/>
  <c r="A21" i="58"/>
  <c r="M17" i="63"/>
  <c r="M48"/>
  <c r="N39"/>
  <c r="L39"/>
  <c r="C36" i="47"/>
  <c r="G48"/>
  <c r="A18"/>
  <c r="C24"/>
  <c r="A30"/>
  <c r="E42"/>
  <c r="C48"/>
  <c r="C16"/>
  <c r="E22"/>
  <c r="G28"/>
  <c r="E34"/>
  <c r="G40"/>
  <c r="B47"/>
  <c r="A15"/>
  <c r="G20"/>
  <c r="A50"/>
  <c r="B27"/>
  <c r="D33"/>
  <c r="B39"/>
  <c r="D45"/>
  <c r="H32" i="58"/>
  <c r="I14"/>
  <c r="I15" s="1"/>
  <c r="I16" s="1"/>
  <c r="I17" s="1"/>
  <c r="I18" s="1"/>
  <c r="I19" s="1"/>
  <c r="I20" s="1"/>
  <c r="F20"/>
  <c r="F28"/>
  <c r="A23"/>
  <c r="D23" i="56"/>
  <c r="H19"/>
  <c r="J27" i="57"/>
  <c r="F14" i="58"/>
  <c r="A25"/>
  <c r="A22"/>
  <c r="A30"/>
  <c r="E5"/>
  <c r="K21" i="57"/>
  <c r="A17" i="56"/>
  <c r="A18" s="1"/>
  <c r="A19" s="1"/>
  <c r="A20" s="1"/>
  <c r="A21" s="1"/>
  <c r="A22" s="1"/>
  <c r="J22" i="57"/>
  <c r="K23"/>
  <c r="H27"/>
  <c r="K22"/>
  <c r="H15"/>
  <c r="J14"/>
  <c r="J28"/>
  <c r="H17" i="56"/>
  <c r="J19" i="57"/>
  <c r="J30"/>
  <c r="J29"/>
  <c r="H26"/>
  <c r="H18" i="56"/>
  <c r="J18" i="57"/>
  <c r="K17" i="62"/>
  <c r="A15" i="57"/>
  <c r="A16" s="1"/>
  <c r="A17" s="1"/>
  <c r="A18" s="1"/>
  <c r="A19" s="1"/>
  <c r="A20" s="1"/>
  <c r="G32"/>
  <c r="J24"/>
  <c r="D21" i="56"/>
  <c r="I32" i="57"/>
  <c r="H14"/>
  <c r="J25"/>
  <c r="H22"/>
  <c r="J15"/>
  <c r="H20"/>
  <c r="K14"/>
  <c r="K15" s="1"/>
  <c r="K16" s="1"/>
  <c r="K17" s="1"/>
  <c r="K18" s="1"/>
  <c r="K19" s="1"/>
  <c r="K20" s="1"/>
  <c r="K26"/>
  <c r="H17"/>
  <c r="J23"/>
  <c r="J26"/>
  <c r="H24"/>
  <c r="J20"/>
  <c r="K25"/>
  <c r="J16"/>
  <c r="J21"/>
  <c r="H28"/>
  <c r="K37" i="55"/>
  <c r="K56"/>
  <c r="K24" i="57"/>
  <c r="K27"/>
  <c r="K30"/>
  <c r="J17"/>
  <c r="H23"/>
  <c r="H16"/>
  <c r="K28"/>
  <c r="H18"/>
  <c r="K45" i="55"/>
  <c r="L29" i="57"/>
  <c r="K29"/>
  <c r="M17" i="62"/>
  <c r="M34" i="45"/>
  <c r="O34"/>
  <c r="B13" i="61"/>
  <c r="N71" i="60" l="1"/>
  <c r="P71" s="1"/>
  <c r="F12" i="43"/>
  <c r="A101" i="42"/>
  <c r="H104"/>
  <c r="H102"/>
  <c r="G104"/>
  <c r="G102"/>
  <c r="F104"/>
  <c r="F102"/>
  <c r="E104"/>
  <c r="I104" s="1"/>
  <c r="E102"/>
  <c r="D104"/>
  <c r="D102"/>
  <c r="C104"/>
  <c r="C102"/>
  <c r="B104"/>
  <c r="B102"/>
  <c r="A104"/>
  <c r="A102"/>
  <c r="H103"/>
  <c r="H101"/>
  <c r="G103"/>
  <c r="G101"/>
  <c r="F103"/>
  <c r="F101"/>
  <c r="E103"/>
  <c r="E101"/>
  <c r="D103"/>
  <c r="D101"/>
  <c r="C103"/>
  <c r="C101"/>
  <c r="B103"/>
  <c r="B101"/>
  <c r="A103"/>
  <c r="N69" i="60"/>
  <c r="P69" s="1"/>
  <c r="N48"/>
  <c r="N49"/>
  <c r="P49" s="1"/>
  <c r="F68" s="1"/>
  <c r="I41" i="14"/>
  <c r="E41" i="69"/>
  <c r="N41"/>
  <c r="N158" i="60"/>
  <c r="A83" i="43"/>
  <c r="E83"/>
  <c r="C84"/>
  <c r="D83"/>
  <c r="B83"/>
  <c r="F83"/>
  <c r="D84"/>
  <c r="A84"/>
  <c r="C83"/>
  <c r="G83"/>
  <c r="F84"/>
  <c r="E84"/>
  <c r="B84"/>
  <c r="G84"/>
  <c r="F15"/>
  <c r="A53"/>
  <c r="F75"/>
  <c r="E66"/>
  <c r="D57"/>
  <c r="C77"/>
  <c r="B68"/>
  <c r="A59"/>
  <c r="D79"/>
  <c r="C70"/>
  <c r="B61"/>
  <c r="B82"/>
  <c r="A73"/>
  <c r="G63"/>
  <c r="F54"/>
  <c r="B75"/>
  <c r="A66"/>
  <c r="G56"/>
  <c r="F76"/>
  <c r="E67"/>
  <c r="D58"/>
  <c r="G78"/>
  <c r="F69"/>
  <c r="E60"/>
  <c r="E81"/>
  <c r="D72"/>
  <c r="C63"/>
  <c r="B54"/>
  <c r="G76"/>
  <c r="F67"/>
  <c r="E58"/>
  <c r="D78"/>
  <c r="C69"/>
  <c r="B60"/>
  <c r="E80"/>
  <c r="D71"/>
  <c r="C62"/>
  <c r="B53"/>
  <c r="B74"/>
  <c r="A65"/>
  <c r="G55"/>
  <c r="E78"/>
  <c r="D69"/>
  <c r="C60"/>
  <c r="B80"/>
  <c r="A71"/>
  <c r="G61"/>
  <c r="G82"/>
  <c r="B73"/>
  <c r="A64"/>
  <c r="G54"/>
  <c r="G75"/>
  <c r="F66"/>
  <c r="E57"/>
  <c r="E82"/>
  <c r="D73"/>
  <c r="C64"/>
  <c r="B55"/>
  <c r="A75"/>
  <c r="G65"/>
  <c r="F56"/>
  <c r="B77"/>
  <c r="A68"/>
  <c r="G58"/>
  <c r="G79"/>
  <c r="F70"/>
  <c r="E61"/>
  <c r="A82"/>
  <c r="G72"/>
  <c r="F63"/>
  <c r="E54"/>
  <c r="D74"/>
  <c r="C65"/>
  <c r="B56"/>
  <c r="E76"/>
  <c r="D67"/>
  <c r="C58"/>
  <c r="C79"/>
  <c r="B70"/>
  <c r="A61"/>
  <c r="D82"/>
  <c r="E74"/>
  <c r="D65"/>
  <c r="C56"/>
  <c r="B76"/>
  <c r="A67"/>
  <c r="G57"/>
  <c r="C78"/>
  <c r="B69"/>
  <c r="A60"/>
  <c r="A81"/>
  <c r="G71"/>
  <c r="F62"/>
  <c r="E53"/>
  <c r="C76"/>
  <c r="B67"/>
  <c r="A58"/>
  <c r="G77"/>
  <c r="F68"/>
  <c r="E59"/>
  <c r="A80"/>
  <c r="G70"/>
  <c r="F61"/>
  <c r="C82"/>
  <c r="E73"/>
  <c r="D64"/>
  <c r="C55"/>
  <c r="C80"/>
  <c r="B71"/>
  <c r="A62"/>
  <c r="G81"/>
  <c r="F72"/>
  <c r="E63"/>
  <c r="D54"/>
  <c r="G74"/>
  <c r="F65"/>
  <c r="E56"/>
  <c r="E77"/>
  <c r="D68"/>
  <c r="C59"/>
  <c r="F79"/>
  <c r="E70"/>
  <c r="D61"/>
  <c r="C81"/>
  <c r="B72"/>
  <c r="A63"/>
  <c r="G53"/>
  <c r="C74"/>
  <c r="B65"/>
  <c r="A56"/>
  <c r="A77"/>
  <c r="G67"/>
  <c r="F58"/>
  <c r="D81"/>
  <c r="C72"/>
  <c r="B63"/>
  <c r="A54"/>
  <c r="G73"/>
  <c r="F64"/>
  <c r="E55"/>
  <c r="A76"/>
  <c r="G66"/>
  <c r="F57"/>
  <c r="F78"/>
  <c r="E69"/>
  <c r="D60"/>
  <c r="F82"/>
  <c r="A74"/>
  <c r="G64"/>
  <c r="F55"/>
  <c r="E75"/>
  <c r="D66"/>
  <c r="C57"/>
  <c r="F77"/>
  <c r="E68"/>
  <c r="D59"/>
  <c r="D80"/>
  <c r="C71"/>
  <c r="B62"/>
  <c r="A78"/>
  <c r="G68"/>
  <c r="F59"/>
  <c r="E79"/>
  <c r="D70"/>
  <c r="C61"/>
  <c r="F81"/>
  <c r="E72"/>
  <c r="D63"/>
  <c r="C54"/>
  <c r="C75"/>
  <c r="B66"/>
  <c r="A57"/>
  <c r="D77"/>
  <c r="C68"/>
  <c r="B59"/>
  <c r="A79"/>
  <c r="G69"/>
  <c r="F60"/>
  <c r="B81"/>
  <c r="A72"/>
  <c r="G62"/>
  <c r="F53"/>
  <c r="F74"/>
  <c r="E65"/>
  <c r="D56"/>
  <c r="B79"/>
  <c r="A70"/>
  <c r="G60"/>
  <c r="F80"/>
  <c r="E71"/>
  <c r="D62"/>
  <c r="C53"/>
  <c r="F73"/>
  <c r="E64"/>
  <c r="D55"/>
  <c r="D76"/>
  <c r="C67"/>
  <c r="B58"/>
  <c r="G80"/>
  <c r="F71"/>
  <c r="E62"/>
  <c r="D53"/>
  <c r="C73"/>
  <c r="B64"/>
  <c r="A55"/>
  <c r="D75"/>
  <c r="C66"/>
  <c r="B57"/>
  <c r="B78"/>
  <c r="A69"/>
  <c r="G59"/>
  <c r="G42"/>
  <c r="G44"/>
  <c r="F21"/>
  <c r="G32"/>
  <c r="F46"/>
  <c r="G16"/>
  <c r="G31"/>
  <c r="F47"/>
  <c r="G15"/>
  <c r="F19"/>
  <c r="G14"/>
  <c r="G20"/>
  <c r="F42"/>
  <c r="G13"/>
  <c r="G51"/>
  <c r="G29"/>
  <c r="G49"/>
  <c r="F16"/>
  <c r="F17"/>
  <c r="H5" i="39"/>
  <c r="F13" i="43"/>
  <c r="F45"/>
  <c r="G25"/>
  <c r="F36"/>
  <c r="F23"/>
  <c r="F33"/>
  <c r="F24"/>
  <c r="F29"/>
  <c r="G39"/>
  <c r="F34"/>
  <c r="G36"/>
  <c r="F30"/>
  <c r="F52"/>
  <c r="G27"/>
  <c r="G37"/>
  <c r="G28"/>
  <c r="G33"/>
  <c r="G23"/>
  <c r="F50"/>
  <c r="G35"/>
  <c r="G43"/>
  <c r="F22"/>
  <c r="G34"/>
  <c r="F14"/>
  <c r="F37"/>
  <c r="G24"/>
  <c r="G47"/>
  <c r="F27"/>
  <c r="G30"/>
  <c r="G21"/>
  <c r="G19"/>
  <c r="G12"/>
  <c r="G26"/>
  <c r="G17"/>
  <c r="G48"/>
  <c r="F28"/>
  <c r="F51"/>
  <c r="G22"/>
  <c r="G45"/>
  <c r="F25"/>
  <c r="F48"/>
  <c r="G18"/>
  <c r="G41"/>
  <c r="G40"/>
  <c r="F20"/>
  <c r="F43"/>
  <c r="G46"/>
  <c r="F26"/>
  <c r="F49"/>
  <c r="F31"/>
  <c r="F40"/>
  <c r="G50"/>
  <c r="F39"/>
  <c r="F44"/>
  <c r="F35"/>
  <c r="G38"/>
  <c r="F18"/>
  <c r="F41"/>
  <c r="G52"/>
  <c r="F32"/>
  <c r="D11" i="49"/>
  <c r="H11"/>
  <c r="E11"/>
  <c r="B11"/>
  <c r="F11"/>
  <c r="C11"/>
  <c r="G11"/>
  <c r="P48" i="60"/>
  <c r="N212"/>
  <c r="P212" s="1"/>
  <c r="N216"/>
  <c r="P216" s="1"/>
  <c r="N264"/>
  <c r="P264" s="1"/>
  <c r="N88"/>
  <c r="P88" s="1"/>
  <c r="J15" i="14"/>
  <c r="K18" i="52"/>
  <c r="F11" i="48"/>
  <c r="D12"/>
  <c r="F14"/>
  <c r="H16"/>
  <c r="BW16" s="1"/>
  <c r="C19"/>
  <c r="E21"/>
  <c r="G23"/>
  <c r="T23" s="1"/>
  <c r="B26"/>
  <c r="D28"/>
  <c r="F30"/>
  <c r="H32"/>
  <c r="S32" s="1"/>
  <c r="C35"/>
  <c r="E37"/>
  <c r="E12"/>
  <c r="G14"/>
  <c r="T14" s="1"/>
  <c r="B17"/>
  <c r="D19"/>
  <c r="F21"/>
  <c r="H23"/>
  <c r="K23" s="1"/>
  <c r="C26"/>
  <c r="E28"/>
  <c r="G30"/>
  <c r="L30" s="1"/>
  <c r="B33"/>
  <c r="D35"/>
  <c r="F37"/>
  <c r="G13"/>
  <c r="L13" s="1"/>
  <c r="B16"/>
  <c r="D18"/>
  <c r="F20"/>
  <c r="H22"/>
  <c r="BW22" s="1"/>
  <c r="C25"/>
  <c r="E27"/>
  <c r="G29"/>
  <c r="AX29" s="1"/>
  <c r="B32"/>
  <c r="D34"/>
  <c r="F36"/>
  <c r="H38"/>
  <c r="BQ38" s="1"/>
  <c r="H13"/>
  <c r="S13" s="1"/>
  <c r="C16"/>
  <c r="E18"/>
  <c r="G20"/>
  <c r="CN20" s="1"/>
  <c r="B23"/>
  <c r="D25"/>
  <c r="F27"/>
  <c r="H29"/>
  <c r="DA29" s="1"/>
  <c r="C32"/>
  <c r="E34"/>
  <c r="G36"/>
  <c r="AX36" s="1"/>
  <c r="H12"/>
  <c r="M12" s="1"/>
  <c r="C15"/>
  <c r="E17"/>
  <c r="G19"/>
  <c r="AJ19" s="1"/>
  <c r="B22"/>
  <c r="D24"/>
  <c r="F26"/>
  <c r="H28"/>
  <c r="AE28" s="1"/>
  <c r="C31"/>
  <c r="E33"/>
  <c r="G35"/>
  <c r="L35" s="1"/>
  <c r="B38"/>
  <c r="B13"/>
  <c r="D15"/>
  <c r="F17"/>
  <c r="H19"/>
  <c r="AI19" s="1"/>
  <c r="C22"/>
  <c r="E24"/>
  <c r="G26"/>
  <c r="P26" s="1"/>
  <c r="B29"/>
  <c r="D31"/>
  <c r="F33"/>
  <c r="H35"/>
  <c r="AI35" s="1"/>
  <c r="C38"/>
  <c r="B12"/>
  <c r="D14"/>
  <c r="F16"/>
  <c r="H18"/>
  <c r="K18" s="1"/>
  <c r="C21"/>
  <c r="E23"/>
  <c r="G25"/>
  <c r="AN25" s="1"/>
  <c r="B28"/>
  <c r="D30"/>
  <c r="F32"/>
  <c r="H34"/>
  <c r="K34" s="1"/>
  <c r="C37"/>
  <c r="C12"/>
  <c r="E14"/>
  <c r="G16"/>
  <c r="L16" s="1"/>
  <c r="B19"/>
  <c r="D21"/>
  <c r="F23"/>
  <c r="H25"/>
  <c r="AI25" s="1"/>
  <c r="C28"/>
  <c r="E30"/>
  <c r="G32"/>
  <c r="AT32" s="1"/>
  <c r="B35"/>
  <c r="D37"/>
  <c r="E13"/>
  <c r="G15"/>
  <c r="T15" s="1"/>
  <c r="B18"/>
  <c r="D20"/>
  <c r="F22"/>
  <c r="H24"/>
  <c r="O24" s="1"/>
  <c r="C27"/>
  <c r="E29"/>
  <c r="G31"/>
  <c r="J31" s="1"/>
  <c r="B34"/>
  <c r="D36"/>
  <c r="F38"/>
  <c r="F13"/>
  <c r="H15"/>
  <c r="AE15" s="1"/>
  <c r="C18"/>
  <c r="E20"/>
  <c r="G22"/>
  <c r="CJ22" s="1"/>
  <c r="B25"/>
  <c r="D27"/>
  <c r="F29"/>
  <c r="H31"/>
  <c r="M31" s="1"/>
  <c r="C34"/>
  <c r="E36"/>
  <c r="G38"/>
  <c r="AP38" s="1"/>
  <c r="F12"/>
  <c r="H14"/>
  <c r="BW14" s="1"/>
  <c r="C17"/>
  <c r="E19"/>
  <c r="G21"/>
  <c r="P21" s="1"/>
  <c r="B24"/>
  <c r="D26"/>
  <c r="F28"/>
  <c r="AQ28" s="1"/>
  <c r="H30"/>
  <c r="AI30" s="1"/>
  <c r="C33"/>
  <c r="E35"/>
  <c r="G37"/>
  <c r="CR37" s="1"/>
  <c r="G12"/>
  <c r="BN12" s="1"/>
  <c r="B15"/>
  <c r="D17"/>
  <c r="F19"/>
  <c r="H21"/>
  <c r="CI21" s="1"/>
  <c r="C24"/>
  <c r="E26"/>
  <c r="G28"/>
  <c r="AF28" s="1"/>
  <c r="B31"/>
  <c r="D33"/>
  <c r="F35"/>
  <c r="AQ35" s="1"/>
  <c r="H37"/>
  <c r="CY37" s="1"/>
  <c r="B14"/>
  <c r="D16"/>
  <c r="F18"/>
  <c r="H20"/>
  <c r="AE20" s="1"/>
  <c r="C23"/>
  <c r="E25"/>
  <c r="G27"/>
  <c r="L27" s="1"/>
  <c r="B30"/>
  <c r="D32"/>
  <c r="F34"/>
  <c r="H36"/>
  <c r="BW36" s="1"/>
  <c r="C14"/>
  <c r="E16"/>
  <c r="G18"/>
  <c r="P18" s="1"/>
  <c r="B21"/>
  <c r="D23"/>
  <c r="F25"/>
  <c r="H27"/>
  <c r="S27" s="1"/>
  <c r="C30"/>
  <c r="E32"/>
  <c r="G34"/>
  <c r="AT34" s="1"/>
  <c r="B37"/>
  <c r="C13"/>
  <c r="E15"/>
  <c r="G17"/>
  <c r="BV17" s="1"/>
  <c r="B20"/>
  <c r="D22"/>
  <c r="F24"/>
  <c r="H26"/>
  <c r="BW26" s="1"/>
  <c r="C29"/>
  <c r="E31"/>
  <c r="G33"/>
  <c r="AB33" s="1"/>
  <c r="B36"/>
  <c r="D38"/>
  <c r="D13"/>
  <c r="F15"/>
  <c r="H17"/>
  <c r="K17" s="1"/>
  <c r="C20"/>
  <c r="E22"/>
  <c r="G24"/>
  <c r="B27"/>
  <c r="D29"/>
  <c r="F31"/>
  <c r="H33"/>
  <c r="W33" s="1"/>
  <c r="C36"/>
  <c r="E38"/>
  <c r="K25"/>
  <c r="E11"/>
  <c r="B11"/>
  <c r="C11"/>
  <c r="G11"/>
  <c r="D11"/>
  <c r="H11"/>
  <c r="N217" i="60"/>
  <c r="P217" s="1"/>
  <c r="N263"/>
  <c r="P263" s="1"/>
  <c r="N87"/>
  <c r="N90" s="1"/>
  <c r="N187"/>
  <c r="P187" s="1"/>
  <c r="P135"/>
  <c r="P107"/>
  <c r="N110"/>
  <c r="P110" s="1"/>
  <c r="N161"/>
  <c r="P161" s="1"/>
  <c r="P185"/>
  <c r="B51" i="55"/>
  <c r="A50"/>
  <c r="N137" i="60"/>
  <c r="P137" s="1"/>
  <c r="A15" i="55"/>
  <c r="N268" i="60"/>
  <c r="P268" s="1"/>
  <c r="N266"/>
  <c r="P266" s="1"/>
  <c r="N138"/>
  <c r="P138" s="1"/>
  <c r="P158"/>
  <c r="N159"/>
  <c r="P159" s="1"/>
  <c r="N215"/>
  <c r="P215" s="1"/>
  <c r="N213"/>
  <c r="P213" s="1"/>
  <c r="N188"/>
  <c r="P188" s="1"/>
  <c r="N267"/>
  <c r="P267" s="1"/>
  <c r="N265"/>
  <c r="P265" s="1"/>
  <c r="N109"/>
  <c r="P109" s="1"/>
  <c r="N160"/>
  <c r="P160" s="1"/>
  <c r="N214"/>
  <c r="P214" s="1"/>
  <c r="N189"/>
  <c r="P189" s="1"/>
  <c r="P29"/>
  <c r="F47" s="1"/>
  <c r="G47" s="1"/>
  <c r="N47" s="1"/>
  <c r="N32"/>
  <c r="N11"/>
  <c r="P9"/>
  <c r="B14" i="61"/>
  <c r="I15" i="14"/>
  <c r="L18" i="52"/>
  <c r="O18" i="63"/>
  <c r="M18" i="52"/>
  <c r="N18"/>
  <c r="I13" i="42"/>
  <c r="L22" i="52"/>
  <c r="M22"/>
  <c r="K22"/>
  <c r="L18" i="63"/>
  <c r="N18"/>
  <c r="J41" i="14"/>
  <c r="N53" i="63"/>
  <c r="L53"/>
  <c r="I32" i="58"/>
  <c r="M53" i="63"/>
  <c r="O53"/>
  <c r="N22" i="52"/>
  <c r="M18" i="63"/>
  <c r="G51" i="47"/>
  <c r="B21" i="42"/>
  <c r="C51" i="43"/>
  <c r="A49"/>
  <c r="D44"/>
  <c r="B42"/>
  <c r="E37"/>
  <c r="E42"/>
  <c r="E39"/>
  <c r="D34"/>
  <c r="B32"/>
  <c r="E27"/>
  <c r="C25"/>
  <c r="A23"/>
  <c r="D18"/>
  <c r="B16"/>
  <c r="D51"/>
  <c r="D47"/>
  <c r="B43"/>
  <c r="B39"/>
  <c r="E32"/>
  <c r="E29"/>
  <c r="E26"/>
  <c r="D23"/>
  <c r="D20"/>
  <c r="D17"/>
  <c r="C14"/>
  <c r="E38"/>
  <c r="C35"/>
  <c r="C32"/>
  <c r="B29"/>
  <c r="B26"/>
  <c r="B23"/>
  <c r="A20"/>
  <c r="A17"/>
  <c r="A14"/>
  <c r="D45"/>
  <c r="D41"/>
  <c r="D37"/>
  <c r="C34"/>
  <c r="C31"/>
  <c r="C28"/>
  <c r="B25"/>
  <c r="B22"/>
  <c r="B19"/>
  <c r="A16"/>
  <c r="A13"/>
  <c r="B49"/>
  <c r="A34"/>
  <c r="A40"/>
  <c r="B27"/>
  <c r="A47"/>
  <c r="D32"/>
  <c r="C20"/>
  <c r="E25"/>
  <c r="D13"/>
  <c r="D48"/>
  <c r="B46"/>
  <c r="E41"/>
  <c r="C39"/>
  <c r="A51"/>
  <c r="A48"/>
  <c r="B36"/>
  <c r="E31"/>
  <c r="C29"/>
  <c r="A27"/>
  <c r="D22"/>
  <c r="B20"/>
  <c r="E15"/>
  <c r="C13"/>
  <c r="D50"/>
  <c r="C46"/>
  <c r="C42"/>
  <c r="C38"/>
  <c r="E16"/>
  <c r="E13"/>
  <c r="E34"/>
  <c r="D31"/>
  <c r="D28"/>
  <c r="D25"/>
  <c r="C22"/>
  <c r="C19"/>
  <c r="C16"/>
  <c r="B13"/>
  <c r="E48"/>
  <c r="E44"/>
  <c r="E40"/>
  <c r="E36"/>
  <c r="E33"/>
  <c r="E30"/>
  <c r="D27"/>
  <c r="D24"/>
  <c r="D21"/>
  <c r="C18"/>
  <c r="C15"/>
  <c r="C12"/>
  <c r="B45"/>
  <c r="B52"/>
  <c r="C36"/>
  <c r="A24"/>
  <c r="A43"/>
  <c r="D29"/>
  <c r="B17"/>
  <c r="A50"/>
  <c r="E22"/>
  <c r="D52"/>
  <c r="B50"/>
  <c r="E45"/>
  <c r="C43"/>
  <c r="A41"/>
  <c r="C50"/>
  <c r="B47"/>
  <c r="B44"/>
  <c r="B41"/>
  <c r="A38"/>
  <c r="E35"/>
  <c r="C33"/>
  <c r="A31"/>
  <c r="D26"/>
  <c r="B24"/>
  <c r="E19"/>
  <c r="C17"/>
  <c r="A15"/>
  <c r="C49"/>
  <c r="E49"/>
  <c r="C47"/>
  <c r="A45"/>
  <c r="D40"/>
  <c r="B38"/>
  <c r="E52"/>
  <c r="D49"/>
  <c r="D46"/>
  <c r="D43"/>
  <c r="C40"/>
  <c r="C37"/>
  <c r="A35"/>
  <c r="D30"/>
  <c r="B28"/>
  <c r="E23"/>
  <c r="C21"/>
  <c r="A19"/>
  <c r="D14"/>
  <c r="B12"/>
  <c r="C52"/>
  <c r="C48"/>
  <c r="C44"/>
  <c r="B40"/>
  <c r="D36"/>
  <c r="D33"/>
  <c r="C30"/>
  <c r="C27"/>
  <c r="C24"/>
  <c r="B21"/>
  <c r="B18"/>
  <c r="B15"/>
  <c r="A12"/>
  <c r="A89" s="1"/>
  <c r="A52"/>
  <c r="A36"/>
  <c r="A33"/>
  <c r="A30"/>
  <c r="E50"/>
  <c r="E46"/>
  <c r="D42"/>
  <c r="D38"/>
  <c r="B35"/>
  <c r="A32"/>
  <c r="A29"/>
  <c r="A26"/>
  <c r="A37"/>
  <c r="E12"/>
  <c r="A44"/>
  <c r="B30"/>
  <c r="A18"/>
  <c r="B51"/>
  <c r="D35"/>
  <c r="C23"/>
  <c r="A42"/>
  <c r="E28"/>
  <c r="D16"/>
  <c r="C45"/>
  <c r="B31"/>
  <c r="E24"/>
  <c r="D12"/>
  <c r="E43"/>
  <c r="E17"/>
  <c r="A21"/>
  <c r="A39"/>
  <c r="C41"/>
  <c r="A28"/>
  <c r="E21"/>
  <c r="D39"/>
  <c r="E14"/>
  <c r="C26"/>
  <c r="A46"/>
  <c r="B37"/>
  <c r="A25"/>
  <c r="E18"/>
  <c r="E51"/>
  <c r="B48"/>
  <c r="B14"/>
  <c r="B34"/>
  <c r="A22"/>
  <c r="D15"/>
  <c r="E47"/>
  <c r="E20"/>
  <c r="B33"/>
  <c r="D19"/>
  <c r="H11" i="50"/>
  <c r="F11" i="51"/>
  <c r="D11" i="50"/>
  <c r="F11"/>
  <c r="D11" i="51"/>
  <c r="C11"/>
  <c r="E11"/>
  <c r="H11"/>
  <c r="C11" i="50"/>
  <c r="G11" i="51"/>
  <c r="G11" i="50"/>
  <c r="B11"/>
  <c r="E11"/>
  <c r="B11" i="51"/>
  <c r="A16" i="42"/>
  <c r="H99"/>
  <c r="H97"/>
  <c r="H95"/>
  <c r="H93"/>
  <c r="H91"/>
  <c r="H89"/>
  <c r="H87"/>
  <c r="H85"/>
  <c r="H83"/>
  <c r="H81"/>
  <c r="H79"/>
  <c r="H77"/>
  <c r="H75"/>
  <c r="H73"/>
  <c r="H71"/>
  <c r="H69"/>
  <c r="H67"/>
  <c r="H65"/>
  <c r="H63"/>
  <c r="H61"/>
  <c r="H59"/>
  <c r="H57"/>
  <c r="H55"/>
  <c r="H53"/>
  <c r="H51"/>
  <c r="H49"/>
  <c r="H47"/>
  <c r="H45"/>
  <c r="H43"/>
  <c r="H41"/>
  <c r="H39"/>
  <c r="H37"/>
  <c r="H35"/>
  <c r="H33"/>
  <c r="H31"/>
  <c r="H29"/>
  <c r="H27"/>
  <c r="H25"/>
  <c r="H23"/>
  <c r="H21"/>
  <c r="H19"/>
  <c r="H17"/>
  <c r="A100"/>
  <c r="C97"/>
  <c r="F94"/>
  <c r="A92"/>
  <c r="C89"/>
  <c r="F86"/>
  <c r="A84"/>
  <c r="C81"/>
  <c r="F78"/>
  <c r="A76"/>
  <c r="C73"/>
  <c r="F70"/>
  <c r="A68"/>
  <c r="C65"/>
  <c r="F62"/>
  <c r="A60"/>
  <c r="C57"/>
  <c r="F54"/>
  <c r="A52"/>
  <c r="F99"/>
  <c r="A97"/>
  <c r="C94"/>
  <c r="F91"/>
  <c r="E18"/>
  <c r="H98"/>
  <c r="D96"/>
  <c r="D93"/>
  <c r="H90"/>
  <c r="D88"/>
  <c r="D85"/>
  <c r="H82"/>
  <c r="D80"/>
  <c r="D77"/>
  <c r="H74"/>
  <c r="D72"/>
  <c r="D69"/>
  <c r="H66"/>
  <c r="D64"/>
  <c r="D61"/>
  <c r="H58"/>
  <c r="D56"/>
  <c r="D53"/>
  <c r="H50"/>
  <c r="D48"/>
  <c r="D45"/>
  <c r="H42"/>
  <c r="D40"/>
  <c r="D37"/>
  <c r="H34"/>
  <c r="D32"/>
  <c r="D29"/>
  <c r="H26"/>
  <c r="D24"/>
  <c r="D21"/>
  <c r="H18"/>
  <c r="F100"/>
  <c r="F96"/>
  <c r="C93"/>
  <c r="A90"/>
  <c r="A86"/>
  <c r="F82"/>
  <c r="C79"/>
  <c r="C75"/>
  <c r="A72"/>
  <c r="F68"/>
  <c r="F64"/>
  <c r="C61"/>
  <c r="A58"/>
  <c r="A54"/>
  <c r="F50"/>
  <c r="F97"/>
  <c r="F93"/>
  <c r="C90"/>
  <c r="F87"/>
  <c r="A85"/>
  <c r="C82"/>
  <c r="F79"/>
  <c r="A77"/>
  <c r="C74"/>
  <c r="F71"/>
  <c r="A69"/>
  <c r="C66"/>
  <c r="F63"/>
  <c r="A61"/>
  <c r="C58"/>
  <c r="F55"/>
  <c r="G100"/>
  <c r="B98"/>
  <c r="E95"/>
  <c r="G92"/>
  <c r="B90"/>
  <c r="E87"/>
  <c r="G84"/>
  <c r="B82"/>
  <c r="E79"/>
  <c r="G76"/>
  <c r="B74"/>
  <c r="E71"/>
  <c r="G68"/>
  <c r="B66"/>
  <c r="E63"/>
  <c r="G60"/>
  <c r="B58"/>
  <c r="E55"/>
  <c r="G52"/>
  <c r="B50"/>
  <c r="G91"/>
  <c r="B81"/>
  <c r="E70"/>
  <c r="G59"/>
  <c r="B51"/>
  <c r="A48"/>
  <c r="C45"/>
  <c r="F42"/>
  <c r="A40"/>
  <c r="C37"/>
  <c r="F34"/>
  <c r="A32"/>
  <c r="C29"/>
  <c r="F26"/>
  <c r="A24"/>
  <c r="C21"/>
  <c r="F18"/>
  <c r="B16"/>
  <c r="B14"/>
  <c r="B91"/>
  <c r="E80"/>
  <c r="G69"/>
  <c r="B59"/>
  <c r="A51"/>
  <c r="G47"/>
  <c r="B45"/>
  <c r="E42"/>
  <c r="G39"/>
  <c r="B37"/>
  <c r="E34"/>
  <c r="G31"/>
  <c r="B29"/>
  <c r="E26"/>
  <c r="G23"/>
  <c r="B93"/>
  <c r="E82"/>
  <c r="G71"/>
  <c r="B61"/>
  <c r="G51"/>
  <c r="C48"/>
  <c r="F45"/>
  <c r="A43"/>
  <c r="C40"/>
  <c r="F37"/>
  <c r="A35"/>
  <c r="C32"/>
  <c r="F29"/>
  <c r="A27"/>
  <c r="C24"/>
  <c r="F21"/>
  <c r="A19"/>
  <c r="D16"/>
  <c r="D14"/>
  <c r="E92"/>
  <c r="G81"/>
  <c r="B71"/>
  <c r="E60"/>
  <c r="F51"/>
  <c r="B48"/>
  <c r="E45"/>
  <c r="G42"/>
  <c r="B40"/>
  <c r="E37"/>
  <c r="G34"/>
  <c r="B32"/>
  <c r="E29"/>
  <c r="G26"/>
  <c r="B24"/>
  <c r="E21"/>
  <c r="G18"/>
  <c r="C16"/>
  <c r="C14"/>
  <c r="B19"/>
  <c r="G19"/>
  <c r="H100"/>
  <c r="D98"/>
  <c r="D95"/>
  <c r="H92"/>
  <c r="D90"/>
  <c r="D87"/>
  <c r="H84"/>
  <c r="D82"/>
  <c r="D79"/>
  <c r="H76"/>
  <c r="D74"/>
  <c r="D71"/>
  <c r="H68"/>
  <c r="D66"/>
  <c r="D63"/>
  <c r="H60"/>
  <c r="D58"/>
  <c r="D55"/>
  <c r="H52"/>
  <c r="D50"/>
  <c r="D47"/>
  <c r="H44"/>
  <c r="D42"/>
  <c r="D39"/>
  <c r="H36"/>
  <c r="D34"/>
  <c r="D31"/>
  <c r="H28"/>
  <c r="D26"/>
  <c r="D23"/>
  <c r="H20"/>
  <c r="D18"/>
  <c r="C99"/>
  <c r="A96"/>
  <c r="F92"/>
  <c r="F88"/>
  <c r="C85"/>
  <c r="A82"/>
  <c r="A78"/>
  <c r="F74"/>
  <c r="C71"/>
  <c r="C67"/>
  <c r="A64"/>
  <c r="F60"/>
  <c r="F56"/>
  <c r="C53"/>
  <c r="C100"/>
  <c r="C96"/>
  <c r="A93"/>
  <c r="F89"/>
  <c r="A87"/>
  <c r="C84"/>
  <c r="F81"/>
  <c r="A79"/>
  <c r="C76"/>
  <c r="F73"/>
  <c r="A71"/>
  <c r="C68"/>
  <c r="F65"/>
  <c r="A63"/>
  <c r="C60"/>
  <c r="F57"/>
  <c r="A55"/>
  <c r="B100"/>
  <c r="E97"/>
  <c r="G94"/>
  <c r="B92"/>
  <c r="E89"/>
  <c r="G86"/>
  <c r="B84"/>
  <c r="E81"/>
  <c r="G78"/>
  <c r="B76"/>
  <c r="E73"/>
  <c r="G70"/>
  <c r="B68"/>
  <c r="E65"/>
  <c r="G62"/>
  <c r="B60"/>
  <c r="E57"/>
  <c r="G54"/>
  <c r="B52"/>
  <c r="G99"/>
  <c r="B89"/>
  <c r="E78"/>
  <c r="G67"/>
  <c r="B57"/>
  <c r="A50"/>
  <c r="C47"/>
  <c r="F44"/>
  <c r="A42"/>
  <c r="C39"/>
  <c r="F36"/>
  <c r="A34"/>
  <c r="C31"/>
  <c r="F28"/>
  <c r="A26"/>
  <c r="C23"/>
  <c r="F20"/>
  <c r="A18"/>
  <c r="F15"/>
  <c r="B99"/>
  <c r="E88"/>
  <c r="G77"/>
  <c r="B67"/>
  <c r="E56"/>
  <c r="G49"/>
  <c r="B47"/>
  <c r="E44"/>
  <c r="G41"/>
  <c r="B39"/>
  <c r="E36"/>
  <c r="G33"/>
  <c r="B31"/>
  <c r="E28"/>
  <c r="G25"/>
  <c r="B23"/>
  <c r="E90"/>
  <c r="G79"/>
  <c r="B69"/>
  <c r="E58"/>
  <c r="E50"/>
  <c r="F47"/>
  <c r="A45"/>
  <c r="C42"/>
  <c r="F39"/>
  <c r="A37"/>
  <c r="C34"/>
  <c r="F31"/>
  <c r="A29"/>
  <c r="C26"/>
  <c r="F23"/>
  <c r="A21"/>
  <c r="C18"/>
  <c r="H15"/>
  <c r="E100"/>
  <c r="G89"/>
  <c r="B79"/>
  <c r="E68"/>
  <c r="G57"/>
  <c r="C50"/>
  <c r="E47"/>
  <c r="G44"/>
  <c r="B42"/>
  <c r="E39"/>
  <c r="G36"/>
  <c r="B34"/>
  <c r="E31"/>
  <c r="G28"/>
  <c r="B26"/>
  <c r="E23"/>
  <c r="G20"/>
  <c r="B18"/>
  <c r="G15"/>
  <c r="G21"/>
  <c r="E22"/>
  <c r="E15"/>
  <c r="D100"/>
  <c r="D97"/>
  <c r="H94"/>
  <c r="D92"/>
  <c r="D89"/>
  <c r="H86"/>
  <c r="D84"/>
  <c r="D81"/>
  <c r="H78"/>
  <c r="D76"/>
  <c r="D73"/>
  <c r="H70"/>
  <c r="D68"/>
  <c r="D65"/>
  <c r="H62"/>
  <c r="D60"/>
  <c r="D57"/>
  <c r="H54"/>
  <c r="D52"/>
  <c r="D49"/>
  <c r="H46"/>
  <c r="D44"/>
  <c r="D41"/>
  <c r="H38"/>
  <c r="D36"/>
  <c r="D33"/>
  <c r="H30"/>
  <c r="D28"/>
  <c r="D25"/>
  <c r="H22"/>
  <c r="D20"/>
  <c r="D17"/>
  <c r="F98"/>
  <c r="C95"/>
  <c r="C91"/>
  <c r="A88"/>
  <c r="F84"/>
  <c r="F80"/>
  <c r="C77"/>
  <c r="A74"/>
  <c r="A70"/>
  <c r="F66"/>
  <c r="C63"/>
  <c r="C59"/>
  <c r="A56"/>
  <c r="F52"/>
  <c r="A99"/>
  <c r="F95"/>
  <c r="C92"/>
  <c r="A89"/>
  <c r="C86"/>
  <c r="F83"/>
  <c r="A81"/>
  <c r="C78"/>
  <c r="F75"/>
  <c r="A73"/>
  <c r="C70"/>
  <c r="F67"/>
  <c r="A65"/>
  <c r="C62"/>
  <c r="F59"/>
  <c r="A57"/>
  <c r="C54"/>
  <c r="E99"/>
  <c r="G96"/>
  <c r="B94"/>
  <c r="E91"/>
  <c r="G88"/>
  <c r="B86"/>
  <c r="E83"/>
  <c r="G80"/>
  <c r="B78"/>
  <c r="E75"/>
  <c r="G72"/>
  <c r="B70"/>
  <c r="E67"/>
  <c r="G64"/>
  <c r="B62"/>
  <c r="E59"/>
  <c r="G56"/>
  <c r="B54"/>
  <c r="E51"/>
  <c r="B97"/>
  <c r="E86"/>
  <c r="G75"/>
  <c r="B65"/>
  <c r="E54"/>
  <c r="C49"/>
  <c r="F46"/>
  <c r="A44"/>
  <c r="C41"/>
  <c r="F38"/>
  <c r="A36"/>
  <c r="C33"/>
  <c r="F30"/>
  <c r="A28"/>
  <c r="C25"/>
  <c r="F22"/>
  <c r="A20"/>
  <c r="C17"/>
  <c r="B15"/>
  <c r="E96"/>
  <c r="G85"/>
  <c r="B75"/>
  <c r="E64"/>
  <c r="G53"/>
  <c r="B49"/>
  <c r="E46"/>
  <c r="G43"/>
  <c r="B41"/>
  <c r="E38"/>
  <c r="G35"/>
  <c r="B33"/>
  <c r="E30"/>
  <c r="G27"/>
  <c r="B25"/>
  <c r="E98"/>
  <c r="G87"/>
  <c r="B77"/>
  <c r="E66"/>
  <c r="G55"/>
  <c r="F49"/>
  <c r="A47"/>
  <c r="C44"/>
  <c r="F41"/>
  <c r="A39"/>
  <c r="C36"/>
  <c r="F33"/>
  <c r="A31"/>
  <c r="C28"/>
  <c r="F25"/>
  <c r="A23"/>
  <c r="C20"/>
  <c r="F17"/>
  <c r="D15"/>
  <c r="G97"/>
  <c r="B87"/>
  <c r="E76"/>
  <c r="G65"/>
  <c r="B55"/>
  <c r="E49"/>
  <c r="G46"/>
  <c r="B44"/>
  <c r="E41"/>
  <c r="G38"/>
  <c r="B36"/>
  <c r="E33"/>
  <c r="G30"/>
  <c r="B28"/>
  <c r="E25"/>
  <c r="G22"/>
  <c r="B20"/>
  <c r="E17"/>
  <c r="C15"/>
  <c r="E14"/>
  <c r="A15"/>
  <c r="G17"/>
  <c r="A14"/>
  <c r="A110" s="1"/>
  <c r="D99"/>
  <c r="H96"/>
  <c r="D94"/>
  <c r="D91"/>
  <c r="H88"/>
  <c r="D86"/>
  <c r="D83"/>
  <c r="H80"/>
  <c r="D78"/>
  <c r="D75"/>
  <c r="H72"/>
  <c r="D70"/>
  <c r="D67"/>
  <c r="H64"/>
  <c r="D62"/>
  <c r="D59"/>
  <c r="H56"/>
  <c r="D54"/>
  <c r="D51"/>
  <c r="H48"/>
  <c r="D46"/>
  <c r="D43"/>
  <c r="H40"/>
  <c r="D38"/>
  <c r="D35"/>
  <c r="H32"/>
  <c r="D30"/>
  <c r="D27"/>
  <c r="H24"/>
  <c r="D22"/>
  <c r="D19"/>
  <c r="H16"/>
  <c r="A98"/>
  <c r="A94"/>
  <c r="F90"/>
  <c r="C87"/>
  <c r="C83"/>
  <c r="A80"/>
  <c r="F76"/>
  <c r="F72"/>
  <c r="C69"/>
  <c r="A66"/>
  <c r="A62"/>
  <c r="F58"/>
  <c r="C55"/>
  <c r="C51"/>
  <c r="C98"/>
  <c r="A95"/>
  <c r="A91"/>
  <c r="C88"/>
  <c r="F85"/>
  <c r="A83"/>
  <c r="C80"/>
  <c r="F77"/>
  <c r="A75"/>
  <c r="C72"/>
  <c r="F69"/>
  <c r="A67"/>
  <c r="C64"/>
  <c r="F61"/>
  <c r="A59"/>
  <c r="C56"/>
  <c r="F53"/>
  <c r="G98"/>
  <c r="B96"/>
  <c r="E93"/>
  <c r="G90"/>
  <c r="B88"/>
  <c r="E85"/>
  <c r="G82"/>
  <c r="B80"/>
  <c r="E77"/>
  <c r="G74"/>
  <c r="B72"/>
  <c r="E69"/>
  <c r="G66"/>
  <c r="B64"/>
  <c r="E61"/>
  <c r="G58"/>
  <c r="B56"/>
  <c r="E53"/>
  <c r="G50"/>
  <c r="E94"/>
  <c r="G83"/>
  <c r="B73"/>
  <c r="E62"/>
  <c r="E52"/>
  <c r="F48"/>
  <c r="A46"/>
  <c r="C43"/>
  <c r="F40"/>
  <c r="A38"/>
  <c r="C35"/>
  <c r="F32"/>
  <c r="A30"/>
  <c r="C27"/>
  <c r="F24"/>
  <c r="A22"/>
  <c r="C19"/>
  <c r="F16"/>
  <c r="F14"/>
  <c r="G93"/>
  <c r="B83"/>
  <c r="E72"/>
  <c r="G61"/>
  <c r="C52"/>
  <c r="E48"/>
  <c r="G45"/>
  <c r="B43"/>
  <c r="E40"/>
  <c r="G37"/>
  <c r="B35"/>
  <c r="E32"/>
  <c r="G29"/>
  <c r="B27"/>
  <c r="E24"/>
  <c r="G95"/>
  <c r="B85"/>
  <c r="E74"/>
  <c r="G63"/>
  <c r="B53"/>
  <c r="A49"/>
  <c r="C46"/>
  <c r="F43"/>
  <c r="A41"/>
  <c r="C38"/>
  <c r="F35"/>
  <c r="A33"/>
  <c r="C30"/>
  <c r="F27"/>
  <c r="A25"/>
  <c r="C22"/>
  <c r="F19"/>
  <c r="A17"/>
  <c r="H14"/>
  <c r="B95"/>
  <c r="E84"/>
  <c r="G73"/>
  <c r="B63"/>
  <c r="A53"/>
  <c r="G48"/>
  <c r="B46"/>
  <c r="E43"/>
  <c r="G40"/>
  <c r="B38"/>
  <c r="E35"/>
  <c r="G32"/>
  <c r="B30"/>
  <c r="E27"/>
  <c r="G24"/>
  <c r="B22"/>
  <c r="E19"/>
  <c r="G16"/>
  <c r="G14"/>
  <c r="E16"/>
  <c r="B17"/>
  <c r="E20"/>
  <c r="M8" i="39"/>
  <c r="C10"/>
  <c r="M16"/>
  <c r="C15"/>
  <c r="C12"/>
  <c r="K32" i="57"/>
  <c r="H24" i="56"/>
  <c r="J32" i="57"/>
  <c r="L14"/>
  <c r="L15" s="1"/>
  <c r="L16" s="1"/>
  <c r="L17" s="1"/>
  <c r="L18" s="1"/>
  <c r="L19" s="1"/>
  <c r="L20" s="1"/>
  <c r="H32"/>
  <c r="A26" i="56"/>
  <c r="X14" i="48" l="1"/>
  <c r="BS32"/>
  <c r="BF23"/>
  <c r="V23"/>
  <c r="CT14"/>
  <c r="J16" i="14"/>
  <c r="CP23" i="48"/>
  <c r="CU32"/>
  <c r="G72" i="60"/>
  <c r="N68"/>
  <c r="P68" s="1"/>
  <c r="BH23" i="48"/>
  <c r="CN23"/>
  <c r="X23"/>
  <c r="CG32"/>
  <c r="AW32"/>
  <c r="J14"/>
  <c r="CY23"/>
  <c r="BZ23"/>
  <c r="AP23"/>
  <c r="AT23"/>
  <c r="BX23"/>
  <c r="AN23"/>
  <c r="BV23"/>
  <c r="AC32"/>
  <c r="AG32"/>
  <c r="CA32"/>
  <c r="W32"/>
  <c r="BD14"/>
  <c r="BN14"/>
  <c r="AK23"/>
  <c r="S23"/>
  <c r="AH13"/>
  <c r="CX23"/>
  <c r="CH23"/>
  <c r="BP23"/>
  <c r="AZ23"/>
  <c r="AH23"/>
  <c r="N23"/>
  <c r="CV23"/>
  <c r="CF23"/>
  <c r="BN23"/>
  <c r="AX23"/>
  <c r="AF23"/>
  <c r="P23"/>
  <c r="CS32"/>
  <c r="BC32"/>
  <c r="CW32"/>
  <c r="BG32"/>
  <c r="Q32"/>
  <c r="CI32"/>
  <c r="BI32"/>
  <c r="AE32"/>
  <c r="K32"/>
  <c r="BZ14"/>
  <c r="AD14"/>
  <c r="CN14"/>
  <c r="AR14"/>
  <c r="BY23"/>
  <c r="CS23"/>
  <c r="BM23"/>
  <c r="BM35"/>
  <c r="CT23"/>
  <c r="CD23"/>
  <c r="BL23"/>
  <c r="AV23"/>
  <c r="Z23"/>
  <c r="J23"/>
  <c r="CR23"/>
  <c r="CB23"/>
  <c r="BJ23"/>
  <c r="AR23"/>
  <c r="AB23"/>
  <c r="L23"/>
  <c r="CK32"/>
  <c r="AK32"/>
  <c r="CO32"/>
  <c r="AY32"/>
  <c r="CY32"/>
  <c r="CE32"/>
  <c r="BA32"/>
  <c r="AA32"/>
  <c r="BW32"/>
  <c r="BL14"/>
  <c r="V14"/>
  <c r="CB14"/>
  <c r="AF14"/>
  <c r="DA23"/>
  <c r="AC23"/>
  <c r="AM23"/>
  <c r="CE34"/>
  <c r="CL23"/>
  <c r="BT23"/>
  <c r="BD23"/>
  <c r="AL23"/>
  <c r="R23"/>
  <c r="CZ23"/>
  <c r="CJ23"/>
  <c r="BR23"/>
  <c r="BB23"/>
  <c r="AJ23"/>
  <c r="DA32"/>
  <c r="BK32"/>
  <c r="U32"/>
  <c r="BO32"/>
  <c r="Y32"/>
  <c r="CQ32"/>
  <c r="BQ32"/>
  <c r="AM32"/>
  <c r="O32"/>
  <c r="CL14"/>
  <c r="AP14"/>
  <c r="CV14"/>
  <c r="BF14"/>
  <c r="L14"/>
  <c r="BO23"/>
  <c r="CI23"/>
  <c r="W19"/>
  <c r="CW16"/>
  <c r="Z35"/>
  <c r="AJ26"/>
  <c r="BJ25"/>
  <c r="BF16"/>
  <c r="T35"/>
  <c r="AP26"/>
  <c r="CK35"/>
  <c r="AZ25"/>
  <c r="AS34"/>
  <c r="BP16"/>
  <c r="DA25"/>
  <c r="BM32"/>
  <c r="CT30"/>
  <c r="BM22"/>
  <c r="CW18"/>
  <c r="V35"/>
  <c r="AN35"/>
  <c r="AD26"/>
  <c r="CF26"/>
  <c r="CG35"/>
  <c r="BW35"/>
  <c r="O35"/>
  <c r="CP25"/>
  <c r="AT25"/>
  <c r="P25"/>
  <c r="AY34"/>
  <c r="AI34"/>
  <c r="V16"/>
  <c r="CW25"/>
  <c r="CE25"/>
  <c r="CP14"/>
  <c r="CD14"/>
  <c r="BT14"/>
  <c r="BH14"/>
  <c r="AV14"/>
  <c r="AL14"/>
  <c r="Z14"/>
  <c r="N14"/>
  <c r="BV14"/>
  <c r="CR14"/>
  <c r="CF14"/>
  <c r="BX14"/>
  <c r="BJ14"/>
  <c r="AX14"/>
  <c r="AN14"/>
  <c r="AB14"/>
  <c r="P14"/>
  <c r="AT14"/>
  <c r="BG23"/>
  <c r="CK23"/>
  <c r="U23"/>
  <c r="AY23"/>
  <c r="CC23"/>
  <c r="M23"/>
  <c r="CU23"/>
  <c r="CE23"/>
  <c r="BI23"/>
  <c r="AI23"/>
  <c r="BP35"/>
  <c r="CD35"/>
  <c r="CF35"/>
  <c r="BX35"/>
  <c r="CD26"/>
  <c r="CH26"/>
  <c r="CZ26"/>
  <c r="BJ26"/>
  <c r="AG35"/>
  <c r="AS35"/>
  <c r="CI35"/>
  <c r="CT25"/>
  <c r="Z25"/>
  <c r="CF25"/>
  <c r="CK34"/>
  <c r="CO34"/>
  <c r="AU34"/>
  <c r="BI34"/>
  <c r="AP16"/>
  <c r="CB16"/>
  <c r="AJ16"/>
  <c r="BG25"/>
  <c r="BW25"/>
  <c r="BI25"/>
  <c r="CL16"/>
  <c r="CZ16"/>
  <c r="BK25"/>
  <c r="O25"/>
  <c r="AE25"/>
  <c r="BA25"/>
  <c r="BQ25"/>
  <c r="CI25"/>
  <c r="CY25"/>
  <c r="AK25"/>
  <c r="CC25"/>
  <c r="Y25"/>
  <c r="AS25"/>
  <c r="CG25"/>
  <c r="AG25"/>
  <c r="P16"/>
  <c r="AF16"/>
  <c r="AX16"/>
  <c r="BN16"/>
  <c r="CF16"/>
  <c r="CV16"/>
  <c r="N16"/>
  <c r="AD16"/>
  <c r="AV16"/>
  <c r="BL16"/>
  <c r="CD16"/>
  <c r="CT16"/>
  <c r="O34"/>
  <c r="AE34"/>
  <c r="BA34"/>
  <c r="BQ34"/>
  <c r="CI34"/>
  <c r="CY34"/>
  <c r="AG34"/>
  <c r="BO34"/>
  <c r="CW34"/>
  <c r="AK34"/>
  <c r="BS34"/>
  <c r="DA34"/>
  <c r="T25"/>
  <c r="AJ25"/>
  <c r="BB25"/>
  <c r="BR25"/>
  <c r="CJ25"/>
  <c r="CZ25"/>
  <c r="R25"/>
  <c r="AL25"/>
  <c r="BD25"/>
  <c r="CL25"/>
  <c r="BZ25"/>
  <c r="W35"/>
  <c r="AM35"/>
  <c r="BI35"/>
  <c r="CA35"/>
  <c r="CQ35"/>
  <c r="AU35"/>
  <c r="AK35"/>
  <c r="BS35"/>
  <c r="DA35"/>
  <c r="AO35"/>
  <c r="BY35"/>
  <c r="AT26"/>
  <c r="X26"/>
  <c r="AN26"/>
  <c r="BF26"/>
  <c r="BX26"/>
  <c r="CN26"/>
  <c r="BV26"/>
  <c r="AH26"/>
  <c r="BP26"/>
  <c r="CX26"/>
  <c r="AL26"/>
  <c r="BT26"/>
  <c r="AB35"/>
  <c r="BB35"/>
  <c r="CB35"/>
  <c r="BV35"/>
  <c r="BF35"/>
  <c r="CZ35"/>
  <c r="AL35"/>
  <c r="BT35"/>
  <c r="J35"/>
  <c r="AP35"/>
  <c r="BZ35"/>
  <c r="O23"/>
  <c r="AE23"/>
  <c r="BA23"/>
  <c r="BQ23"/>
  <c r="CX35"/>
  <c r="BH35"/>
  <c r="R35"/>
  <c r="BL35"/>
  <c r="N35"/>
  <c r="BR35"/>
  <c r="CV35"/>
  <c r="BN35"/>
  <c r="AF35"/>
  <c r="BL26"/>
  <c r="V26"/>
  <c r="BZ26"/>
  <c r="Z26"/>
  <c r="CV26"/>
  <c r="CB26"/>
  <c r="BB26"/>
  <c r="AF26"/>
  <c r="L26"/>
  <c r="BO35"/>
  <c r="Y35"/>
  <c r="CC35"/>
  <c r="AC35"/>
  <c r="CY35"/>
  <c r="CE35"/>
  <c r="BE35"/>
  <c r="AE35"/>
  <c r="K35"/>
  <c r="CH25"/>
  <c r="CD25"/>
  <c r="AV25"/>
  <c r="V25"/>
  <c r="CV25"/>
  <c r="CB25"/>
  <c r="BF25"/>
  <c r="AF25"/>
  <c r="L25"/>
  <c r="CC34"/>
  <c r="AC34"/>
  <c r="CG34"/>
  <c r="AO34"/>
  <c r="CU34"/>
  <c r="CA34"/>
  <c r="BE34"/>
  <c r="AA34"/>
  <c r="BW34"/>
  <c r="CH16"/>
  <c r="BH16"/>
  <c r="AL16"/>
  <c r="R16"/>
  <c r="CR16"/>
  <c r="BX16"/>
  <c r="BB16"/>
  <c r="AB16"/>
  <c r="AT16"/>
  <c r="CO25"/>
  <c r="AC25"/>
  <c r="CS25"/>
  <c r="BC25"/>
  <c r="CU25"/>
  <c r="CA25"/>
  <c r="BE25"/>
  <c r="AA25"/>
  <c r="AO23"/>
  <c r="BS23"/>
  <c r="CW23"/>
  <c r="AG23"/>
  <c r="BK23"/>
  <c r="AU23"/>
  <c r="CQ23"/>
  <c r="CA23"/>
  <c r="BE23"/>
  <c r="AA23"/>
  <c r="CP35"/>
  <c r="AZ35"/>
  <c r="CT35"/>
  <c r="BD35"/>
  <c r="AT35"/>
  <c r="AX35"/>
  <c r="CR35"/>
  <c r="BJ35"/>
  <c r="X35"/>
  <c r="CT26"/>
  <c r="BD26"/>
  <c r="N26"/>
  <c r="BH26"/>
  <c r="R26"/>
  <c r="CR26"/>
  <c r="BR26"/>
  <c r="AX26"/>
  <c r="AB26"/>
  <c r="CW35"/>
  <c r="BG35"/>
  <c r="Q35"/>
  <c r="BK35"/>
  <c r="U35"/>
  <c r="CU35"/>
  <c r="BU35"/>
  <c r="BA35"/>
  <c r="AA35"/>
  <c r="BP25"/>
  <c r="BT25"/>
  <c r="AP25"/>
  <c r="N25"/>
  <c r="CR25"/>
  <c r="BX25"/>
  <c r="AX25"/>
  <c r="AB25"/>
  <c r="BV25"/>
  <c r="BK34"/>
  <c r="U34"/>
  <c r="BY34"/>
  <c r="Y34"/>
  <c r="CQ34"/>
  <c r="BU34"/>
  <c r="AW34"/>
  <c r="W34"/>
  <c r="CX16"/>
  <c r="BZ16"/>
  <c r="BD16"/>
  <c r="AH16"/>
  <c r="J16"/>
  <c r="CN16"/>
  <c r="BR16"/>
  <c r="AR16"/>
  <c r="X16"/>
  <c r="AY25"/>
  <c r="BY25"/>
  <c r="M25"/>
  <c r="CK25"/>
  <c r="U25"/>
  <c r="CQ25"/>
  <c r="BU25"/>
  <c r="AW25"/>
  <c r="W25"/>
  <c r="CC32"/>
  <c r="AS32"/>
  <c r="M32"/>
  <c r="BY32"/>
  <c r="AO32"/>
  <c r="AU32"/>
  <c r="CM32"/>
  <c r="BU32"/>
  <c r="BE32"/>
  <c r="AI32"/>
  <c r="CX14"/>
  <c r="CH14"/>
  <c r="BP14"/>
  <c r="AZ14"/>
  <c r="AH14"/>
  <c r="R14"/>
  <c r="CZ14"/>
  <c r="CJ14"/>
  <c r="BR14"/>
  <c r="BB14"/>
  <c r="AJ14"/>
  <c r="CO23"/>
  <c r="Y23"/>
  <c r="BC23"/>
  <c r="CG23"/>
  <c r="Q23"/>
  <c r="AS23"/>
  <c r="BW23"/>
  <c r="CM23"/>
  <c r="BU23"/>
  <c r="AW23"/>
  <c r="W23"/>
  <c r="CH35"/>
  <c r="AH35"/>
  <c r="CL35"/>
  <c r="AV35"/>
  <c r="CN35"/>
  <c r="AJ35"/>
  <c r="CJ35"/>
  <c r="AR35"/>
  <c r="P35"/>
  <c r="CL26"/>
  <c r="AV26"/>
  <c r="CP26"/>
  <c r="AZ26"/>
  <c r="J26"/>
  <c r="CJ26"/>
  <c r="BN26"/>
  <c r="AR26"/>
  <c r="T26"/>
  <c r="CO35"/>
  <c r="AY35"/>
  <c r="CS35"/>
  <c r="BC35"/>
  <c r="M35"/>
  <c r="CM35"/>
  <c r="BQ35"/>
  <c r="AW35"/>
  <c r="S35"/>
  <c r="CX25"/>
  <c r="BH25"/>
  <c r="BL25"/>
  <c r="AH25"/>
  <c r="J25"/>
  <c r="CN25"/>
  <c r="BN25"/>
  <c r="AR25"/>
  <c r="X25"/>
  <c r="CS34"/>
  <c r="BC34"/>
  <c r="M34"/>
  <c r="BG34"/>
  <c r="Q34"/>
  <c r="CM34"/>
  <c r="BM34"/>
  <c r="AM34"/>
  <c r="S34"/>
  <c r="CP16"/>
  <c r="BT16"/>
  <c r="AZ16"/>
  <c r="Z16"/>
  <c r="BV16"/>
  <c r="CJ16"/>
  <c r="BJ16"/>
  <c r="AN16"/>
  <c r="T16"/>
  <c r="Q25"/>
  <c r="BO25"/>
  <c r="AO25"/>
  <c r="BS25"/>
  <c r="AU25"/>
  <c r="CM25"/>
  <c r="BM25"/>
  <c r="AM25"/>
  <c r="S25"/>
  <c r="CX13"/>
  <c r="M22"/>
  <c r="BO24"/>
  <c r="BH30"/>
  <c r="BR13"/>
  <c r="BN30"/>
  <c r="CK22"/>
  <c r="CP15"/>
  <c r="BF20"/>
  <c r="BM12"/>
  <c r="V29"/>
  <c r="CS31"/>
  <c r="G86" i="43"/>
  <c r="CL19" i="48"/>
  <c r="BW18"/>
  <c r="CY16"/>
  <c r="BF19"/>
  <c r="BB36"/>
  <c r="AO28"/>
  <c r="CG19"/>
  <c r="AD30"/>
  <c r="CZ30"/>
  <c r="AF30"/>
  <c r="BP13"/>
  <c r="CZ13"/>
  <c r="AJ13"/>
  <c r="AY22"/>
  <c r="CU22"/>
  <c r="AA22"/>
  <c r="BW13"/>
  <c r="AP32"/>
  <c r="BF15"/>
  <c r="CP30"/>
  <c r="CF30"/>
  <c r="P30"/>
  <c r="AZ13"/>
  <c r="CJ13"/>
  <c r="T13"/>
  <c r="CC22"/>
  <c r="CE22"/>
  <c r="K22"/>
  <c r="AM13"/>
  <c r="P32"/>
  <c r="AS24"/>
  <c r="CU14"/>
  <c r="BL30"/>
  <c r="Z30"/>
  <c r="AX30"/>
  <c r="CH13"/>
  <c r="R13"/>
  <c r="BB13"/>
  <c r="U22"/>
  <c r="AO22"/>
  <c r="AW22"/>
  <c r="BY13"/>
  <c r="CD32"/>
  <c r="V15"/>
  <c r="BW15"/>
  <c r="CC16"/>
  <c r="BQ16"/>
  <c r="BT36"/>
  <c r="CF36"/>
  <c r="BD19"/>
  <c r="X19"/>
  <c r="CM28"/>
  <c r="AS19"/>
  <c r="AS18"/>
  <c r="CB37"/>
  <c r="BG16"/>
  <c r="AI16"/>
  <c r="CX36"/>
  <c r="AB36"/>
  <c r="V19"/>
  <c r="CC28"/>
  <c r="BE28"/>
  <c r="CM19"/>
  <c r="CA18"/>
  <c r="AK16"/>
  <c r="AH36"/>
  <c r="CN19"/>
  <c r="M28"/>
  <c r="S28"/>
  <c r="Y19"/>
  <c r="BE19"/>
  <c r="AM18"/>
  <c r="AG20"/>
  <c r="X38"/>
  <c r="M18"/>
  <c r="AD35"/>
  <c r="AB29"/>
  <c r="AC29"/>
  <c r="N31"/>
  <c r="Q38"/>
  <c r="CX29"/>
  <c r="AE38"/>
  <c r="CL20"/>
  <c r="BZ22"/>
  <c r="AK30"/>
  <c r="BH29"/>
  <c r="CR29"/>
  <c r="CO38"/>
  <c r="AK38"/>
  <c r="BD20"/>
  <c r="X20"/>
  <c r="CA29"/>
  <c r="CW12"/>
  <c r="W12"/>
  <c r="BN31"/>
  <c r="AD22"/>
  <c r="BQ31"/>
  <c r="AV21"/>
  <c r="AY30"/>
  <c r="R29"/>
  <c r="BR29"/>
  <c r="CS38"/>
  <c r="CQ38"/>
  <c r="V20"/>
  <c r="BY29"/>
  <c r="AA29"/>
  <c r="BG12"/>
  <c r="CX31"/>
  <c r="T31"/>
  <c r="AR22"/>
  <c r="S31"/>
  <c r="CZ21"/>
  <c r="CE30"/>
  <c r="BL29"/>
  <c r="M38"/>
  <c r="CO31"/>
  <c r="BJ21"/>
  <c r="AQ34"/>
  <c r="AQ23"/>
  <c r="AQ32"/>
  <c r="AQ25"/>
  <c r="CD30"/>
  <c r="AV30"/>
  <c r="N30"/>
  <c r="BZ30"/>
  <c r="AP30"/>
  <c r="J30"/>
  <c r="CN30"/>
  <c r="BX30"/>
  <c r="BF30"/>
  <c r="AN30"/>
  <c r="X30"/>
  <c r="CR30"/>
  <c r="CP13"/>
  <c r="BZ13"/>
  <c r="BH13"/>
  <c r="AP13"/>
  <c r="Z13"/>
  <c r="J13"/>
  <c r="CR13"/>
  <c r="CB13"/>
  <c r="BJ13"/>
  <c r="AR13"/>
  <c r="AB13"/>
  <c r="BV13"/>
  <c r="BC22"/>
  <c r="CG22"/>
  <c r="Q22"/>
  <c r="AS22"/>
  <c r="BY22"/>
  <c r="AU22"/>
  <c r="CM22"/>
  <c r="BU22"/>
  <c r="BE22"/>
  <c r="AI22"/>
  <c r="S22"/>
  <c r="AO13"/>
  <c r="BU13"/>
  <c r="N32"/>
  <c r="CB32"/>
  <c r="BJ32"/>
  <c r="BH15"/>
  <c r="CN15"/>
  <c r="X15"/>
  <c r="DA24"/>
  <c r="BE24"/>
  <c r="BY15"/>
  <c r="AM15"/>
  <c r="AN18"/>
  <c r="BT30"/>
  <c r="AL30"/>
  <c r="CX30"/>
  <c r="BP30"/>
  <c r="AH30"/>
  <c r="BV30"/>
  <c r="CJ30"/>
  <c r="BR30"/>
  <c r="BB30"/>
  <c r="AJ30"/>
  <c r="T30"/>
  <c r="AT30"/>
  <c r="CL13"/>
  <c r="BT13"/>
  <c r="BD13"/>
  <c r="AL13"/>
  <c r="V13"/>
  <c r="AT13"/>
  <c r="CN13"/>
  <c r="BX13"/>
  <c r="BF13"/>
  <c r="AN13"/>
  <c r="X13"/>
  <c r="DA22"/>
  <c r="AK22"/>
  <c r="BO22"/>
  <c r="CS22"/>
  <c r="AC22"/>
  <c r="BG22"/>
  <c r="CY22"/>
  <c r="CI22"/>
  <c r="BQ22"/>
  <c r="BA22"/>
  <c r="AE22"/>
  <c r="O22"/>
  <c r="CS13"/>
  <c r="Y13"/>
  <c r="BE13"/>
  <c r="BZ32"/>
  <c r="AJ32"/>
  <c r="AF32"/>
  <c r="AP15"/>
  <c r="BX15"/>
  <c r="BV15"/>
  <c r="AK24"/>
  <c r="W24"/>
  <c r="AO15"/>
  <c r="BO14"/>
  <c r="BG37"/>
  <c r="AU27"/>
  <c r="CL30"/>
  <c r="BD30"/>
  <c r="V30"/>
  <c r="CH30"/>
  <c r="AZ30"/>
  <c r="R30"/>
  <c r="CV30"/>
  <c r="CB30"/>
  <c r="BJ30"/>
  <c r="AR30"/>
  <c r="AB30"/>
  <c r="CT13"/>
  <c r="CD13"/>
  <c r="BL13"/>
  <c r="AV13"/>
  <c r="AD13"/>
  <c r="N13"/>
  <c r="CV13"/>
  <c r="CF13"/>
  <c r="BN13"/>
  <c r="AX13"/>
  <c r="AF13"/>
  <c r="BS22"/>
  <c r="CW22"/>
  <c r="AG22"/>
  <c r="BK22"/>
  <c r="CO22"/>
  <c r="Y22"/>
  <c r="CQ22"/>
  <c r="CA22"/>
  <c r="BI22"/>
  <c r="AM22"/>
  <c r="W22"/>
  <c r="BG13"/>
  <c r="CM13"/>
  <c r="W13"/>
  <c r="AV32"/>
  <c r="J32"/>
  <c r="CN32"/>
  <c r="BZ15"/>
  <c r="AT15"/>
  <c r="AN15"/>
  <c r="BY24"/>
  <c r="CM24"/>
  <c r="AU15"/>
  <c r="BU15"/>
  <c r="AE14"/>
  <c r="CD18"/>
  <c r="AQ22"/>
  <c r="DA13"/>
  <c r="CK13"/>
  <c r="BO13"/>
  <c r="AY13"/>
  <c r="AG13"/>
  <c r="Q13"/>
  <c r="CU13"/>
  <c r="CE13"/>
  <c r="BM13"/>
  <c r="AW13"/>
  <c r="AE13"/>
  <c r="O13"/>
  <c r="CT32"/>
  <c r="BL32"/>
  <c r="AD32"/>
  <c r="CP32"/>
  <c r="BH32"/>
  <c r="Z32"/>
  <c r="CV32"/>
  <c r="BB32"/>
  <c r="X32"/>
  <c r="CZ32"/>
  <c r="BX32"/>
  <c r="AX32"/>
  <c r="CX15"/>
  <c r="CH15"/>
  <c r="BP15"/>
  <c r="AZ15"/>
  <c r="AH15"/>
  <c r="N15"/>
  <c r="CV15"/>
  <c r="CF15"/>
  <c r="BN15"/>
  <c r="AX15"/>
  <c r="AF15"/>
  <c r="P15"/>
  <c r="CC24"/>
  <c r="M24"/>
  <c r="AO24"/>
  <c r="BS24"/>
  <c r="CW24"/>
  <c r="AU24"/>
  <c r="BU24"/>
  <c r="AM24"/>
  <c r="BW24"/>
  <c r="CO15"/>
  <c r="BG15"/>
  <c r="Y15"/>
  <c r="CM15"/>
  <c r="BE15"/>
  <c r="W15"/>
  <c r="CW14"/>
  <c r="AG14"/>
  <c r="BM14"/>
  <c r="CP21"/>
  <c r="BV18"/>
  <c r="AO27"/>
  <c r="AQ27"/>
  <c r="AD15"/>
  <c r="AD23"/>
  <c r="CW13"/>
  <c r="CC13"/>
  <c r="BK13"/>
  <c r="AS13"/>
  <c r="AC13"/>
  <c r="M13"/>
  <c r="CQ13"/>
  <c r="CA13"/>
  <c r="BI13"/>
  <c r="AQ13"/>
  <c r="AA13"/>
  <c r="K13"/>
  <c r="CL32"/>
  <c r="BD32"/>
  <c r="V32"/>
  <c r="CH32"/>
  <c r="AZ32"/>
  <c r="R32"/>
  <c r="CJ32"/>
  <c r="AR32"/>
  <c r="T32"/>
  <c r="CR32"/>
  <c r="BR32"/>
  <c r="AN32"/>
  <c r="CT15"/>
  <c r="CD15"/>
  <c r="BL15"/>
  <c r="AV15"/>
  <c r="Z15"/>
  <c r="J15"/>
  <c r="CR15"/>
  <c r="CB15"/>
  <c r="BJ15"/>
  <c r="AR15"/>
  <c r="AB15"/>
  <c r="L15"/>
  <c r="BK24"/>
  <c r="CO24"/>
  <c r="Y24"/>
  <c r="BC24"/>
  <c r="CG24"/>
  <c r="CU24"/>
  <c r="BM24"/>
  <c r="AE24"/>
  <c r="CG15"/>
  <c r="AY15"/>
  <c r="Q15"/>
  <c r="CE15"/>
  <c r="AW15"/>
  <c r="O15"/>
  <c r="CG14"/>
  <c r="Q14"/>
  <c r="AW14"/>
  <c r="BX18"/>
  <c r="BS27"/>
  <c r="K27"/>
  <c r="AU13"/>
  <c r="CO13"/>
  <c r="BS13"/>
  <c r="BC13"/>
  <c r="AK13"/>
  <c r="U13"/>
  <c r="CY13"/>
  <c r="CI13"/>
  <c r="BQ13"/>
  <c r="BA13"/>
  <c r="AI13"/>
  <c r="BT32"/>
  <c r="AL32"/>
  <c r="CX32"/>
  <c r="BP32"/>
  <c r="AH32"/>
  <c r="BV32"/>
  <c r="BN32"/>
  <c r="AB32"/>
  <c r="L32"/>
  <c r="CF32"/>
  <c r="BF32"/>
  <c r="CL15"/>
  <c r="BT15"/>
  <c r="BD15"/>
  <c r="AL15"/>
  <c r="R15"/>
  <c r="CZ15"/>
  <c r="CJ15"/>
  <c r="BR15"/>
  <c r="BB15"/>
  <c r="AJ15"/>
  <c r="CS24"/>
  <c r="AC24"/>
  <c r="BG24"/>
  <c r="CK24"/>
  <c r="U24"/>
  <c r="AG24"/>
  <c r="CE24"/>
  <c r="AW24"/>
  <c r="CW15"/>
  <c r="BO15"/>
  <c r="AG15"/>
  <c r="CU15"/>
  <c r="BM15"/>
  <c r="AY14"/>
  <c r="CE14"/>
  <c r="O14"/>
  <c r="AV18"/>
  <c r="AT18"/>
  <c r="CA27"/>
  <c r="CG13"/>
  <c r="BH37"/>
  <c r="R28"/>
  <c r="BA37"/>
  <c r="CT18"/>
  <c r="BL18"/>
  <c r="V18"/>
  <c r="CN18"/>
  <c r="BF18"/>
  <c r="X18"/>
  <c r="BY27"/>
  <c r="DA27"/>
  <c r="AK27"/>
  <c r="CQ27"/>
  <c r="BI27"/>
  <c r="AA27"/>
  <c r="K36"/>
  <c r="X27"/>
  <c r="J27"/>
  <c r="AL27"/>
  <c r="CN27"/>
  <c r="BZ27"/>
  <c r="BF27"/>
  <c r="O21"/>
  <c r="BA21"/>
  <c r="AK21"/>
  <c r="Q21"/>
  <c r="BQ21"/>
  <c r="BY21"/>
  <c r="S21"/>
  <c r="CY21"/>
  <c r="CG21"/>
  <c r="L12"/>
  <c r="AX12"/>
  <c r="N12"/>
  <c r="CD12"/>
  <c r="AF12"/>
  <c r="AD12"/>
  <c r="CF12"/>
  <c r="BL12"/>
  <c r="BW30"/>
  <c r="W30"/>
  <c r="AM30"/>
  <c r="BE30"/>
  <c r="BU30"/>
  <c r="CM30"/>
  <c r="AU30"/>
  <c r="AO30"/>
  <c r="BY30"/>
  <c r="M30"/>
  <c r="AS30"/>
  <c r="CC30"/>
  <c r="S30"/>
  <c r="AQ30"/>
  <c r="BM30"/>
  <c r="CI30"/>
  <c r="Q30"/>
  <c r="BG30"/>
  <c r="CW30"/>
  <c r="BC30"/>
  <c r="CS30"/>
  <c r="K30"/>
  <c r="AE30"/>
  <c r="BA30"/>
  <c r="CA30"/>
  <c r="CU30"/>
  <c r="AG30"/>
  <c r="CG30"/>
  <c r="AC30"/>
  <c r="BS30"/>
  <c r="BV21"/>
  <c r="X21"/>
  <c r="AN21"/>
  <c r="BF21"/>
  <c r="BX21"/>
  <c r="CN21"/>
  <c r="AT21"/>
  <c r="V21"/>
  <c r="AL21"/>
  <c r="BD21"/>
  <c r="BT21"/>
  <c r="CL21"/>
  <c r="T21"/>
  <c r="AR21"/>
  <c r="BN21"/>
  <c r="CJ21"/>
  <c r="J21"/>
  <c r="AD21"/>
  <c r="AZ21"/>
  <c r="BZ21"/>
  <c r="CT21"/>
  <c r="L21"/>
  <c r="AF21"/>
  <c r="BB21"/>
  <c r="CB21"/>
  <c r="CV21"/>
  <c r="R21"/>
  <c r="AP21"/>
  <c r="BL21"/>
  <c r="CH21"/>
  <c r="W31"/>
  <c r="AM31"/>
  <c r="BI31"/>
  <c r="CA31"/>
  <c r="CQ31"/>
  <c r="AU31"/>
  <c r="AK31"/>
  <c r="BS31"/>
  <c r="DA31"/>
  <c r="AO31"/>
  <c r="BY31"/>
  <c r="O31"/>
  <c r="AI31"/>
  <c r="BM31"/>
  <c r="CI31"/>
  <c r="BW31"/>
  <c r="AS31"/>
  <c r="CK31"/>
  <c r="AG31"/>
  <c r="CG31"/>
  <c r="AA31"/>
  <c r="BA31"/>
  <c r="BU31"/>
  <c r="CU31"/>
  <c r="U31"/>
  <c r="BK31"/>
  <c r="Q31"/>
  <c r="BG31"/>
  <c r="CW31"/>
  <c r="AT22"/>
  <c r="X22"/>
  <c r="AN22"/>
  <c r="BF22"/>
  <c r="BX22"/>
  <c r="CN22"/>
  <c r="BV22"/>
  <c r="V22"/>
  <c r="AL22"/>
  <c r="BD22"/>
  <c r="BT22"/>
  <c r="CL22"/>
  <c r="P22"/>
  <c r="AJ22"/>
  <c r="BJ22"/>
  <c r="CF22"/>
  <c r="CZ22"/>
  <c r="Z22"/>
  <c r="AV22"/>
  <c r="BP22"/>
  <c r="CP22"/>
  <c r="AB22"/>
  <c r="AX22"/>
  <c r="BR22"/>
  <c r="CR22"/>
  <c r="N22"/>
  <c r="AH22"/>
  <c r="BH22"/>
  <c r="CD22"/>
  <c r="CX22"/>
  <c r="BV31"/>
  <c r="X31"/>
  <c r="AN31"/>
  <c r="BF31"/>
  <c r="BX31"/>
  <c r="CN31"/>
  <c r="AT31"/>
  <c r="AV31"/>
  <c r="CD31"/>
  <c r="R31"/>
  <c r="AZ31"/>
  <c r="CH31"/>
  <c r="P31"/>
  <c r="AJ31"/>
  <c r="BJ31"/>
  <c r="CF31"/>
  <c r="CZ31"/>
  <c r="BD31"/>
  <c r="CT31"/>
  <c r="AP31"/>
  <c r="CP31"/>
  <c r="AB31"/>
  <c r="AX31"/>
  <c r="BR31"/>
  <c r="CR31"/>
  <c r="V31"/>
  <c r="BT31"/>
  <c r="Z31"/>
  <c r="BP31"/>
  <c r="S12"/>
  <c r="AI12"/>
  <c r="BA12"/>
  <c r="BQ12"/>
  <c r="CI12"/>
  <c r="CY12"/>
  <c r="U12"/>
  <c r="AK12"/>
  <c r="BC12"/>
  <c r="BS12"/>
  <c r="CK12"/>
  <c r="DA12"/>
  <c r="BW12"/>
  <c r="AA12"/>
  <c r="AW12"/>
  <c r="BU12"/>
  <c r="CQ12"/>
  <c r="Q12"/>
  <c r="AO12"/>
  <c r="BK12"/>
  <c r="CG12"/>
  <c r="O12"/>
  <c r="AM12"/>
  <c r="BI12"/>
  <c r="CE12"/>
  <c r="AU12"/>
  <c r="AC12"/>
  <c r="AY12"/>
  <c r="BY12"/>
  <c r="CS12"/>
  <c r="O29"/>
  <c r="AE29"/>
  <c r="BA29"/>
  <c r="BQ29"/>
  <c r="CI29"/>
  <c r="CY29"/>
  <c r="U29"/>
  <c r="BC29"/>
  <c r="W29"/>
  <c r="AW29"/>
  <c r="BU29"/>
  <c r="CQ29"/>
  <c r="M29"/>
  <c r="BK29"/>
  <c r="CS29"/>
  <c r="AG29"/>
  <c r="BO29"/>
  <c r="CW29"/>
  <c r="K29"/>
  <c r="AI29"/>
  <c r="BI29"/>
  <c r="CE29"/>
  <c r="BW29"/>
  <c r="AK29"/>
  <c r="CC29"/>
  <c r="Q29"/>
  <c r="AY29"/>
  <c r="CG29"/>
  <c r="T20"/>
  <c r="AJ20"/>
  <c r="BB20"/>
  <c r="BR20"/>
  <c r="CJ20"/>
  <c r="CZ20"/>
  <c r="R20"/>
  <c r="AH20"/>
  <c r="AZ20"/>
  <c r="BP20"/>
  <c r="CH20"/>
  <c r="CX20"/>
  <c r="L20"/>
  <c r="AB20"/>
  <c r="AR20"/>
  <c r="BJ20"/>
  <c r="CB20"/>
  <c r="CR20"/>
  <c r="J20"/>
  <c r="Z20"/>
  <c r="AP20"/>
  <c r="BH20"/>
  <c r="BZ20"/>
  <c r="CP20"/>
  <c r="S38"/>
  <c r="AI38"/>
  <c r="BE38"/>
  <c r="BU38"/>
  <c r="CM38"/>
  <c r="AU38"/>
  <c r="BS38"/>
  <c r="AG38"/>
  <c r="CW38"/>
  <c r="BK38"/>
  <c r="AO38"/>
  <c r="K38"/>
  <c r="AA38"/>
  <c r="AW38"/>
  <c r="BM38"/>
  <c r="BV29"/>
  <c r="X29"/>
  <c r="AN29"/>
  <c r="BF29"/>
  <c r="BX29"/>
  <c r="CN29"/>
  <c r="AT29"/>
  <c r="AL29"/>
  <c r="BT29"/>
  <c r="J29"/>
  <c r="AP29"/>
  <c r="BZ29"/>
  <c r="P13"/>
  <c r="CP29"/>
  <c r="AZ29"/>
  <c r="CT29"/>
  <c r="BD29"/>
  <c r="N29"/>
  <c r="CJ29"/>
  <c r="BN29"/>
  <c r="AR29"/>
  <c r="T29"/>
  <c r="BY38"/>
  <c r="CC38"/>
  <c r="CG38"/>
  <c r="DA38"/>
  <c r="U38"/>
  <c r="CI38"/>
  <c r="BI38"/>
  <c r="W38"/>
  <c r="CD20"/>
  <c r="AV20"/>
  <c r="N20"/>
  <c r="CF20"/>
  <c r="AX20"/>
  <c r="P20"/>
  <c r="BG29"/>
  <c r="CK29"/>
  <c r="AU29"/>
  <c r="BM29"/>
  <c r="S29"/>
  <c r="CO12"/>
  <c r="AS12"/>
  <c r="CU12"/>
  <c r="BE12"/>
  <c r="K12"/>
  <c r="BZ31"/>
  <c r="CL31"/>
  <c r="CV31"/>
  <c r="BB31"/>
  <c r="L31"/>
  <c r="BL22"/>
  <c r="R22"/>
  <c r="CB22"/>
  <c r="AF22"/>
  <c r="BO31"/>
  <c r="CC31"/>
  <c r="CY31"/>
  <c r="BE31"/>
  <c r="K31"/>
  <c r="CD21"/>
  <c r="AH21"/>
  <c r="CR21"/>
  <c r="AX21"/>
  <c r="DA30"/>
  <c r="U30"/>
  <c r="Y30"/>
  <c r="BQ30"/>
  <c r="AA30"/>
  <c r="CT12"/>
  <c r="P12"/>
  <c r="AI21"/>
  <c r="CH29"/>
  <c r="AH29"/>
  <c r="CL29"/>
  <c r="AV29"/>
  <c r="CZ29"/>
  <c r="CF29"/>
  <c r="BJ29"/>
  <c r="AJ29"/>
  <c r="P29"/>
  <c r="BG38"/>
  <c r="AS38"/>
  <c r="BO38"/>
  <c r="CK38"/>
  <c r="CY38"/>
  <c r="CE38"/>
  <c r="BA38"/>
  <c r="O38"/>
  <c r="BT20"/>
  <c r="AL20"/>
  <c r="BV20"/>
  <c r="BX20"/>
  <c r="AN20"/>
  <c r="AT20"/>
  <c r="AO29"/>
  <c r="BS29"/>
  <c r="CU29"/>
  <c r="BE29"/>
  <c r="CC12"/>
  <c r="AG12"/>
  <c r="CM12"/>
  <c r="AQ12"/>
  <c r="BH31"/>
  <c r="BL31"/>
  <c r="CJ31"/>
  <c r="AR31"/>
  <c r="CT22"/>
  <c r="AZ22"/>
  <c r="J22"/>
  <c r="BN22"/>
  <c r="T22"/>
  <c r="AY31"/>
  <c r="BC31"/>
  <c r="CM31"/>
  <c r="AW31"/>
  <c r="BP21"/>
  <c r="Z21"/>
  <c r="CF21"/>
  <c r="AJ21"/>
  <c r="CK30"/>
  <c r="CO30"/>
  <c r="CY30"/>
  <c r="BI30"/>
  <c r="O30"/>
  <c r="AV12"/>
  <c r="AS21"/>
  <c r="O17"/>
  <c r="AQ31"/>
  <c r="BP29"/>
  <c r="Z29"/>
  <c r="CD29"/>
  <c r="AD29"/>
  <c r="CV29"/>
  <c r="CB29"/>
  <c r="BB29"/>
  <c r="AF29"/>
  <c r="L29"/>
  <c r="Y38"/>
  <c r="AC38"/>
  <c r="AY38"/>
  <c r="BC38"/>
  <c r="CU38"/>
  <c r="CA38"/>
  <c r="AM38"/>
  <c r="BW38"/>
  <c r="CT20"/>
  <c r="BL20"/>
  <c r="AD20"/>
  <c r="CV20"/>
  <c r="BN20"/>
  <c r="AF20"/>
  <c r="CO29"/>
  <c r="Y29"/>
  <c r="AS29"/>
  <c r="CM29"/>
  <c r="AM29"/>
  <c r="BO12"/>
  <c r="Y12"/>
  <c r="CA12"/>
  <c r="AE12"/>
  <c r="AH31"/>
  <c r="AL31"/>
  <c r="CB31"/>
  <c r="AF31"/>
  <c r="CH22"/>
  <c r="AP22"/>
  <c r="CV22"/>
  <c r="BB22"/>
  <c r="L22"/>
  <c r="Y31"/>
  <c r="AC31"/>
  <c r="CE31"/>
  <c r="AE31"/>
  <c r="CX21"/>
  <c r="BH21"/>
  <c r="N21"/>
  <c r="BR21"/>
  <c r="AB21"/>
  <c r="BK30"/>
  <c r="BO30"/>
  <c r="CQ30"/>
  <c r="AW30"/>
  <c r="CV12"/>
  <c r="DA21"/>
  <c r="AQ29"/>
  <c r="AQ38"/>
  <c r="CG36"/>
  <c r="CO16"/>
  <c r="BS16"/>
  <c r="AS16"/>
  <c r="U16"/>
  <c r="CI16"/>
  <c r="BA16"/>
  <c r="S16"/>
  <c r="AL36"/>
  <c r="BP36"/>
  <c r="BV36"/>
  <c r="CZ36"/>
  <c r="BF36"/>
  <c r="AT36"/>
  <c r="BT19"/>
  <c r="AL19"/>
  <c r="AT19"/>
  <c r="BX19"/>
  <c r="AN19"/>
  <c r="BV19"/>
  <c r="AS28"/>
  <c r="BY28"/>
  <c r="AU28"/>
  <c r="BU28"/>
  <c r="AI28"/>
  <c r="CO19"/>
  <c r="BC19"/>
  <c r="Q19"/>
  <c r="BW19"/>
  <c r="BU19"/>
  <c r="AM19"/>
  <c r="BS18"/>
  <c r="AG18"/>
  <c r="BG18"/>
  <c r="CQ18"/>
  <c r="BI18"/>
  <c r="W18"/>
  <c r="BL38"/>
  <c r="BZ38"/>
  <c r="AL37"/>
  <c r="BD28"/>
  <c r="AX28"/>
  <c r="U37"/>
  <c r="M20"/>
  <c r="AW20"/>
  <c r="DA16"/>
  <c r="CK16"/>
  <c r="BK16"/>
  <c r="AO16"/>
  <c r="AU16"/>
  <c r="BU16"/>
  <c r="AM16"/>
  <c r="CT36"/>
  <c r="AD36"/>
  <c r="BH36"/>
  <c r="CR36"/>
  <c r="CV36"/>
  <c r="CX19"/>
  <c r="BP19"/>
  <c r="AH19"/>
  <c r="CZ19"/>
  <c r="BR19"/>
  <c r="DA28"/>
  <c r="AK28"/>
  <c r="BO28"/>
  <c r="CY28"/>
  <c r="BQ28"/>
  <c r="BY19"/>
  <c r="AK19"/>
  <c r="CS19"/>
  <c r="CY19"/>
  <c r="BQ19"/>
  <c r="U18"/>
  <c r="BK18"/>
  <c r="Q18"/>
  <c r="CE18"/>
  <c r="AW18"/>
  <c r="AD38"/>
  <c r="V28"/>
  <c r="AO20"/>
  <c r="L33"/>
  <c r="CL33"/>
  <c r="BW20"/>
  <c r="BM20"/>
  <c r="CW20"/>
  <c r="CC20"/>
  <c r="O20"/>
  <c r="CE20"/>
  <c r="BS20"/>
  <c r="K37"/>
  <c r="BQ37"/>
  <c r="BC37"/>
  <c r="CO37"/>
  <c r="S37"/>
  <c r="CI37"/>
  <c r="CK37"/>
  <c r="AT28"/>
  <c r="BN28"/>
  <c r="AZ28"/>
  <c r="CL28"/>
  <c r="P28"/>
  <c r="CF28"/>
  <c r="CH28"/>
  <c r="P37"/>
  <c r="L37"/>
  <c r="BT37"/>
  <c r="CP37"/>
  <c r="AF37"/>
  <c r="BB37"/>
  <c r="CT37"/>
  <c r="AT38"/>
  <c r="L38"/>
  <c r="BF38"/>
  <c r="CT38"/>
  <c r="J38"/>
  <c r="AR38"/>
  <c r="CN38"/>
  <c r="O18"/>
  <c r="AE18"/>
  <c r="BA18"/>
  <c r="BQ18"/>
  <c r="CI18"/>
  <c r="CY18"/>
  <c r="Y18"/>
  <c r="CO18"/>
  <c r="CC18"/>
  <c r="BO18"/>
  <c r="AK18"/>
  <c r="DA18"/>
  <c r="S18"/>
  <c r="AI18"/>
  <c r="BE18"/>
  <c r="BU18"/>
  <c r="CM18"/>
  <c r="AU18"/>
  <c r="AO18"/>
  <c r="AC18"/>
  <c r="CS18"/>
  <c r="CG18"/>
  <c r="BC18"/>
  <c r="K19"/>
  <c r="AA19"/>
  <c r="AQ19"/>
  <c r="BI19"/>
  <c r="CA19"/>
  <c r="CQ19"/>
  <c r="AU19"/>
  <c r="BK19"/>
  <c r="AG19"/>
  <c r="CW19"/>
  <c r="BS19"/>
  <c r="AO19"/>
  <c r="O19"/>
  <c r="AE19"/>
  <c r="AW19"/>
  <c r="BM19"/>
  <c r="CE19"/>
  <c r="CU19"/>
  <c r="M19"/>
  <c r="CC19"/>
  <c r="AY19"/>
  <c r="U19"/>
  <c r="CK19"/>
  <c r="BG19"/>
  <c r="BW28"/>
  <c r="W28"/>
  <c r="AM28"/>
  <c r="BI28"/>
  <c r="CA28"/>
  <c r="CQ28"/>
  <c r="Q28"/>
  <c r="AY28"/>
  <c r="CG28"/>
  <c r="U28"/>
  <c r="BC28"/>
  <c r="CK28"/>
  <c r="K28"/>
  <c r="AA28"/>
  <c r="AW28"/>
  <c r="BM28"/>
  <c r="CE28"/>
  <c r="CU28"/>
  <c r="Y28"/>
  <c r="BG28"/>
  <c r="CO28"/>
  <c r="AC28"/>
  <c r="BK28"/>
  <c r="CS28"/>
  <c r="L19"/>
  <c r="AB19"/>
  <c r="AR19"/>
  <c r="BJ19"/>
  <c r="CB19"/>
  <c r="CR19"/>
  <c r="J19"/>
  <c r="Z19"/>
  <c r="AP19"/>
  <c r="BH19"/>
  <c r="BZ19"/>
  <c r="CP19"/>
  <c r="P19"/>
  <c r="AF19"/>
  <c r="AX19"/>
  <c r="BN19"/>
  <c r="CF19"/>
  <c r="CV19"/>
  <c r="N19"/>
  <c r="AD19"/>
  <c r="AV19"/>
  <c r="BL19"/>
  <c r="CD19"/>
  <c r="CT19"/>
  <c r="L36"/>
  <c r="AJ36"/>
  <c r="BJ36"/>
  <c r="CJ36"/>
  <c r="T36"/>
  <c r="BN36"/>
  <c r="J36"/>
  <c r="AP36"/>
  <c r="BZ36"/>
  <c r="N36"/>
  <c r="AV36"/>
  <c r="CD36"/>
  <c r="P36"/>
  <c r="AN36"/>
  <c r="BR36"/>
  <c r="CN36"/>
  <c r="AF36"/>
  <c r="CB36"/>
  <c r="R36"/>
  <c r="AZ36"/>
  <c r="CH36"/>
  <c r="V36"/>
  <c r="BD36"/>
  <c r="CL36"/>
  <c r="K16"/>
  <c r="AA16"/>
  <c r="AQ16"/>
  <c r="BI16"/>
  <c r="CA16"/>
  <c r="CQ16"/>
  <c r="M16"/>
  <c r="AC16"/>
  <c r="O16"/>
  <c r="AE16"/>
  <c r="AW16"/>
  <c r="BM16"/>
  <c r="CE16"/>
  <c r="CU16"/>
  <c r="Q16"/>
  <c r="AG16"/>
  <c r="AY16"/>
  <c r="BO16"/>
  <c r="CG16"/>
  <c r="CS16"/>
  <c r="BY16"/>
  <c r="BC16"/>
  <c r="Y16"/>
  <c r="CM16"/>
  <c r="BE16"/>
  <c r="W16"/>
  <c r="BL36"/>
  <c r="CP36"/>
  <c r="Z36"/>
  <c r="AR36"/>
  <c r="BX36"/>
  <c r="X36"/>
  <c r="CH19"/>
  <c r="AZ19"/>
  <c r="R19"/>
  <c r="CJ19"/>
  <c r="BB19"/>
  <c r="T19"/>
  <c r="BS28"/>
  <c r="CW28"/>
  <c r="AG28"/>
  <c r="CI28"/>
  <c r="BA28"/>
  <c r="O28"/>
  <c r="DA19"/>
  <c r="BO19"/>
  <c r="AC19"/>
  <c r="CI19"/>
  <c r="BA19"/>
  <c r="S19"/>
  <c r="CK18"/>
  <c r="AY18"/>
  <c r="BY18"/>
  <c r="CU18"/>
  <c r="BM18"/>
  <c r="AA18"/>
  <c r="CB38"/>
  <c r="Z37"/>
  <c r="BF37"/>
  <c r="CV28"/>
  <c r="Y37"/>
  <c r="AI37"/>
  <c r="CU20"/>
  <c r="AQ18"/>
  <c r="BJ17"/>
  <c r="CD38"/>
  <c r="AV38"/>
  <c r="N38"/>
  <c r="BX38"/>
  <c r="AN38"/>
  <c r="CR38"/>
  <c r="BJ38"/>
  <c r="AB38"/>
  <c r="CP38"/>
  <c r="BH38"/>
  <c r="Z38"/>
  <c r="CO14"/>
  <c r="BY14"/>
  <c r="BG14"/>
  <c r="AO14"/>
  <c r="Y14"/>
  <c r="AU14"/>
  <c r="CM14"/>
  <c r="BU14"/>
  <c r="BE14"/>
  <c r="AM14"/>
  <c r="W14"/>
  <c r="BZ37"/>
  <c r="AP37"/>
  <c r="J37"/>
  <c r="CL37"/>
  <c r="BD37"/>
  <c r="V37"/>
  <c r="CF37"/>
  <c r="AB37"/>
  <c r="CN37"/>
  <c r="BR37"/>
  <c r="AR37"/>
  <c r="BT28"/>
  <c r="AL28"/>
  <c r="CX28"/>
  <c r="BP28"/>
  <c r="AH28"/>
  <c r="BV28"/>
  <c r="CN28"/>
  <c r="BX28"/>
  <c r="BF28"/>
  <c r="AN28"/>
  <c r="X28"/>
  <c r="BY37"/>
  <c r="AO37"/>
  <c r="CS37"/>
  <c r="BS37"/>
  <c r="AK37"/>
  <c r="AU37"/>
  <c r="CQ37"/>
  <c r="CA37"/>
  <c r="BI37"/>
  <c r="AQ37"/>
  <c r="AA37"/>
  <c r="AS20"/>
  <c r="BY20"/>
  <c r="DA20"/>
  <c r="AK20"/>
  <c r="BO20"/>
  <c r="AU20"/>
  <c r="CM20"/>
  <c r="BU20"/>
  <c r="BE20"/>
  <c r="AM20"/>
  <c r="W20"/>
  <c r="CL18"/>
  <c r="BT18"/>
  <c r="BD18"/>
  <c r="AL18"/>
  <c r="N18"/>
  <c r="CV18"/>
  <c r="CF18"/>
  <c r="BN18"/>
  <c r="AX18"/>
  <c r="AF18"/>
  <c r="CO27"/>
  <c r="BG27"/>
  <c r="Y27"/>
  <c r="CK27"/>
  <c r="BC27"/>
  <c r="U27"/>
  <c r="CY27"/>
  <c r="CI27"/>
  <c r="BQ27"/>
  <c r="BA27"/>
  <c r="AI27"/>
  <c r="AJ33"/>
  <c r="CL12"/>
  <c r="BT12"/>
  <c r="BD12"/>
  <c r="AL12"/>
  <c r="V12"/>
  <c r="BV12"/>
  <c r="CN12"/>
  <c r="BX12"/>
  <c r="BF12"/>
  <c r="AN12"/>
  <c r="X12"/>
  <c r="AT12"/>
  <c r="AY21"/>
  <c r="CC21"/>
  <c r="M21"/>
  <c r="AO21"/>
  <c r="BS21"/>
  <c r="AU21"/>
  <c r="CQ21"/>
  <c r="CA21"/>
  <c r="BI21"/>
  <c r="AQ21"/>
  <c r="AA21"/>
  <c r="K21"/>
  <c r="AP27"/>
  <c r="BT27"/>
  <c r="AT27"/>
  <c r="BX27"/>
  <c r="AN27"/>
  <c r="BV27"/>
  <c r="CA36"/>
  <c r="CP27"/>
  <c r="BH27"/>
  <c r="Z27"/>
  <c r="CL27"/>
  <c r="BD27"/>
  <c r="V27"/>
  <c r="CV27"/>
  <c r="CF27"/>
  <c r="BN27"/>
  <c r="AX27"/>
  <c r="AF27"/>
  <c r="P27"/>
  <c r="BC36"/>
  <c r="Q36"/>
  <c r="AQ36"/>
  <c r="CZ34"/>
  <c r="AV34"/>
  <c r="BB34"/>
  <c r="BH34"/>
  <c r="CV34"/>
  <c r="CP17"/>
  <c r="AD18"/>
  <c r="CX12"/>
  <c r="CP12"/>
  <c r="CH12"/>
  <c r="BZ12"/>
  <c r="BP12"/>
  <c r="BH12"/>
  <c r="AZ12"/>
  <c r="AP12"/>
  <c r="AH12"/>
  <c r="Z12"/>
  <c r="R12"/>
  <c r="J12"/>
  <c r="CZ12"/>
  <c r="CR12"/>
  <c r="CJ12"/>
  <c r="CB12"/>
  <c r="BR12"/>
  <c r="BJ12"/>
  <c r="BB12"/>
  <c r="AR12"/>
  <c r="AJ12"/>
  <c r="AB12"/>
  <c r="T12"/>
  <c r="CW21"/>
  <c r="BO21"/>
  <c r="AG21"/>
  <c r="CS21"/>
  <c r="BK21"/>
  <c r="AC21"/>
  <c r="CO21"/>
  <c r="BG21"/>
  <c r="Y21"/>
  <c r="CK21"/>
  <c r="BC21"/>
  <c r="U21"/>
  <c r="BW21"/>
  <c r="CU21"/>
  <c r="CM21"/>
  <c r="CE21"/>
  <c r="BU21"/>
  <c r="BM21"/>
  <c r="BE21"/>
  <c r="AW21"/>
  <c r="AM21"/>
  <c r="AE21"/>
  <c r="W21"/>
  <c r="CX27"/>
  <c r="CH27"/>
  <c r="BP27"/>
  <c r="AZ27"/>
  <c r="AH27"/>
  <c r="R27"/>
  <c r="CT27"/>
  <c r="CD27"/>
  <c r="BL27"/>
  <c r="AV27"/>
  <c r="AD27"/>
  <c r="N27"/>
  <c r="CZ27"/>
  <c r="CR27"/>
  <c r="CJ27"/>
  <c r="CB27"/>
  <c r="BR27"/>
  <c r="BJ27"/>
  <c r="BB27"/>
  <c r="AR27"/>
  <c r="AJ27"/>
  <c r="AB27"/>
  <c r="T27"/>
  <c r="CK36"/>
  <c r="U36"/>
  <c r="AY36"/>
  <c r="CQ36"/>
  <c r="BI36"/>
  <c r="AA36"/>
  <c r="CD34"/>
  <c r="CP34"/>
  <c r="Z34"/>
  <c r="AX34"/>
  <c r="BX34"/>
  <c r="AB34"/>
  <c r="Z17"/>
  <c r="BH33"/>
  <c r="V33"/>
  <c r="CF33"/>
  <c r="BH17"/>
  <c r="CR17"/>
  <c r="AB17"/>
  <c r="DA36"/>
  <c r="BS36"/>
  <c r="AK36"/>
  <c r="CW36"/>
  <c r="BO36"/>
  <c r="AG36"/>
  <c r="CY36"/>
  <c r="CI36"/>
  <c r="BQ36"/>
  <c r="BA36"/>
  <c r="AI36"/>
  <c r="S36"/>
  <c r="CT34"/>
  <c r="BL34"/>
  <c r="N34"/>
  <c r="BZ34"/>
  <c r="AP34"/>
  <c r="J34"/>
  <c r="CB34"/>
  <c r="X34"/>
  <c r="CJ34"/>
  <c r="BJ34"/>
  <c r="AJ34"/>
  <c r="P34"/>
  <c r="BZ17"/>
  <c r="AP17"/>
  <c r="J17"/>
  <c r="CB17"/>
  <c r="AR17"/>
  <c r="L17"/>
  <c r="CX17"/>
  <c r="CH17"/>
  <c r="BP17"/>
  <c r="AZ17"/>
  <c r="AH17"/>
  <c r="R17"/>
  <c r="CZ17"/>
  <c r="CJ17"/>
  <c r="BR17"/>
  <c r="BB17"/>
  <c r="AJ17"/>
  <c r="T17"/>
  <c r="BO26"/>
  <c r="DA26"/>
  <c r="BQ26"/>
  <c r="AK26"/>
  <c r="CY26"/>
  <c r="AI26"/>
  <c r="BS26"/>
  <c r="CW26"/>
  <c r="AG26"/>
  <c r="CI26"/>
  <c r="BA26"/>
  <c r="S26"/>
  <c r="CK26"/>
  <c r="BC26"/>
  <c r="U26"/>
  <c r="CG26"/>
  <c r="AY26"/>
  <c r="Q26"/>
  <c r="CQ26"/>
  <c r="CA26"/>
  <c r="BI26"/>
  <c r="AQ26"/>
  <c r="AA26"/>
  <c r="K26"/>
  <c r="CP33"/>
  <c r="Z33"/>
  <c r="BD33"/>
  <c r="CB33"/>
  <c r="CZ33"/>
  <c r="BB33"/>
  <c r="AY17"/>
  <c r="CE17"/>
  <c r="CG17"/>
  <c r="Q17"/>
  <c r="AW17"/>
  <c r="CW17"/>
  <c r="BO17"/>
  <c r="AG17"/>
  <c r="CU17"/>
  <c r="BM17"/>
  <c r="AE17"/>
  <c r="AU17"/>
  <c r="CO17"/>
  <c r="BY17"/>
  <c r="BG17"/>
  <c r="AO17"/>
  <c r="Y17"/>
  <c r="BW17"/>
  <c r="CM17"/>
  <c r="BU17"/>
  <c r="BE17"/>
  <c r="AM17"/>
  <c r="W17"/>
  <c r="BZ33"/>
  <c r="AP33"/>
  <c r="J33"/>
  <c r="BT33"/>
  <c r="AL33"/>
  <c r="AT33"/>
  <c r="BF33"/>
  <c r="P33"/>
  <c r="CR33"/>
  <c r="BR33"/>
  <c r="AN33"/>
  <c r="AD34"/>
  <c r="T24"/>
  <c r="AL24"/>
  <c r="T33"/>
  <c r="AF33"/>
  <c r="AX33"/>
  <c r="BJ33"/>
  <c r="BX33"/>
  <c r="CJ33"/>
  <c r="CV33"/>
  <c r="BV33"/>
  <c r="X33"/>
  <c r="AR33"/>
  <c r="BN33"/>
  <c r="CN33"/>
  <c r="N33"/>
  <c r="AD33"/>
  <c r="AV33"/>
  <c r="BL33"/>
  <c r="CD33"/>
  <c r="CT33"/>
  <c r="R33"/>
  <c r="AH33"/>
  <c r="AZ33"/>
  <c r="BP33"/>
  <c r="CH33"/>
  <c r="CX33"/>
  <c r="O27"/>
  <c r="W27"/>
  <c r="AE27"/>
  <c r="AM27"/>
  <c r="AW27"/>
  <c r="BE27"/>
  <c r="BM27"/>
  <c r="BU27"/>
  <c r="CE27"/>
  <c r="CM27"/>
  <c r="CU27"/>
  <c r="BW27"/>
  <c r="M27"/>
  <c r="AC27"/>
  <c r="AS27"/>
  <c r="BK27"/>
  <c r="CC27"/>
  <c r="CS27"/>
  <c r="Q27"/>
  <c r="AG27"/>
  <c r="AY27"/>
  <c r="BO27"/>
  <c r="CG27"/>
  <c r="CW27"/>
  <c r="L18"/>
  <c r="T18"/>
  <c r="AB18"/>
  <c r="AJ18"/>
  <c r="AR18"/>
  <c r="BB18"/>
  <c r="BJ18"/>
  <c r="BR18"/>
  <c r="CB18"/>
  <c r="CJ18"/>
  <c r="CR18"/>
  <c r="CZ18"/>
  <c r="J18"/>
  <c r="R18"/>
  <c r="Z18"/>
  <c r="AH18"/>
  <c r="AP18"/>
  <c r="AZ18"/>
  <c r="BH18"/>
  <c r="BP18"/>
  <c r="BZ18"/>
  <c r="CH18"/>
  <c r="CP18"/>
  <c r="CX18"/>
  <c r="K20"/>
  <c r="S20"/>
  <c r="AA20"/>
  <c r="AI20"/>
  <c r="AQ20"/>
  <c r="BA20"/>
  <c r="BI20"/>
  <c r="BQ20"/>
  <c r="CA20"/>
  <c r="CI20"/>
  <c r="CQ20"/>
  <c r="CY20"/>
  <c r="Q20"/>
  <c r="AY20"/>
  <c r="CG20"/>
  <c r="U20"/>
  <c r="BC20"/>
  <c r="CK20"/>
  <c r="Y20"/>
  <c r="BG20"/>
  <c r="CO20"/>
  <c r="AC20"/>
  <c r="BK20"/>
  <c r="CS20"/>
  <c r="O37"/>
  <c r="W37"/>
  <c r="AE37"/>
  <c r="AM37"/>
  <c r="AW37"/>
  <c r="BE37"/>
  <c r="BM37"/>
  <c r="BU37"/>
  <c r="CE37"/>
  <c r="CM37"/>
  <c r="CU37"/>
  <c r="BW37"/>
  <c r="M37"/>
  <c r="AC37"/>
  <c r="AS37"/>
  <c r="BK37"/>
  <c r="CC37"/>
  <c r="CW37"/>
  <c r="Q37"/>
  <c r="AG37"/>
  <c r="AY37"/>
  <c r="BO37"/>
  <c r="CG37"/>
  <c r="DA37"/>
  <c r="L28"/>
  <c r="T28"/>
  <c r="AB28"/>
  <c r="AJ28"/>
  <c r="AR28"/>
  <c r="BB28"/>
  <c r="BJ28"/>
  <c r="BR28"/>
  <c r="CB28"/>
  <c r="CJ28"/>
  <c r="CR28"/>
  <c r="CZ28"/>
  <c r="J28"/>
  <c r="Z28"/>
  <c r="AP28"/>
  <c r="BH28"/>
  <c r="BZ28"/>
  <c r="CP28"/>
  <c r="N28"/>
  <c r="AD28"/>
  <c r="AV28"/>
  <c r="BL28"/>
  <c r="CD28"/>
  <c r="CT28"/>
  <c r="X37"/>
  <c r="AJ37"/>
  <c r="AX37"/>
  <c r="BJ37"/>
  <c r="BX37"/>
  <c r="CJ37"/>
  <c r="BV37"/>
  <c r="T37"/>
  <c r="AN37"/>
  <c r="BN37"/>
  <c r="AT37"/>
  <c r="N37"/>
  <c r="AD37"/>
  <c r="AV37"/>
  <c r="BL37"/>
  <c r="CD37"/>
  <c r="CX37"/>
  <c r="CZ37"/>
  <c r="R37"/>
  <c r="AH37"/>
  <c r="AZ37"/>
  <c r="BP37"/>
  <c r="CH37"/>
  <c r="CV37"/>
  <c r="K14"/>
  <c r="S14"/>
  <c r="AA14"/>
  <c r="AI14"/>
  <c r="AQ14"/>
  <c r="BA14"/>
  <c r="BI14"/>
  <c r="BQ14"/>
  <c r="CA14"/>
  <c r="CI14"/>
  <c r="CQ14"/>
  <c r="CY14"/>
  <c r="M14"/>
  <c r="U14"/>
  <c r="AC14"/>
  <c r="AK14"/>
  <c r="AS14"/>
  <c r="BC14"/>
  <c r="BK14"/>
  <c r="BS14"/>
  <c r="CC14"/>
  <c r="CK14"/>
  <c r="CS14"/>
  <c r="DA14"/>
  <c r="BV38"/>
  <c r="P38"/>
  <c r="AF38"/>
  <c r="AX38"/>
  <c r="BN38"/>
  <c r="CF38"/>
  <c r="CV38"/>
  <c r="V38"/>
  <c r="AL38"/>
  <c r="BD38"/>
  <c r="BT38"/>
  <c r="CL38"/>
  <c r="R38"/>
  <c r="AH38"/>
  <c r="AZ38"/>
  <c r="BP38"/>
  <c r="CH38"/>
  <c r="CX38"/>
  <c r="T38"/>
  <c r="AJ38"/>
  <c r="BB38"/>
  <c r="BR38"/>
  <c r="CJ38"/>
  <c r="CZ38"/>
  <c r="K15"/>
  <c r="S15"/>
  <c r="AA15"/>
  <c r="AI15"/>
  <c r="AQ15"/>
  <c r="BA15"/>
  <c r="BI15"/>
  <c r="BQ15"/>
  <c r="CA15"/>
  <c r="CI15"/>
  <c r="CQ15"/>
  <c r="CY15"/>
  <c r="M15"/>
  <c r="U15"/>
  <c r="AC15"/>
  <c r="AK15"/>
  <c r="AS15"/>
  <c r="BC15"/>
  <c r="BK15"/>
  <c r="BS15"/>
  <c r="CC15"/>
  <c r="CK15"/>
  <c r="CS15"/>
  <c r="DA15"/>
  <c r="K24"/>
  <c r="S24"/>
  <c r="AA24"/>
  <c r="AI24"/>
  <c r="AQ24"/>
  <c r="BA24"/>
  <c r="BI24"/>
  <c r="BQ24"/>
  <c r="CA24"/>
  <c r="CI24"/>
  <c r="CQ24"/>
  <c r="CY24"/>
  <c r="Q24"/>
  <c r="AY24"/>
  <c r="BZ24"/>
  <c r="AR24"/>
  <c r="BT24"/>
  <c r="Z24"/>
  <c r="AB24"/>
  <c r="BH24"/>
  <c r="CB24"/>
  <c r="J24"/>
  <c r="AD25"/>
  <c r="CS36"/>
  <c r="CC36"/>
  <c r="BK36"/>
  <c r="AS36"/>
  <c r="AC36"/>
  <c r="M36"/>
  <c r="CO36"/>
  <c r="BY36"/>
  <c r="BG36"/>
  <c r="AO36"/>
  <c r="Y36"/>
  <c r="AU36"/>
  <c r="CU36"/>
  <c r="CM36"/>
  <c r="CE36"/>
  <c r="BU36"/>
  <c r="BM36"/>
  <c r="BE36"/>
  <c r="AW36"/>
  <c r="AM36"/>
  <c r="AE36"/>
  <c r="W36"/>
  <c r="O36"/>
  <c r="CL34"/>
  <c r="BT34"/>
  <c r="BD34"/>
  <c r="AL34"/>
  <c r="V34"/>
  <c r="CX34"/>
  <c r="CH34"/>
  <c r="BP34"/>
  <c r="AZ34"/>
  <c r="AH34"/>
  <c r="R34"/>
  <c r="BV34"/>
  <c r="CN34"/>
  <c r="BN34"/>
  <c r="AN34"/>
  <c r="L34"/>
  <c r="CR34"/>
  <c r="CF34"/>
  <c r="BR34"/>
  <c r="BF34"/>
  <c r="AR34"/>
  <c r="AF34"/>
  <c r="T34"/>
  <c r="CT17"/>
  <c r="CL17"/>
  <c r="CD17"/>
  <c r="BT17"/>
  <c r="BL17"/>
  <c r="BD17"/>
  <c r="AV17"/>
  <c r="AL17"/>
  <c r="AD17"/>
  <c r="V17"/>
  <c r="N17"/>
  <c r="AT17"/>
  <c r="CV17"/>
  <c r="CN17"/>
  <c r="CF17"/>
  <c r="BX17"/>
  <c r="BN17"/>
  <c r="BF17"/>
  <c r="AX17"/>
  <c r="AN17"/>
  <c r="AF17"/>
  <c r="X17"/>
  <c r="P17"/>
  <c r="CS26"/>
  <c r="CC26"/>
  <c r="BK26"/>
  <c r="AS26"/>
  <c r="AC26"/>
  <c r="M26"/>
  <c r="CO26"/>
  <c r="BY26"/>
  <c r="BG26"/>
  <c r="AO26"/>
  <c r="Y26"/>
  <c r="AU26"/>
  <c r="CU26"/>
  <c r="CM26"/>
  <c r="CE26"/>
  <c r="BU26"/>
  <c r="BM26"/>
  <c r="BE26"/>
  <c r="AW26"/>
  <c r="AM26"/>
  <c r="AE26"/>
  <c r="W26"/>
  <c r="O26"/>
  <c r="DA17"/>
  <c r="CS17"/>
  <c r="CK17"/>
  <c r="CC17"/>
  <c r="BS17"/>
  <c r="BK17"/>
  <c r="BC17"/>
  <c r="AS17"/>
  <c r="AK17"/>
  <c r="AC17"/>
  <c r="U17"/>
  <c r="M17"/>
  <c r="CY17"/>
  <c r="CQ17"/>
  <c r="CI17"/>
  <c r="CA17"/>
  <c r="BQ17"/>
  <c r="BI17"/>
  <c r="BA17"/>
  <c r="AQ17"/>
  <c r="AI17"/>
  <c r="AA17"/>
  <c r="S17"/>
  <c r="CZ11" i="49"/>
  <c r="N11"/>
  <c r="N52" s="1"/>
  <c r="V11"/>
  <c r="V52" s="1"/>
  <c r="AD11"/>
  <c r="AD52" s="1"/>
  <c r="AL11"/>
  <c r="AL52" s="1"/>
  <c r="AT11"/>
  <c r="BB11"/>
  <c r="BB52" s="1"/>
  <c r="BJ11"/>
  <c r="BJ52" s="1"/>
  <c r="BR11"/>
  <c r="BR52" s="1"/>
  <c r="BZ11"/>
  <c r="BZ52" s="1"/>
  <c r="CH11"/>
  <c r="CP11"/>
  <c r="CP52" s="1"/>
  <c r="F43" s="1"/>
  <c r="CX11"/>
  <c r="CX52" s="1"/>
  <c r="P11"/>
  <c r="P52" s="1"/>
  <c r="X11"/>
  <c r="X52" s="1"/>
  <c r="AF11"/>
  <c r="AF52" s="1"/>
  <c r="AN11"/>
  <c r="AV11"/>
  <c r="AV52" s="1"/>
  <c r="BD11"/>
  <c r="BD52" s="1"/>
  <c r="BL11"/>
  <c r="BL52" s="1"/>
  <c r="BT11"/>
  <c r="BT52" s="1"/>
  <c r="CB11"/>
  <c r="CB52" s="1"/>
  <c r="CJ11"/>
  <c r="CJ52" s="1"/>
  <c r="CR11"/>
  <c r="CR52" s="1"/>
  <c r="F44" s="1"/>
  <c r="J11"/>
  <c r="J52" s="1"/>
  <c r="R11"/>
  <c r="R52" s="1"/>
  <c r="Z11"/>
  <c r="Z52" s="1"/>
  <c r="AH11"/>
  <c r="AH52" s="1"/>
  <c r="AP11"/>
  <c r="AP52" s="1"/>
  <c r="AX11"/>
  <c r="BF11"/>
  <c r="BF52" s="1"/>
  <c r="BN11"/>
  <c r="BN52" s="1"/>
  <c r="BV11"/>
  <c r="BV52" s="1"/>
  <c r="CD11"/>
  <c r="CL11"/>
  <c r="CL52" s="1"/>
  <c r="F41" s="1"/>
  <c r="CT11"/>
  <c r="L11"/>
  <c r="L52" s="1"/>
  <c r="T11"/>
  <c r="AB11"/>
  <c r="AB52" s="1"/>
  <c r="AJ11"/>
  <c r="AJ52" s="1"/>
  <c r="AR11"/>
  <c r="AR52" s="1"/>
  <c r="AZ11"/>
  <c r="BH11"/>
  <c r="BH52" s="1"/>
  <c r="BP11"/>
  <c r="BP52" s="1"/>
  <c r="BX11"/>
  <c r="BX52" s="1"/>
  <c r="CF11"/>
  <c r="CN11"/>
  <c r="CN52" s="1"/>
  <c r="F42" s="1"/>
  <c r="CV11"/>
  <c r="CV52" s="1"/>
  <c r="F50" s="1"/>
  <c r="A11" a="1"/>
  <c r="A11" s="1"/>
  <c r="I11" s="1"/>
  <c r="A50" a="1"/>
  <c r="A50" s="1"/>
  <c r="I50" s="1"/>
  <c r="A48" a="1"/>
  <c r="A48" s="1"/>
  <c r="I48" s="1"/>
  <c r="A46" a="1"/>
  <c r="A46" s="1"/>
  <c r="I46" s="1"/>
  <c r="A44" a="1"/>
  <c r="A44" s="1"/>
  <c r="I44" s="1"/>
  <c r="A42" a="1"/>
  <c r="A42" s="1"/>
  <c r="I42" s="1"/>
  <c r="A40" a="1"/>
  <c r="A40" s="1"/>
  <c r="I40" s="1"/>
  <c r="A49" a="1"/>
  <c r="A49" s="1"/>
  <c r="I49" s="1"/>
  <c r="A47" a="1"/>
  <c r="A47" s="1"/>
  <c r="I47" s="1"/>
  <c r="A45" a="1"/>
  <c r="A45" s="1"/>
  <c r="I45" s="1"/>
  <c r="A43" a="1"/>
  <c r="A43" s="1"/>
  <c r="I43" s="1"/>
  <c r="A41" a="1"/>
  <c r="A41" s="1"/>
  <c r="I41" s="1"/>
  <c r="DA11"/>
  <c r="O11"/>
  <c r="O52" s="1"/>
  <c r="W11"/>
  <c r="W52" s="1"/>
  <c r="AE11"/>
  <c r="AE52" s="1"/>
  <c r="AM11"/>
  <c r="AM52" s="1"/>
  <c r="AU11"/>
  <c r="AU52" s="1"/>
  <c r="BC11"/>
  <c r="BC52" s="1"/>
  <c r="BK11"/>
  <c r="BK52" s="1"/>
  <c r="BS11"/>
  <c r="BS52" s="1"/>
  <c r="CA11"/>
  <c r="CA52" s="1"/>
  <c r="CI11"/>
  <c r="CI52" s="1"/>
  <c r="F46" s="1"/>
  <c r="CQ11"/>
  <c r="CY11"/>
  <c r="CY52" s="1"/>
  <c r="M11"/>
  <c r="M52" s="1"/>
  <c r="U11"/>
  <c r="U52" s="1"/>
  <c r="AC11"/>
  <c r="AC52" s="1"/>
  <c r="AK11"/>
  <c r="AK52" s="1"/>
  <c r="AS11"/>
  <c r="BA11"/>
  <c r="BI11"/>
  <c r="BI52" s="1"/>
  <c r="BQ11"/>
  <c r="BQ52" s="1"/>
  <c r="BY11"/>
  <c r="BY52" s="1"/>
  <c r="CG11"/>
  <c r="CG52" s="1"/>
  <c r="F48" s="1"/>
  <c r="CO11"/>
  <c r="CW11"/>
  <c r="K11"/>
  <c r="K52" s="1"/>
  <c r="S11"/>
  <c r="AA11"/>
  <c r="AA52" s="1"/>
  <c r="AI11"/>
  <c r="AI52" s="1"/>
  <c r="AQ11"/>
  <c r="AY11"/>
  <c r="AY52" s="1"/>
  <c r="F40" s="1"/>
  <c r="BG11"/>
  <c r="BG52" s="1"/>
  <c r="BO11"/>
  <c r="BO52" s="1"/>
  <c r="BW11"/>
  <c r="BW52" s="1"/>
  <c r="CE11"/>
  <c r="CE52" s="1"/>
  <c r="F47" s="1"/>
  <c r="CM11"/>
  <c r="CU11"/>
  <c r="CU52" s="1"/>
  <c r="F49" s="1"/>
  <c r="Q11"/>
  <c r="Q52" s="1"/>
  <c r="Y11"/>
  <c r="Y52" s="1"/>
  <c r="AG11"/>
  <c r="AG52" s="1"/>
  <c r="AO11"/>
  <c r="AO52" s="1"/>
  <c r="AW11"/>
  <c r="BE11"/>
  <c r="BE52" s="1"/>
  <c r="BM11"/>
  <c r="BM52" s="1"/>
  <c r="BU11"/>
  <c r="BU52" s="1"/>
  <c r="CC11"/>
  <c r="CC52" s="1"/>
  <c r="CK11"/>
  <c r="CK52" s="1"/>
  <c r="CS11"/>
  <c r="AE33" i="48"/>
  <c r="A50" i="51" a="1"/>
  <c r="A50" s="1"/>
  <c r="I50" s="1"/>
  <c r="A46" a="1"/>
  <c r="A46" s="1"/>
  <c r="I46" s="1"/>
  <c r="A42" a="1"/>
  <c r="A42" s="1"/>
  <c r="I42" s="1"/>
  <c r="A49" a="1"/>
  <c r="A49" s="1"/>
  <c r="I49" s="1"/>
  <c r="A45" a="1"/>
  <c r="A45" s="1"/>
  <c r="I45" s="1"/>
  <c r="A41" a="1"/>
  <c r="A41" s="1"/>
  <c r="I41" s="1"/>
  <c r="A48" a="1"/>
  <c r="A48" s="1"/>
  <c r="I48" s="1"/>
  <c r="A44" a="1"/>
  <c r="A44" s="1"/>
  <c r="I44" s="1"/>
  <c r="A40" a="1"/>
  <c r="A40" s="1"/>
  <c r="I40" s="1"/>
  <c r="A47" a="1"/>
  <c r="A47" s="1"/>
  <c r="I47" s="1"/>
  <c r="A43" a="1"/>
  <c r="A43" s="1"/>
  <c r="I43" s="1"/>
  <c r="O33" i="48"/>
  <c r="A47" i="50" a="1"/>
  <c r="A47" s="1"/>
  <c r="I47" s="1"/>
  <c r="A43" a="1"/>
  <c r="A43" s="1"/>
  <c r="I43" s="1"/>
  <c r="A50" a="1"/>
  <c r="A50" s="1"/>
  <c r="I50" s="1"/>
  <c r="A46" a="1"/>
  <c r="A46" s="1"/>
  <c r="I46" s="1"/>
  <c r="A42" a="1"/>
  <c r="A42" s="1"/>
  <c r="I42" s="1"/>
  <c r="A49" a="1"/>
  <c r="A49" s="1"/>
  <c r="I49" s="1"/>
  <c r="A45" a="1"/>
  <c r="A45" s="1"/>
  <c r="I45" s="1"/>
  <c r="A41" a="1"/>
  <c r="A41" s="1"/>
  <c r="I41" s="1"/>
  <c r="A48" a="1"/>
  <c r="A48" s="1"/>
  <c r="I48" s="1"/>
  <c r="A44" a="1"/>
  <c r="A44" s="1"/>
  <c r="I44" s="1"/>
  <c r="A40" a="1"/>
  <c r="A40" s="1"/>
  <c r="I40" s="1"/>
  <c r="CP24" i="48"/>
  <c r="AP24"/>
  <c r="CR24"/>
  <c r="L24"/>
  <c r="CL24"/>
  <c r="BD24"/>
  <c r="V24"/>
  <c r="BJ24"/>
  <c r="Q33"/>
  <c r="AS33"/>
  <c r="CU33"/>
  <c r="AD31"/>
  <c r="CG33"/>
  <c r="CE33"/>
  <c r="CC33"/>
  <c r="BM33"/>
  <c r="AY33"/>
  <c r="M33"/>
  <c r="AW33"/>
  <c r="CT24"/>
  <c r="CD24"/>
  <c r="BL24"/>
  <c r="AV24"/>
  <c r="AD24"/>
  <c r="N24"/>
  <c r="CV24"/>
  <c r="CF24"/>
  <c r="BN24"/>
  <c r="AX24"/>
  <c r="AF24"/>
  <c r="P24"/>
  <c r="CO33"/>
  <c r="BG33"/>
  <c r="Y33"/>
  <c r="CK33"/>
  <c r="BC33"/>
  <c r="U33"/>
  <c r="CY33"/>
  <c r="CI33"/>
  <c r="BQ33"/>
  <c r="BA33"/>
  <c r="AI33"/>
  <c r="S33"/>
  <c r="BV24"/>
  <c r="CN24"/>
  <c r="BX24"/>
  <c r="BF24"/>
  <c r="AN24"/>
  <c r="X24"/>
  <c r="AT24"/>
  <c r="BY33"/>
  <c r="AO33"/>
  <c r="DA33"/>
  <c r="BS33"/>
  <c r="AK33"/>
  <c r="AU33"/>
  <c r="CQ33"/>
  <c r="CA33"/>
  <c r="BI33"/>
  <c r="AQ33"/>
  <c r="AA33"/>
  <c r="K33"/>
  <c r="CX24"/>
  <c r="CH24"/>
  <c r="BP24"/>
  <c r="AZ24"/>
  <c r="AH24"/>
  <c r="R24"/>
  <c r="CZ24"/>
  <c r="CJ24"/>
  <c r="BR24"/>
  <c r="BB24"/>
  <c r="AJ24"/>
  <c r="CW33"/>
  <c r="BO33"/>
  <c r="AG33"/>
  <c r="CS33"/>
  <c r="BK33"/>
  <c r="AC33"/>
  <c r="BW33"/>
  <c r="CM33"/>
  <c r="BU33"/>
  <c r="BE33"/>
  <c r="AM33"/>
  <c r="DA11" i="5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CZ11"/>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CZ11" i="50"/>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DA1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L19" i="63"/>
  <c r="M19"/>
  <c r="O19"/>
  <c r="A38" i="48" a="1"/>
  <c r="A38" s="1"/>
  <c r="I38" s="1"/>
  <c r="A34" a="1"/>
  <c r="A34" s="1"/>
  <c r="I34" s="1"/>
  <c r="A30" a="1"/>
  <c r="A30" s="1"/>
  <c r="I30" s="1"/>
  <c r="A26" a="1"/>
  <c r="A26" s="1"/>
  <c r="I26" s="1"/>
  <c r="A22" a="1"/>
  <c r="A22" s="1"/>
  <c r="I22" s="1"/>
  <c r="A18" a="1"/>
  <c r="A18" s="1"/>
  <c r="I18" s="1"/>
  <c r="A14" a="1"/>
  <c r="A14" s="1"/>
  <c r="I14" s="1"/>
  <c r="A37" a="1"/>
  <c r="A37" s="1"/>
  <c r="I37" s="1"/>
  <c r="A33" a="1"/>
  <c r="A33" s="1"/>
  <c r="I33" s="1"/>
  <c r="A29" a="1"/>
  <c r="A29" s="1"/>
  <c r="I29" s="1"/>
  <c r="A25" a="1"/>
  <c r="A25" s="1"/>
  <c r="I25" s="1"/>
  <c r="A21" a="1"/>
  <c r="A21" s="1"/>
  <c r="I21" s="1"/>
  <c r="A17" a="1"/>
  <c r="A17" s="1"/>
  <c r="I17" s="1"/>
  <c r="A13" a="1"/>
  <c r="A13" s="1"/>
  <c r="I13" s="1"/>
  <c r="A36" a="1"/>
  <c r="A36" s="1"/>
  <c r="I36" s="1"/>
  <c r="A32" a="1"/>
  <c r="A32" s="1"/>
  <c r="I32" s="1"/>
  <c r="A28" a="1"/>
  <c r="A28" s="1"/>
  <c r="I28" s="1"/>
  <c r="A24" a="1"/>
  <c r="A24" s="1"/>
  <c r="I24" s="1"/>
  <c r="A20" a="1"/>
  <c r="A20" s="1"/>
  <c r="I20" s="1"/>
  <c r="A16" a="1"/>
  <c r="A16" s="1"/>
  <c r="I16" s="1"/>
  <c r="A12" a="1"/>
  <c r="A12" s="1"/>
  <c r="I12" s="1"/>
  <c r="A35" a="1"/>
  <c r="A35" s="1"/>
  <c r="I35" s="1"/>
  <c r="A31" a="1"/>
  <c r="A31" s="1"/>
  <c r="I31" s="1"/>
  <c r="A27" a="1"/>
  <c r="A27" s="1"/>
  <c r="I27" s="1"/>
  <c r="A23" a="1"/>
  <c r="A23" s="1"/>
  <c r="I23" s="1"/>
  <c r="A19" a="1"/>
  <c r="A19" s="1"/>
  <c r="I19" s="1"/>
  <c r="A15" a="1"/>
  <c r="A15" s="1"/>
  <c r="I15" s="1"/>
  <c r="CZ11"/>
  <c r="AT11"/>
  <c r="P11"/>
  <c r="AF11"/>
  <c r="AV11"/>
  <c r="BL11"/>
  <c r="CD11"/>
  <c r="CT11"/>
  <c r="V11"/>
  <c r="AL11"/>
  <c r="BF11"/>
  <c r="BX11"/>
  <c r="CN11"/>
  <c r="AJ11"/>
  <c r="BP11"/>
  <c r="CH11"/>
  <c r="CX11"/>
  <c r="Z11"/>
  <c r="BJ11"/>
  <c r="CB11"/>
  <c r="AN11"/>
  <c r="BD11"/>
  <c r="CL11"/>
  <c r="N11"/>
  <c r="AX11"/>
  <c r="CF11"/>
  <c r="BV11"/>
  <c r="L11"/>
  <c r="AB11"/>
  <c r="AR11"/>
  <c r="BH11"/>
  <c r="BZ11"/>
  <c r="CP11"/>
  <c r="R11"/>
  <c r="AH11"/>
  <c r="BB11"/>
  <c r="BR11"/>
  <c r="CJ11"/>
  <c r="T11"/>
  <c r="AZ11"/>
  <c r="J11"/>
  <c r="AP11"/>
  <c r="CR11"/>
  <c r="X11"/>
  <c r="BT11"/>
  <c r="AD11"/>
  <c r="BN11"/>
  <c r="CV11"/>
  <c r="A11" a="1"/>
  <c r="A11" s="1"/>
  <c r="I11" s="1"/>
  <c r="A41" a="1"/>
  <c r="A41" s="1"/>
  <c r="I41" s="1"/>
  <c r="A44" a="1"/>
  <c r="A44" s="1"/>
  <c r="I44" s="1"/>
  <c r="A47" a="1"/>
  <c r="A47" s="1"/>
  <c r="I47" s="1"/>
  <c r="A39" a="1"/>
  <c r="A39" s="1"/>
  <c r="I39" s="1"/>
  <c r="A42" a="1"/>
  <c r="A42" s="1"/>
  <c r="I42" s="1"/>
  <c r="A45" a="1"/>
  <c r="A45" s="1"/>
  <c r="I45" s="1"/>
  <c r="A48" a="1"/>
  <c r="A48" s="1"/>
  <c r="I48" s="1"/>
  <c r="A40" a="1"/>
  <c r="A40" s="1"/>
  <c r="I40" s="1"/>
  <c r="A43" a="1"/>
  <c r="A43" s="1"/>
  <c r="I43" s="1"/>
  <c r="A46" a="1"/>
  <c r="A46" s="1"/>
  <c r="I46" s="1"/>
  <c r="DA11"/>
  <c r="BW11"/>
  <c r="U11"/>
  <c r="AK11"/>
  <c r="BA11"/>
  <c r="BQ11"/>
  <c r="CI11"/>
  <c r="CY11"/>
  <c r="O11"/>
  <c r="AE11"/>
  <c r="AY11"/>
  <c r="BO11"/>
  <c r="CG11"/>
  <c r="CW11"/>
  <c r="AO11"/>
  <c r="BU11"/>
  <c r="CM11"/>
  <c r="S11"/>
  <c r="CK11"/>
  <c r="M11"/>
  <c r="CA11"/>
  <c r="W11"/>
  <c r="BG11"/>
  <c r="CO11"/>
  <c r="AU11"/>
  <c r="Q11"/>
  <c r="AG11"/>
  <c r="AW11"/>
  <c r="BM11"/>
  <c r="CE11"/>
  <c r="CU11"/>
  <c r="K11"/>
  <c r="AA11"/>
  <c r="AQ11"/>
  <c r="BK11"/>
  <c r="CC11"/>
  <c r="CS11"/>
  <c r="Y11"/>
  <c r="BE11"/>
  <c r="AI11"/>
  <c r="BC11"/>
  <c r="BS11"/>
  <c r="AC11"/>
  <c r="AS11"/>
  <c r="BI11"/>
  <c r="CQ11"/>
  <c r="AM11"/>
  <c r="BY11"/>
  <c r="P87" i="60"/>
  <c r="A16" i="55"/>
  <c r="B52"/>
  <c r="A51"/>
  <c r="N72" i="60"/>
  <c r="N139"/>
  <c r="N219"/>
  <c r="N191"/>
  <c r="N112"/>
  <c r="N270"/>
  <c r="N163"/>
  <c r="I16" i="14"/>
  <c r="G52" i="60"/>
  <c r="N19" i="63"/>
  <c r="A11" i="50" a="1"/>
  <c r="A11" s="1"/>
  <c r="I11" s="1"/>
  <c r="A50" i="48" a="1"/>
  <c r="A50" s="1"/>
  <c r="I50" s="1"/>
  <c r="A49" a="1"/>
  <c r="A49" s="1"/>
  <c r="I49" s="1"/>
  <c r="G106" i="42"/>
  <c r="I14"/>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I98" s="1"/>
  <c r="I99" s="1"/>
  <c r="I100" s="1"/>
  <c r="I101" s="1"/>
  <c r="I102" s="1"/>
  <c r="I103" s="1"/>
  <c r="E121"/>
  <c r="A11" i="51" a="1"/>
  <c r="A11" s="1"/>
  <c r="I11" s="1"/>
  <c r="H106" i="42"/>
  <c r="L32" i="57"/>
  <c r="I17" i="14" l="1"/>
  <c r="O20" i="63"/>
  <c r="DA49" i="49"/>
  <c r="CT49"/>
  <c r="DA47"/>
  <c r="CD47"/>
  <c r="CD52" s="1"/>
  <c r="CF48"/>
  <c r="CF52" s="1"/>
  <c r="DA48"/>
  <c r="DA46"/>
  <c r="CH46"/>
  <c r="CZ50"/>
  <c r="CW50"/>
  <c r="CZ42"/>
  <c r="CO42"/>
  <c r="CO52" s="1"/>
  <c r="CM41"/>
  <c r="CM52" s="1"/>
  <c r="CZ41"/>
  <c r="CZ44"/>
  <c r="CS44"/>
  <c r="CS52" s="1"/>
  <c r="CQ43"/>
  <c r="CQ52" s="1"/>
  <c r="CZ43"/>
  <c r="DA46" i="51"/>
  <c r="CH46"/>
  <c r="CH52" s="1"/>
  <c r="CM41"/>
  <c r="CM52" s="1"/>
  <c r="CZ41"/>
  <c r="CZ42"/>
  <c r="CO42"/>
  <c r="CO52" s="1"/>
  <c r="CQ43"/>
  <c r="CQ52" s="1"/>
  <c r="CZ43"/>
  <c r="CZ44"/>
  <c r="CS44"/>
  <c r="CS52" s="1"/>
  <c r="S40"/>
  <c r="S52" s="1"/>
  <c r="AX40"/>
  <c r="AX52" s="1"/>
  <c r="CZ50"/>
  <c r="CW50"/>
  <c r="CW52" s="1"/>
  <c r="DA47"/>
  <c r="CD47"/>
  <c r="CD52" s="1"/>
  <c r="DA49"/>
  <c r="CT49"/>
  <c r="CT52" s="1"/>
  <c r="CF48"/>
  <c r="CF52" s="1"/>
  <c r="DA48"/>
  <c r="S40" i="50"/>
  <c r="S52" s="1"/>
  <c r="AX40"/>
  <c r="AX52" s="1"/>
  <c r="DA46"/>
  <c r="CH46"/>
  <c r="CH52" s="1"/>
  <c r="CM41"/>
  <c r="CM52" s="1"/>
  <c r="CZ41"/>
  <c r="CZ42"/>
  <c r="CO42"/>
  <c r="CO52" s="1"/>
  <c r="CQ43"/>
  <c r="CQ52" s="1"/>
  <c r="CZ43"/>
  <c r="CZ44"/>
  <c r="CS44"/>
  <c r="CS52" s="1"/>
  <c r="DA47"/>
  <c r="CD47"/>
  <c r="CD52" s="1"/>
  <c r="DA49"/>
  <c r="CT49"/>
  <c r="CT52" s="1"/>
  <c r="CF48"/>
  <c r="CF52" s="1"/>
  <c r="DA48"/>
  <c r="CZ50"/>
  <c r="CW50"/>
  <c r="CW52" s="1"/>
  <c r="S40" i="49"/>
  <c r="S52" s="1"/>
  <c r="AX40"/>
  <c r="AX52" s="1"/>
  <c r="L20" i="63"/>
  <c r="M20"/>
  <c r="BI52" i="48"/>
  <c r="BI54" s="1"/>
  <c r="BI54" i="49" s="1"/>
  <c r="BI54" i="50" s="1"/>
  <c r="BI54" i="51" s="1"/>
  <c r="BC52" i="48"/>
  <c r="AA52"/>
  <c r="AA54" s="1"/>
  <c r="AA54" i="49" s="1"/>
  <c r="AA54" i="50" s="1"/>
  <c r="AA54" i="51" s="1"/>
  <c r="BM52" i="48"/>
  <c r="BM54" s="1"/>
  <c r="BM54" i="49" s="1"/>
  <c r="BM54" i="50" s="1"/>
  <c r="BM54" i="51" s="1"/>
  <c r="AU52" i="48"/>
  <c r="AU54" s="1"/>
  <c r="AU54" i="49" s="1"/>
  <c r="AU54" i="50" s="1"/>
  <c r="AU54" i="51" s="1"/>
  <c r="CA52" i="48"/>
  <c r="CA54" s="1"/>
  <c r="CA54" i="49" s="1"/>
  <c r="CA54" i="50" s="1"/>
  <c r="CA54" i="51" s="1"/>
  <c r="CG52" i="48"/>
  <c r="CG54" s="1"/>
  <c r="CG54" i="49" s="1"/>
  <c r="CG54" i="50" s="1"/>
  <c r="CG54" i="51" s="1"/>
  <c r="BA52" i="48"/>
  <c r="BA54" s="1"/>
  <c r="CV52"/>
  <c r="F50" s="1"/>
  <c r="X52"/>
  <c r="X54" s="1"/>
  <c r="X54" i="49" s="1"/>
  <c r="X54" i="50" s="1"/>
  <c r="X54" i="51" s="1"/>
  <c r="AZ52" i="48"/>
  <c r="BB52"/>
  <c r="BZ52"/>
  <c r="BZ54" s="1"/>
  <c r="BZ54" i="49" s="1"/>
  <c r="BZ54" i="50" s="1"/>
  <c r="BZ54" i="51" s="1"/>
  <c r="CB52" i="48"/>
  <c r="CB54" s="1"/>
  <c r="CB54" i="49" s="1"/>
  <c r="CB54" i="50" s="1"/>
  <c r="CB54" i="51" s="1"/>
  <c r="BX52" i="48"/>
  <c r="BX54" s="1"/>
  <c r="BX54" i="49" s="1"/>
  <c r="BX54" i="50" s="1"/>
  <c r="BX54" i="51" s="1"/>
  <c r="AF52" i="48"/>
  <c r="AF54" s="1"/>
  <c r="AF54" i="49" s="1"/>
  <c r="AF54" i="50" s="1"/>
  <c r="AF54" i="51" s="1"/>
  <c r="BY52" i="48"/>
  <c r="AS52"/>
  <c r="AS54" s="1"/>
  <c r="AI52"/>
  <c r="CC52"/>
  <c r="CC54" s="1"/>
  <c r="CC54" i="49" s="1"/>
  <c r="CC54" i="50" s="1"/>
  <c r="CC54" i="51" s="1"/>
  <c r="BU52" i="48"/>
  <c r="BO52"/>
  <c r="BO54" s="1"/>
  <c r="BO54" i="49" s="1"/>
  <c r="BO54" i="50" s="1"/>
  <c r="BO54" i="51" s="1"/>
  <c r="CY52" i="48"/>
  <c r="CY54" s="1"/>
  <c r="CY54" i="49" s="1"/>
  <c r="CY54" i="50" s="1"/>
  <c r="CY54" i="51" s="1"/>
  <c r="AK52" i="48"/>
  <c r="AK54" s="1"/>
  <c r="AK54" i="49" s="1"/>
  <c r="AK54" i="50" s="1"/>
  <c r="AK54" i="51" s="1"/>
  <c r="BN52" i="48"/>
  <c r="T52"/>
  <c r="T54" s="1"/>
  <c r="AH52"/>
  <c r="AH54" s="1"/>
  <c r="AH54" i="49" s="1"/>
  <c r="AH54" i="50" s="1"/>
  <c r="AH54" i="51" s="1"/>
  <c r="BH52" i="48"/>
  <c r="BV52"/>
  <c r="BV54" s="1"/>
  <c r="BV54" i="49" s="1"/>
  <c r="BV54" i="50" s="1"/>
  <c r="BV54" i="51" s="1"/>
  <c r="CL52" i="48"/>
  <c r="F41" s="1"/>
  <c r="BJ52"/>
  <c r="BP52"/>
  <c r="BF52"/>
  <c r="BF54" s="1"/>
  <c r="BF54" i="49" s="1"/>
  <c r="BF54" i="50" s="1"/>
  <c r="BF54" i="51" s="1"/>
  <c r="P52" i="48"/>
  <c r="P54" s="1"/>
  <c r="P54" i="49" s="1"/>
  <c r="P54" i="50" s="1"/>
  <c r="P54" i="51" s="1"/>
  <c r="AM52" i="48"/>
  <c r="AM54" s="1"/>
  <c r="AM54" i="49" s="1"/>
  <c r="AM54" i="50" s="1"/>
  <c r="AM54" i="51" s="1"/>
  <c r="AC52" i="48"/>
  <c r="AC54" s="1"/>
  <c r="AC54" i="49" s="1"/>
  <c r="AC54" i="50" s="1"/>
  <c r="AC54" i="51" s="1"/>
  <c r="BE52" i="48"/>
  <c r="BE54" s="1"/>
  <c r="BE54" i="49" s="1"/>
  <c r="BE54" i="50" s="1"/>
  <c r="BE54" i="51" s="1"/>
  <c r="BK52" i="48"/>
  <c r="BK54" s="1"/>
  <c r="BK54" i="49" s="1"/>
  <c r="BK54" i="50" s="1"/>
  <c r="BK54" i="51" s="1"/>
  <c r="CU52" i="48"/>
  <c r="F49" s="1"/>
  <c r="AG52"/>
  <c r="BG52"/>
  <c r="CK52"/>
  <c r="CK54" s="1"/>
  <c r="CK54" i="49" s="1"/>
  <c r="CK54" i="50" s="1"/>
  <c r="CK54" i="51" s="1"/>
  <c r="AO52" i="48"/>
  <c r="AO54" s="1"/>
  <c r="AO54" i="49" s="1"/>
  <c r="AO54" i="50" s="1"/>
  <c r="AO54" i="51" s="1"/>
  <c r="AY52" i="48"/>
  <c r="AY54" s="1"/>
  <c r="AY54" i="49" s="1"/>
  <c r="AY54" i="50" s="1"/>
  <c r="AY54" i="51" s="1"/>
  <c r="CI52" i="48"/>
  <c r="F46" s="1"/>
  <c r="AD52"/>
  <c r="AD54" s="1"/>
  <c r="AD54" i="49" s="1"/>
  <c r="AD54" i="50" s="1"/>
  <c r="AD54" i="51" s="1"/>
  <c r="AP52" i="48"/>
  <c r="AP54" s="1"/>
  <c r="AP54" i="49" s="1"/>
  <c r="AP54" i="50" s="1"/>
  <c r="AP54" i="51" s="1"/>
  <c r="CJ52" i="48"/>
  <c r="CJ54" s="1"/>
  <c r="CJ54" i="49" s="1"/>
  <c r="CJ54" i="50" s="1"/>
  <c r="CJ54" i="51" s="1"/>
  <c r="AR52" i="48"/>
  <c r="BD52"/>
  <c r="BD54" s="1"/>
  <c r="BD54" i="49" s="1"/>
  <c r="BD54" i="50" s="1"/>
  <c r="BD54" i="51" s="1"/>
  <c r="Z52" i="48"/>
  <c r="Z54" s="1"/>
  <c r="Z54" i="49" s="1"/>
  <c r="Z54" i="50" s="1"/>
  <c r="Z54" i="51" s="1"/>
  <c r="AJ52" i="48"/>
  <c r="AJ54" s="1"/>
  <c r="AJ54" i="49" s="1"/>
  <c r="AJ54" i="50" s="1"/>
  <c r="AJ54" i="51" s="1"/>
  <c r="AL52" i="48"/>
  <c r="AL54" s="1"/>
  <c r="AL54" i="49" s="1"/>
  <c r="AL54" i="50" s="1"/>
  <c r="AL54" i="51" s="1"/>
  <c r="BL52" i="48"/>
  <c r="AT52"/>
  <c r="Y52"/>
  <c r="AQ52"/>
  <c r="AQ54" s="1"/>
  <c r="CE52"/>
  <c r="F47" s="1"/>
  <c r="W52"/>
  <c r="W54" s="1"/>
  <c r="W54" i="49" s="1"/>
  <c r="W54" i="50" s="1"/>
  <c r="W54" i="51" s="1"/>
  <c r="AE52" i="48"/>
  <c r="BQ52"/>
  <c r="BQ54" s="1"/>
  <c r="BQ54" i="49" s="1"/>
  <c r="BQ54" i="50" s="1"/>
  <c r="BQ54" i="51" s="1"/>
  <c r="BW52" i="48"/>
  <c r="BT52"/>
  <c r="BT54" s="1"/>
  <c r="BT54" i="49" s="1"/>
  <c r="BT54" i="50" s="1"/>
  <c r="BT54" i="51" s="1"/>
  <c r="BR52" i="48"/>
  <c r="BR54" s="1"/>
  <c r="BR54" i="49" s="1"/>
  <c r="BR54" i="50" s="1"/>
  <c r="BR54" i="51" s="1"/>
  <c r="AB52" i="48"/>
  <c r="AB54" s="1"/>
  <c r="AB54" i="49" s="1"/>
  <c r="AB54" i="50" s="1"/>
  <c r="AB54" i="51" s="1"/>
  <c r="AN52" i="48"/>
  <c r="CX52"/>
  <c r="V52"/>
  <c r="V54" s="1"/>
  <c r="V54" i="49" s="1"/>
  <c r="V54" i="50" s="1"/>
  <c r="V54" i="51" s="1"/>
  <c r="J17" i="14"/>
  <c r="J18" s="1"/>
  <c r="B53" i="55"/>
  <c r="A52"/>
  <c r="A17"/>
  <c r="P47" i="60"/>
  <c r="N52"/>
  <c r="N20" i="63"/>
  <c r="L21" s="1"/>
  <c r="AT52" i="51"/>
  <c r="T52" i="49"/>
  <c r="AQ52"/>
  <c r="AN52" i="50"/>
  <c r="AS52"/>
  <c r="AW52"/>
  <c r="AW52" i="51"/>
  <c r="AS52"/>
  <c r="AN52"/>
  <c r="AQ52" i="50"/>
  <c r="T52"/>
  <c r="AS52" i="49"/>
  <c r="AT52" i="50"/>
  <c r="T52" i="51"/>
  <c r="AQ52"/>
  <c r="I107" i="42"/>
  <c r="BG53" i="48" l="1"/>
  <c r="BG10" i="49" s="1"/>
  <c r="O21" i="63"/>
  <c r="DA52" i="51"/>
  <c r="CZ52"/>
  <c r="DA52" i="50"/>
  <c r="CZ52"/>
  <c r="M21" i="63"/>
  <c r="CZ52" i="49"/>
  <c r="CH52"/>
  <c r="CW52"/>
  <c r="CT52"/>
  <c r="CV54" i="48"/>
  <c r="CV54" i="49" s="1"/>
  <c r="CV54" i="50" s="1"/>
  <c r="CV54" i="51" s="1"/>
  <c r="BI53" i="48"/>
  <c r="CC53"/>
  <c r="AU53"/>
  <c r="BH53"/>
  <c r="AN53"/>
  <c r="I18" i="14"/>
  <c r="I19" s="1"/>
  <c r="BY53" i="48"/>
  <c r="AR53"/>
  <c r="CB53"/>
  <c r="BG54"/>
  <c r="BG54" i="49" s="1"/>
  <c r="BG54" i="50" s="1"/>
  <c r="BG54" i="51" s="1"/>
  <c r="BF53" i="48"/>
  <c r="Y53"/>
  <c r="BC53"/>
  <c r="BV53"/>
  <c r="BB54"/>
  <c r="BB54" i="49" s="1"/>
  <c r="BB54" i="50" s="1"/>
  <c r="BB54" i="51" s="1"/>
  <c r="BM53" i="48"/>
  <c r="CE54"/>
  <c r="CE54" i="49" s="1"/>
  <c r="CE54" i="50" s="1"/>
  <c r="CE54" i="51" s="1"/>
  <c r="AT53" i="48"/>
  <c r="CI54"/>
  <c r="CI54" i="49" s="1"/>
  <c r="CI54" i="50" s="1"/>
  <c r="CI54" i="51" s="1"/>
  <c r="AT54" i="48"/>
  <c r="BA53"/>
  <c r="BN53"/>
  <c r="CK53"/>
  <c r="BD53"/>
  <c r="AZ54"/>
  <c r="BE53"/>
  <c r="AZ53"/>
  <c r="BL53"/>
  <c r="AQ53"/>
  <c r="BO53"/>
  <c r="BX53"/>
  <c r="BB53"/>
  <c r="CL54"/>
  <c r="CL54" i="49" s="1"/>
  <c r="CL54" i="50" s="1"/>
  <c r="CL54" i="51" s="1"/>
  <c r="BY54" i="48"/>
  <c r="BY54" i="49" s="1"/>
  <c r="BY54" i="50" s="1"/>
  <c r="BY54" i="51" s="1"/>
  <c r="BZ53" i="48"/>
  <c r="CA53"/>
  <c r="CY53"/>
  <c r="CJ53"/>
  <c r="BC54"/>
  <c r="BC54" i="49" s="1"/>
  <c r="BC54" i="50" s="1"/>
  <c r="BC54" i="51" s="1"/>
  <c r="BW53" i="48"/>
  <c r="BW54"/>
  <c r="BW54" i="49" s="1"/>
  <c r="BW54" i="50" s="1"/>
  <c r="BW54" i="51" s="1"/>
  <c r="AB53" i="48"/>
  <c r="BK53"/>
  <c r="AJ53"/>
  <c r="AF53"/>
  <c r="F48"/>
  <c r="CF48" s="1"/>
  <c r="CF52" s="1"/>
  <c r="X53"/>
  <c r="Y54"/>
  <c r="Y54" i="49" s="1"/>
  <c r="Y54" i="50" s="1"/>
  <c r="Y54" i="51" s="1"/>
  <c r="W53" i="48"/>
  <c r="AO53"/>
  <c r="AM53"/>
  <c r="BJ53"/>
  <c r="AK53"/>
  <c r="AS53"/>
  <c r="AN54"/>
  <c r="AE53"/>
  <c r="AL53"/>
  <c r="AH53"/>
  <c r="AA53"/>
  <c r="AD53"/>
  <c r="AG53"/>
  <c r="V53"/>
  <c r="AR54"/>
  <c r="AR54" i="49" s="1"/>
  <c r="AR54" i="50" s="1"/>
  <c r="AR54" i="51" s="1"/>
  <c r="CU54" i="48"/>
  <c r="CU54" i="49" s="1"/>
  <c r="CU54" i="50" s="1"/>
  <c r="CU54" i="51" s="1"/>
  <c r="BJ54" i="48"/>
  <c r="BJ54" i="49" s="1"/>
  <c r="BJ54" i="50" s="1"/>
  <c r="BJ54" i="51" s="1"/>
  <c r="Z53" i="48"/>
  <c r="BP53"/>
  <c r="BU53"/>
  <c r="AI53"/>
  <c r="CX54"/>
  <c r="CX54" i="49" s="1"/>
  <c r="CX54" i="50" s="1"/>
  <c r="CX54" i="51" s="1"/>
  <c r="AE54" i="48"/>
  <c r="AE54" i="49" s="1"/>
  <c r="AE54" i="50" s="1"/>
  <c r="AE54" i="51" s="1"/>
  <c r="BL54" i="48"/>
  <c r="BL54" i="49" s="1"/>
  <c r="BL54" i="50" s="1"/>
  <c r="BL54" i="51" s="1"/>
  <c r="AP53" i="48"/>
  <c r="F40"/>
  <c r="AX40" s="1"/>
  <c r="AX52" s="1"/>
  <c r="AG54"/>
  <c r="AG54" i="49" s="1"/>
  <c r="AG54" i="50" s="1"/>
  <c r="AG54" i="51" s="1"/>
  <c r="AC53" i="48"/>
  <c r="BP54"/>
  <c r="BP54" i="49" s="1"/>
  <c r="BP54" i="50" s="1"/>
  <c r="BP54" i="51" s="1"/>
  <c r="CX53" i="48"/>
  <c r="BH54"/>
  <c r="BH54" i="49" s="1"/>
  <c r="BH54" i="50" s="1"/>
  <c r="BH54" i="51" s="1"/>
  <c r="BN54" i="48"/>
  <c r="BN54" i="49" s="1"/>
  <c r="BN54" i="50" s="1"/>
  <c r="BN54" i="51" s="1"/>
  <c r="BU54" i="48"/>
  <c r="BU54" i="49" s="1"/>
  <c r="BU54" i="50" s="1"/>
  <c r="BU54" i="51" s="1"/>
  <c r="AI54" i="48"/>
  <c r="AI54" i="49" s="1"/>
  <c r="AI54" i="50" s="1"/>
  <c r="AI54" i="51" s="1"/>
  <c r="BT53" i="48"/>
  <c r="BQ53"/>
  <c r="DA47"/>
  <c r="CD47"/>
  <c r="CD52" s="1"/>
  <c r="DA46"/>
  <c r="CH46"/>
  <c r="CH52" s="1"/>
  <c r="CM41"/>
  <c r="CM52" s="1"/>
  <c r="CZ41"/>
  <c r="CZ50"/>
  <c r="CW50"/>
  <c r="CW52" s="1"/>
  <c r="DA49"/>
  <c r="CT49"/>
  <c r="CT52" s="1"/>
  <c r="N21" i="63"/>
  <c r="N22" s="1"/>
  <c r="A18" i="55"/>
  <c r="B54"/>
  <c r="A54" s="1"/>
  <c r="A53"/>
  <c r="AZ52" i="50"/>
  <c r="AN52" i="49"/>
  <c r="AZ52" i="51"/>
  <c r="BA52"/>
  <c r="AW52" i="49"/>
  <c r="AZ52"/>
  <c r="BA52" i="50"/>
  <c r="AT52" i="49"/>
  <c r="O22" i="63" l="1"/>
  <c r="M22"/>
  <c r="BQ10" i="49"/>
  <c r="AC10"/>
  <c r="BU10"/>
  <c r="AD10"/>
  <c r="AE10"/>
  <c r="BJ10"/>
  <c r="AJ10"/>
  <c r="BW10"/>
  <c r="CA10"/>
  <c r="BB10"/>
  <c r="BL10"/>
  <c r="BD10"/>
  <c r="AT10"/>
  <c r="BV10"/>
  <c r="CC10"/>
  <c r="BT10"/>
  <c r="BP10"/>
  <c r="BP53" s="1"/>
  <c r="AA10"/>
  <c r="AM10"/>
  <c r="X10"/>
  <c r="BK10"/>
  <c r="BZ10"/>
  <c r="BX10"/>
  <c r="AZ10"/>
  <c r="BA10"/>
  <c r="BC10"/>
  <c r="CB10"/>
  <c r="CB53" s="1"/>
  <c r="AN10"/>
  <c r="BI10"/>
  <c r="CX10"/>
  <c r="Z10"/>
  <c r="V10"/>
  <c r="AH10"/>
  <c r="AS10"/>
  <c r="AO10"/>
  <c r="AB10"/>
  <c r="CJ10"/>
  <c r="BO10"/>
  <c r="BE10"/>
  <c r="CK10"/>
  <c r="BM10"/>
  <c r="Y10"/>
  <c r="AR10"/>
  <c r="BH10"/>
  <c r="AP10"/>
  <c r="AI10"/>
  <c r="AG10"/>
  <c r="AL10"/>
  <c r="AK10"/>
  <c r="AK53" s="1"/>
  <c r="W10"/>
  <c r="AF10"/>
  <c r="AF53" s="1"/>
  <c r="CY10"/>
  <c r="AQ10"/>
  <c r="BN10"/>
  <c r="BN53" s="1"/>
  <c r="BF10"/>
  <c r="BF53" s="1"/>
  <c r="BY10"/>
  <c r="AU10"/>
  <c r="DA52"/>
  <c r="J19" i="14"/>
  <c r="J20" s="1"/>
  <c r="L22" i="63"/>
  <c r="L23" s="1"/>
  <c r="DA48" i="48"/>
  <c r="DA52" s="1"/>
  <c r="S40"/>
  <c r="S52" s="1"/>
  <c r="CF54"/>
  <c r="CF54" i="49" s="1"/>
  <c r="CF54" i="50" s="1"/>
  <c r="CF54" i="51" s="1"/>
  <c r="CF53" i="48"/>
  <c r="CG53"/>
  <c r="CD53"/>
  <c r="CD54"/>
  <c r="CD54" i="49" s="1"/>
  <c r="CD54" i="50" s="1"/>
  <c r="CD54" i="51" s="1"/>
  <c r="CE53" i="48"/>
  <c r="AX54"/>
  <c r="AX54" i="49" s="1"/>
  <c r="AX54" i="50" s="1"/>
  <c r="AX54" i="51" s="1"/>
  <c r="AX53" i="48"/>
  <c r="AY53"/>
  <c r="CM53"/>
  <c r="CM54"/>
  <c r="CM54" i="49" s="1"/>
  <c r="CM54" i="50" s="1"/>
  <c r="CM54" i="51" s="1"/>
  <c r="CL53" i="48"/>
  <c r="CT53"/>
  <c r="CT54"/>
  <c r="CT54" i="49" s="1"/>
  <c r="CT54" i="50" s="1"/>
  <c r="CT54" i="51" s="1"/>
  <c r="CU53" i="48"/>
  <c r="CW53"/>
  <c r="CW54"/>
  <c r="CW54" i="49" s="1"/>
  <c r="CW54" i="50" s="1"/>
  <c r="CW54" i="51" s="1"/>
  <c r="CV53" i="48"/>
  <c r="CH53"/>
  <c r="CH54"/>
  <c r="CH54" i="49" s="1"/>
  <c r="CH54" i="50" s="1"/>
  <c r="CH54" i="51" s="1"/>
  <c r="CI53" i="48"/>
  <c r="A19" i="55"/>
  <c r="AQ54" i="49"/>
  <c r="AQ54" i="50" s="1"/>
  <c r="AQ54" i="51" s="1"/>
  <c r="BA52" i="49"/>
  <c r="T54"/>
  <c r="T54" i="50" s="1"/>
  <c r="T54" i="51" s="1"/>
  <c r="AN54" i="49"/>
  <c r="AN54" i="50" s="1"/>
  <c r="AN54" i="51" s="1"/>
  <c r="AT54" i="49"/>
  <c r="AT54" i="50" s="1"/>
  <c r="AT54" i="51" s="1"/>
  <c r="AS54" i="49"/>
  <c r="AS54" i="50" s="1"/>
  <c r="AS54" i="51" s="1"/>
  <c r="BC53" i="49" l="1"/>
  <c r="BC10" i="50" s="1"/>
  <c r="CY53" i="49"/>
  <c r="CY10" i="50" s="1"/>
  <c r="AB53" i="49"/>
  <c r="AB10" i="50" s="1"/>
  <c r="M23" i="63"/>
  <c r="O2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c r="AK10"/>
  <c r="BF10"/>
  <c r="CB10"/>
  <c r="BN10"/>
  <c r="AF10"/>
  <c r="BV53" i="49"/>
  <c r="Z53"/>
  <c r="BK53"/>
  <c r="AC53"/>
  <c r="AE53"/>
  <c r="BU53"/>
  <c r="CW10"/>
  <c r="AX10"/>
  <c r="CH10"/>
  <c r="CG10"/>
  <c r="CV10"/>
  <c r="CM10"/>
  <c r="CE10"/>
  <c r="CF10"/>
  <c r="CL10"/>
  <c r="CD10"/>
  <c r="CU10"/>
  <c r="CI10"/>
  <c r="CT10"/>
  <c r="AY10"/>
  <c r="AY53" s="1"/>
  <c r="BO53"/>
  <c r="CX53"/>
  <c r="BD53"/>
  <c r="BB53"/>
  <c r="BW53"/>
  <c r="BJ53"/>
  <c r="CJ53"/>
  <c r="BI53"/>
  <c r="BX53"/>
  <c r="BL53"/>
  <c r="CA53"/>
  <c r="BQ53"/>
  <c r="I20" i="14"/>
  <c r="I21" s="1"/>
  <c r="N23" i="63"/>
  <c r="N24" s="1"/>
  <c r="S54" i="48"/>
  <c r="S54" i="49" s="1"/>
  <c r="S54" i="50" s="1"/>
  <c r="S54" i="51" s="1"/>
  <c r="DA54" i="48"/>
  <c r="DA54" i="49" s="1"/>
  <c r="DA54" i="50" s="1"/>
  <c r="DA54" i="51" s="1"/>
  <c r="BA54" i="49"/>
  <c r="BA54" i="50" s="1"/>
  <c r="BA54" i="51" s="1"/>
  <c r="AZ54" i="49"/>
  <c r="AZ54" i="50" s="1"/>
  <c r="AZ54" i="51" s="1"/>
  <c r="AR53" i="49"/>
  <c r="AO53"/>
  <c r="AQ53"/>
  <c r="AU53"/>
  <c r="AT53"/>
  <c r="AP53"/>
  <c r="AS53"/>
  <c r="AN53"/>
  <c r="CV53" l="1"/>
  <c r="CV10" i="50" s="1"/>
  <c r="J21" i="14"/>
  <c r="J22" s="1"/>
  <c r="CF53" i="49"/>
  <c r="CF10" i="50" s="1"/>
  <c r="O24" i="63"/>
  <c r="M24"/>
  <c r="AI53" i="50"/>
  <c r="AI10" i="51" s="1"/>
  <c r="AX53" i="49"/>
  <c r="AX10" i="50" s="1"/>
  <c r="AH53"/>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c r="AP10"/>
  <c r="AO10"/>
  <c r="BL10"/>
  <c r="BM53" s="1"/>
  <c r="BM10" i="51" s="1"/>
  <c r="BJ10" i="50"/>
  <c r="CX10"/>
  <c r="CY53" s="1"/>
  <c r="CY10" i="51" s="1"/>
  <c r="AC10" i="50"/>
  <c r="AU10"/>
  <c r="AT10"/>
  <c r="AR10"/>
  <c r="BX10"/>
  <c r="BX53" s="1"/>
  <c r="BX10" i="51" s="1"/>
  <c r="BW10" i="50"/>
  <c r="BO10"/>
  <c r="BN53" s="1"/>
  <c r="BN10" i="51" s="1"/>
  <c r="BU10" i="50"/>
  <c r="BU53" s="1"/>
  <c r="BU10" i="51" s="1"/>
  <c r="BK10" i="50"/>
  <c r="BQ10"/>
  <c r="BP53" s="1"/>
  <c r="BP10" i="51" s="1"/>
  <c r="BI10" i="50"/>
  <c r="BI53" s="1"/>
  <c r="BI10" i="51" s="1"/>
  <c r="BB10" i="50"/>
  <c r="BB53" s="1"/>
  <c r="BB10" i="51" s="1"/>
  <c r="AY10" i="50"/>
  <c r="Z10"/>
  <c r="AS10"/>
  <c r="AQ10"/>
  <c r="CA10"/>
  <c r="CA53" s="1"/>
  <c r="CA10" i="51" s="1"/>
  <c r="CJ10" i="50"/>
  <c r="CK53" s="1"/>
  <c r="CK10" i="51" s="1"/>
  <c r="BD10" i="50"/>
  <c r="BE53" s="1"/>
  <c r="BE10" i="51" s="1"/>
  <c r="CT53" i="49"/>
  <c r="AE10" i="50"/>
  <c r="BV10"/>
  <c r="CM53" i="49"/>
  <c r="CD53"/>
  <c r="CE53"/>
  <c r="CL53"/>
  <c r="CG53"/>
  <c r="CU53"/>
  <c r="CH53"/>
  <c r="CW53"/>
  <c r="L24" i="63"/>
  <c r="L25" s="1"/>
  <c r="BA53" i="49"/>
  <c r="AZ53"/>
  <c r="I22" i="14" l="1"/>
  <c r="I23" s="1"/>
  <c r="Y53" i="51"/>
  <c r="BY53" i="50"/>
  <c r="BY10" i="51" s="1"/>
  <c r="BX53" s="1"/>
  <c r="BT53" i="50"/>
  <c r="BT10" i="51" s="1"/>
  <c r="BT53" s="1"/>
  <c r="AI53"/>
  <c r="BK53" i="50"/>
  <c r="BK10" i="51" s="1"/>
  <c r="M25" i="63"/>
  <c r="O25"/>
  <c r="BL53" i="50"/>
  <c r="BL10" i="51" s="1"/>
  <c r="BL53" s="1"/>
  <c r="AQ53" i="50"/>
  <c r="AQ10" i="51" s="1"/>
  <c r="AP53" i="50"/>
  <c r="AP10" i="51" s="1"/>
  <c r="BC53" i="50"/>
  <c r="BC10" i="51" s="1"/>
  <c r="BC53" s="1"/>
  <c r="BQ53" i="50"/>
  <c r="BQ10" i="51" s="1"/>
  <c r="BQ53" s="1"/>
  <c r="AY53" i="50"/>
  <c r="AY10" i="51" s="1"/>
  <c r="AH53"/>
  <c r="AX53" i="50"/>
  <c r="AX10" i="51" s="1"/>
  <c r="AJ53"/>
  <c r="W53"/>
  <c r="BH53" i="50"/>
  <c r="BH10" i="51" s="1"/>
  <c r="BI53" s="1"/>
  <c r="BO53" i="50"/>
  <c r="BO10" i="51" s="1"/>
  <c r="BO53" s="1"/>
  <c r="BZ53" i="50"/>
  <c r="BZ10" i="51" s="1"/>
  <c r="CA53" s="1"/>
  <c r="V53"/>
  <c r="BG53"/>
  <c r="X53"/>
  <c r="CC53"/>
  <c r="AG53"/>
  <c r="CX53" i="50"/>
  <c r="CX10" i="51" s="1"/>
  <c r="CX53" s="1"/>
  <c r="AS53" i="50"/>
  <c r="AS10" i="51" s="1"/>
  <c r="AF53"/>
  <c r="CB53"/>
  <c r="AR53" i="50"/>
  <c r="AR10" i="51" s="1"/>
  <c r="AK53"/>
  <c r="AU53" i="50"/>
  <c r="AU10" i="51" s="1"/>
  <c r="AO53" i="50"/>
  <c r="AO10" i="51" s="1"/>
  <c r="BF53"/>
  <c r="AT53" i="50"/>
  <c r="AT10" i="51" s="1"/>
  <c r="AN53" i="50"/>
  <c r="AN10" i="51" s="1"/>
  <c r="BV53" i="50"/>
  <c r="BV10" i="51" s="1"/>
  <c r="CJ53" i="50"/>
  <c r="CJ10" i="51" s="1"/>
  <c r="CJ53" s="1"/>
  <c r="BB53"/>
  <c r="AL53"/>
  <c r="AM53"/>
  <c r="CH10" i="50"/>
  <c r="CI53" s="1"/>
  <c r="CI10" i="51" s="1"/>
  <c r="BD53" i="50"/>
  <c r="BD10" i="51" s="1"/>
  <c r="BD53" s="1"/>
  <c r="AD53" i="50"/>
  <c r="AD10" i="51" s="1"/>
  <c r="AE53" i="50"/>
  <c r="AE10" i="51" s="1"/>
  <c r="CU10" i="50"/>
  <c r="CE10"/>
  <c r="CM10"/>
  <c r="AB53"/>
  <c r="AB10" i="51" s="1"/>
  <c r="AC53" i="50"/>
  <c r="AC10" i="51" s="1"/>
  <c r="CG10" i="50"/>
  <c r="CF53" s="1"/>
  <c r="CF10" i="51" s="1"/>
  <c r="AZ10" i="50"/>
  <c r="BA10"/>
  <c r="CW10"/>
  <c r="CL10"/>
  <c r="CD10"/>
  <c r="CT10"/>
  <c r="Z53"/>
  <c r="Z10" i="51" s="1"/>
  <c r="AA53" i="50"/>
  <c r="AA10" i="51" s="1"/>
  <c r="BW53" i="50"/>
  <c r="BW10" i="51" s="1"/>
  <c r="BJ53" i="50"/>
  <c r="BJ10" i="51" s="1"/>
  <c r="CH53" i="50"/>
  <c r="CH10" i="51" s="1"/>
  <c r="CH53" s="1"/>
  <c r="N25" i="63"/>
  <c r="N26" s="1"/>
  <c r="J23" i="14" l="1"/>
  <c r="J24" s="1"/>
  <c r="BY53" i="51"/>
  <c r="BZ53"/>
  <c r="BM53"/>
  <c r="BP53"/>
  <c r="BU53"/>
  <c r="AY53"/>
  <c r="AX53"/>
  <c r="O26" i="63"/>
  <c r="BK53" i="51"/>
  <c r="BN53"/>
  <c r="M26" i="63"/>
  <c r="AQ53" i="51"/>
  <c r="AU53"/>
  <c r="AP53"/>
  <c r="AR53"/>
  <c r="CY53"/>
  <c r="BH53"/>
  <c r="AT53"/>
  <c r="AO53"/>
  <c r="AS53"/>
  <c r="AN53"/>
  <c r="BV53"/>
  <c r="CT53" i="50"/>
  <c r="CT10" i="51" s="1"/>
  <c r="CL53" i="50"/>
  <c r="CL10" i="51" s="1"/>
  <c r="BA53" i="50"/>
  <c r="BA10" i="51" s="1"/>
  <c r="CK53"/>
  <c r="AB53"/>
  <c r="CG53" i="50"/>
  <c r="CG10" i="51" s="1"/>
  <c r="CG53" s="1"/>
  <c r="AZ53" i="50"/>
  <c r="AZ10" i="51" s="1"/>
  <c r="AE53"/>
  <c r="Z53"/>
  <c r="CD53" i="50"/>
  <c r="CD10" i="51" s="1"/>
  <c r="AA53"/>
  <c r="AD53"/>
  <c r="BJ53"/>
  <c r="BW53"/>
  <c r="AC53"/>
  <c r="BE53"/>
  <c r="CI53"/>
  <c r="CF53"/>
  <c r="CV53" i="50"/>
  <c r="CV10" i="51" s="1"/>
  <c r="CW53" i="50"/>
  <c r="CW10" i="51" s="1"/>
  <c r="CE53" i="50"/>
  <c r="CE10" i="51" s="1"/>
  <c r="CM53" i="50"/>
  <c r="CM10" i="51" s="1"/>
  <c r="CU53" i="50"/>
  <c r="CU10" i="51" s="1"/>
  <c r="L26" i="63"/>
  <c r="L27" s="1"/>
  <c r="F15" i="47"/>
  <c r="F51" s="1"/>
  <c r="I52" s="1"/>
  <c r="I24" i="14" l="1"/>
  <c r="I25" s="1"/>
  <c r="M27" i="63"/>
  <c r="O27"/>
  <c r="BA53" i="51"/>
  <c r="AZ53"/>
  <c r="CT53"/>
  <c r="CL53"/>
  <c r="CD53"/>
  <c r="CV53"/>
  <c r="CU53"/>
  <c r="CE53"/>
  <c r="CM53"/>
  <c r="CW53"/>
  <c r="N27" i="63"/>
  <c r="N28" s="1"/>
  <c r="H52" i="47"/>
  <c r="H15"/>
  <c r="I15"/>
  <c r="J25" i="14" l="1"/>
  <c r="J26" s="1"/>
  <c r="O28" i="63"/>
  <c r="M28"/>
  <c r="L28"/>
  <c r="L29" s="1"/>
  <c r="I16" i="47"/>
  <c r="H16"/>
  <c r="I26" i="14" l="1"/>
  <c r="I27" s="1"/>
  <c r="O29" i="63"/>
  <c r="M29"/>
  <c r="N29"/>
  <c r="N30" s="1"/>
  <c r="H17" i="47"/>
  <c r="I17"/>
  <c r="J27" i="14" l="1"/>
  <c r="J28" s="1"/>
  <c r="O30" i="63"/>
  <c r="M30"/>
  <c r="L30"/>
  <c r="L31" s="1"/>
  <c r="I18" i="47"/>
  <c r="H18"/>
  <c r="I28" i="14" l="1"/>
  <c r="M31" i="63"/>
  <c r="O31"/>
  <c r="N31"/>
  <c r="N32" s="1"/>
  <c r="H19" i="47"/>
  <c r="I19"/>
  <c r="I29" i="14" l="1"/>
  <c r="J29"/>
  <c r="O32" i="63"/>
  <c r="L32"/>
  <c r="L33" s="1"/>
  <c r="M32"/>
  <c r="I20" i="47"/>
  <c r="H20"/>
  <c r="M451" i="34"/>
  <c r="M33" i="63" l="1"/>
  <c r="I30" i="14"/>
  <c r="I31" s="1"/>
  <c r="J30"/>
  <c r="N33" i="63"/>
  <c r="N34" s="1"/>
  <c r="O33"/>
  <c r="O34" s="1"/>
  <c r="H21" i="47"/>
  <c r="F38" i="43"/>
  <c r="F86" s="1"/>
  <c r="H11"/>
  <c r="H12" s="1"/>
  <c r="H13" s="1"/>
  <c r="H14" s="1"/>
  <c r="H15" s="1"/>
  <c r="H16" s="1"/>
  <c r="H17" s="1"/>
  <c r="H18" s="1"/>
  <c r="H19" s="1"/>
  <c r="H20" s="1"/>
  <c r="H21" s="1"/>
  <c r="H22" s="1"/>
  <c r="H23" s="1"/>
  <c r="H24" s="1"/>
  <c r="H25" s="1"/>
  <c r="H26" s="1"/>
  <c r="H27" s="1"/>
  <c r="H28" s="1"/>
  <c r="H29" s="1"/>
  <c r="H30" s="1"/>
  <c r="H31" s="1"/>
  <c r="H32" s="1"/>
  <c r="H33" s="1"/>
  <c r="H34" s="1"/>
  <c r="H35" s="1"/>
  <c r="H36" s="1"/>
  <c r="H37" s="1"/>
  <c r="U52" i="48"/>
  <c r="I21" i="47"/>
  <c r="I22" s="1"/>
  <c r="F71" i="15" a="1"/>
  <c r="F71" s="1"/>
  <c r="M998" i="34"/>
  <c r="F57" i="15" a="1"/>
  <c r="F57" s="1"/>
  <c r="E57" a="1"/>
  <c r="E57" s="1"/>
  <c r="E15" i="12" l="1" a="1"/>
  <c r="E15" s="1"/>
  <c r="F15" a="1"/>
  <c r="F15" s="1"/>
  <c r="E18" a="1"/>
  <c r="E18" s="1"/>
  <c r="F18" a="1"/>
  <c r="F18" s="1"/>
  <c r="J31" i="14"/>
  <c r="J32" s="1"/>
  <c r="F14" i="12" a="1"/>
  <c r="F14" s="1"/>
  <c r="J21" i="55" a="1"/>
  <c r="J21" s="1"/>
  <c r="H21" a="1"/>
  <c r="H21" s="1"/>
  <c r="E14" i="12" a="1"/>
  <c r="E14" s="1"/>
  <c r="M34" i="63"/>
  <c r="M35" s="1"/>
  <c r="L34"/>
  <c r="L35" s="1"/>
  <c r="D13" i="39"/>
  <c r="J27" i="45" a="1"/>
  <c r="J27" s="1"/>
  <c r="J32" a="1"/>
  <c r="J32" s="1"/>
  <c r="L30" a="1"/>
  <c r="L30" s="1"/>
  <c r="J31" a="1"/>
  <c r="J31" s="1"/>
  <c r="L27" a="1"/>
  <c r="L27" s="1"/>
  <c r="P27" s="1"/>
  <c r="J30" a="1"/>
  <c r="J30" s="1"/>
  <c r="L31" a="1"/>
  <c r="L31" s="1"/>
  <c r="J29" a="1"/>
  <c r="J29" s="1"/>
  <c r="L29" a="1"/>
  <c r="L29" s="1"/>
  <c r="J28" a="1"/>
  <c r="J28" s="1"/>
  <c r="L28" a="1"/>
  <c r="L28" s="1"/>
  <c r="L32" a="1"/>
  <c r="L32" s="1"/>
  <c r="J15" i="62" a="1"/>
  <c r="J15" s="1"/>
  <c r="J14" a="1"/>
  <c r="J14" s="1"/>
  <c r="J13" a="1"/>
  <c r="J13" s="1"/>
  <c r="J12" a="1"/>
  <c r="J12" s="1"/>
  <c r="H15" a="1"/>
  <c r="H15" s="1"/>
  <c r="L15" s="1"/>
  <c r="H14" a="1"/>
  <c r="H14" s="1"/>
  <c r="L14" s="1"/>
  <c r="H13" a="1"/>
  <c r="H13" s="1"/>
  <c r="H12" a="1"/>
  <c r="H12" s="1"/>
  <c r="L12" s="1"/>
  <c r="E41" i="12" a="1"/>
  <c r="E41" s="1"/>
  <c r="E25" a="1"/>
  <c r="E25" s="1"/>
  <c r="F25" a="1"/>
  <c r="F25" s="1"/>
  <c r="U54" i="48"/>
  <c r="U54" i="49" s="1"/>
  <c r="U54" i="50" s="1"/>
  <c r="U54" i="51" s="1"/>
  <c r="U53" i="48"/>
  <c r="T53"/>
  <c r="AV52"/>
  <c r="AV54" s="1"/>
  <c r="AV54" i="49" s="1"/>
  <c r="AV54" i="50" s="1"/>
  <c r="AV54" i="51" s="1"/>
  <c r="AW52" i="48"/>
  <c r="BS52"/>
  <c r="H38" i="43"/>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E30" i="12" a="1"/>
  <c r="E30" s="1"/>
  <c r="J10" i="45" a="1"/>
  <c r="J10" s="1"/>
  <c r="F26" i="12" a="1"/>
  <c r="F26" s="1"/>
  <c r="F41" a="1"/>
  <c r="F41" s="1"/>
  <c r="H30" i="55" a="1"/>
  <c r="H30" s="1"/>
  <c r="E11" i="12" a="1"/>
  <c r="E11" s="1"/>
  <c r="H25" i="55" a="1"/>
  <c r="H25" s="1"/>
  <c r="F6" i="12" a="1"/>
  <c r="F6" s="1"/>
  <c r="L15" i="45" a="1"/>
  <c r="L15" s="1"/>
  <c r="F40" i="12" a="1"/>
  <c r="F40" s="1"/>
  <c r="E38" a="1"/>
  <c r="E38" s="1"/>
  <c r="F32" a="1"/>
  <c r="F32" s="1"/>
  <c r="E16" a="1"/>
  <c r="E16" s="1"/>
  <c r="E40" i="15" a="1"/>
  <c r="E40" s="1"/>
  <c r="F33" i="12" a="1"/>
  <c r="F33" s="1"/>
  <c r="E34" a="1"/>
  <c r="E34" s="1"/>
  <c r="E35" a="1"/>
  <c r="E35" s="1"/>
  <c r="F28" a="1"/>
  <c r="F28" s="1"/>
  <c r="F39" a="1"/>
  <c r="F39" s="1"/>
  <c r="E12" a="1"/>
  <c r="E12" s="1"/>
  <c r="E41" i="15" a="1"/>
  <c r="E41" s="1"/>
  <c r="H9" i="62" a="1"/>
  <c r="H9" s="1"/>
  <c r="H40" i="55" a="1"/>
  <c r="H40" s="1"/>
  <c r="F7" i="12" a="1"/>
  <c r="F7" s="1"/>
  <c r="E49" i="15" a="1"/>
  <c r="E49" s="1"/>
  <c r="L8" i="45" a="1"/>
  <c r="L8" s="1"/>
  <c r="J24" a="1"/>
  <c r="J24" s="1"/>
  <c r="L16" a="1"/>
  <c r="L16" s="1"/>
  <c r="J11" i="62" a="1"/>
  <c r="J11" s="1"/>
  <c r="E51" i="15" a="1"/>
  <c r="E51" s="1"/>
  <c r="E13" a="1"/>
  <c r="E13" s="1"/>
  <c r="H51" i="55" a="1"/>
  <c r="H51" s="1"/>
  <c r="H11" i="62" a="1"/>
  <c r="H11" s="1"/>
  <c r="E15" i="15" a="1"/>
  <c r="E15" s="1"/>
  <c r="H10" i="62" a="1"/>
  <c r="H10" s="1"/>
  <c r="H14" i="55" a="1"/>
  <c r="H14" s="1"/>
  <c r="H35" a="1"/>
  <c r="H35" s="1"/>
  <c r="H54" a="1"/>
  <c r="H54" s="1"/>
  <c r="J8" i="62" a="1"/>
  <c r="J8" s="1"/>
  <c r="E46" i="15" a="1"/>
  <c r="E46" s="1"/>
  <c r="H50" i="55" a="1"/>
  <c r="H50" s="1"/>
  <c r="L10" i="45" a="1"/>
  <c r="L10" s="1"/>
  <c r="L26" a="1"/>
  <c r="L26" s="1"/>
  <c r="E28" i="15" a="1"/>
  <c r="E28" s="1"/>
  <c r="F9" i="12" a="1"/>
  <c r="F9" s="1"/>
  <c r="F34" i="15" a="1"/>
  <c r="F34" s="1"/>
  <c r="E17" i="12" a="1"/>
  <c r="E17" s="1"/>
  <c r="J26" i="45" a="1"/>
  <c r="J26" s="1"/>
  <c r="J19" a="1"/>
  <c r="J19" s="1"/>
  <c r="E71" i="15" a="1"/>
  <c r="E71" s="1"/>
  <c r="I71" s="1"/>
  <c r="E31" i="12" a="1"/>
  <c r="E31" s="1"/>
  <c r="E37" a="1"/>
  <c r="E37" s="1"/>
  <c r="J6" i="45" a="1"/>
  <c r="J6" s="1"/>
  <c r="F48" i="15" a="1"/>
  <c r="F48" s="1"/>
  <c r="E20" i="12" a="1"/>
  <c r="E20" s="1"/>
  <c r="J18" i="45" a="1"/>
  <c r="J18" s="1"/>
  <c r="J25" a="1"/>
  <c r="J25" s="1"/>
  <c r="E36" i="15" a="1"/>
  <c r="E36" s="1"/>
  <c r="E37" s="1"/>
  <c r="J23" i="45" a="1"/>
  <c r="J23" s="1"/>
  <c r="E5" i="12" a="1"/>
  <c r="E5" s="1"/>
  <c r="F59" i="15" a="1"/>
  <c r="F59" s="1"/>
  <c r="J47" i="55" a="1"/>
  <c r="J47" s="1"/>
  <c r="E65" i="15" a="1"/>
  <c r="E65" s="1"/>
  <c r="F46" a="1"/>
  <c r="F46" s="1"/>
  <c r="L19" i="45" a="1"/>
  <c r="L19" s="1"/>
  <c r="E13" i="12" a="1"/>
  <c r="E13" s="1"/>
  <c r="E7" a="1"/>
  <c r="E7" s="1"/>
  <c r="J7" i="45" a="1"/>
  <c r="J7" s="1"/>
  <c r="L11" a="1"/>
  <c r="L11" s="1"/>
  <c r="E59" i="15" a="1"/>
  <c r="E59" s="1"/>
  <c r="J14" i="45" a="1"/>
  <c r="J14" s="1"/>
  <c r="J9" i="62" a="1"/>
  <c r="J9" s="1"/>
  <c r="E33" i="15" a="1"/>
  <c r="E33" s="1"/>
  <c r="F10" a="1"/>
  <c r="F10" s="1"/>
  <c r="F13" a="1"/>
  <c r="F13" s="1"/>
  <c r="E69" a="1"/>
  <c r="E69" s="1"/>
  <c r="E34" a="1"/>
  <c r="E34" s="1"/>
  <c r="E21" i="12" a="1"/>
  <c r="E21" s="1"/>
  <c r="L13" i="45" a="1"/>
  <c r="L13" s="1"/>
  <c r="F20" i="12" a="1"/>
  <c r="F20" s="1"/>
  <c r="E12" i="15" a="1"/>
  <c r="E12" s="1"/>
  <c r="F33" a="1"/>
  <c r="F33" s="1"/>
  <c r="L20" i="45" a="1"/>
  <c r="L20" s="1"/>
  <c r="E22" i="15" a="1"/>
  <c r="E22" s="1"/>
  <c r="E10" a="1"/>
  <c r="E10" s="1"/>
  <c r="E11" s="1"/>
  <c r="H49" i="55" a="1"/>
  <c r="H49" s="1"/>
  <c r="H19" a="1"/>
  <c r="H19" s="1"/>
  <c r="F21" i="12" a="1"/>
  <c r="F21" s="1"/>
  <c r="J31" i="55" a="1"/>
  <c r="J31" s="1"/>
  <c r="H86" i="43"/>
  <c r="H87" s="1"/>
  <c r="F29" i="15" a="1"/>
  <c r="F29" s="1"/>
  <c r="F27" i="12" a="1"/>
  <c r="F27" s="1"/>
  <c r="F30" a="1"/>
  <c r="F30" s="1"/>
  <c r="E6" a="1"/>
  <c r="E6" s="1"/>
  <c r="J21" i="45" a="1"/>
  <c r="J21" s="1"/>
  <c r="F28" i="15" a="1"/>
  <c r="F28" s="1"/>
  <c r="H12" i="55" a="1"/>
  <c r="H12" s="1"/>
  <c r="L25" i="45" a="1"/>
  <c r="L25" s="1"/>
  <c r="H8" i="62" a="1"/>
  <c r="H8" s="1"/>
  <c r="E26" i="15" a="1"/>
  <c r="E26" s="1"/>
  <c r="F24" a="1"/>
  <c r="F24" s="1"/>
  <c r="J9" i="45" a="1"/>
  <c r="J9" s="1"/>
  <c r="F52" i="15" a="1"/>
  <c r="F52" s="1"/>
  <c r="J39" i="55" a="1"/>
  <c r="J39" s="1"/>
  <c r="E22" i="12" a="1"/>
  <c r="E22" s="1"/>
  <c r="H5" i="62" a="1"/>
  <c r="H5" s="1"/>
  <c r="F17" i="12" a="1"/>
  <c r="F17" s="1"/>
  <c r="E4" a="1"/>
  <c r="E4" s="1"/>
  <c r="F56" i="15" a="1"/>
  <c r="F56" s="1"/>
  <c r="F58" s="1"/>
  <c r="L17" i="45" a="1"/>
  <c r="L17" s="1"/>
  <c r="E31" i="15" a="1"/>
  <c r="E31" s="1"/>
  <c r="E32" s="1"/>
  <c r="J13" i="45" a="1"/>
  <c r="J13" s="1"/>
  <c r="F19" i="12" a="1"/>
  <c r="F19" s="1"/>
  <c r="F12" a="1"/>
  <c r="F12" s="1"/>
  <c r="J10" i="62" a="1"/>
  <c r="J10" s="1"/>
  <c r="L24" i="45" a="1"/>
  <c r="L24" s="1"/>
  <c r="E20" i="15" a="1"/>
  <c r="E20" s="1"/>
  <c r="H18" i="55" a="1"/>
  <c r="H18" s="1"/>
  <c r="J5" i="45" a="1"/>
  <c r="J5" s="1"/>
  <c r="J15" a="1"/>
  <c r="J15" s="1"/>
  <c r="J20" a="1"/>
  <c r="J20" s="1"/>
  <c r="E10" i="12" a="1"/>
  <c r="E10" s="1"/>
  <c r="F51" i="15" a="1"/>
  <c r="F51" s="1"/>
  <c r="H51" s="1"/>
  <c r="F24" i="12" a="1"/>
  <c r="F24" s="1"/>
  <c r="J16" i="45" a="1"/>
  <c r="J16" s="1"/>
  <c r="F20" i="15" a="1"/>
  <c r="F20" s="1"/>
  <c r="E48" a="1"/>
  <c r="E48" s="1"/>
  <c r="E27" a="1"/>
  <c r="E27" s="1"/>
  <c r="F41" a="1"/>
  <c r="F41" s="1"/>
  <c r="F42" s="1"/>
  <c r="E27" i="12" a="1"/>
  <c r="E27" s="1"/>
  <c r="F5" a="1"/>
  <c r="F5" s="1"/>
  <c r="H23" i="55" a="1"/>
  <c r="H23" s="1"/>
  <c r="H34" a="1"/>
  <c r="H34" s="1"/>
  <c r="H52" a="1"/>
  <c r="H52" s="1"/>
  <c r="H32" a="1"/>
  <c r="H32" s="1"/>
  <c r="E19" i="12" a="1"/>
  <c r="E19" s="1"/>
  <c r="F27" i="15" a="1"/>
  <c r="F27" s="1"/>
  <c r="J11" i="45" a="1"/>
  <c r="J11" s="1"/>
  <c r="L18" a="1"/>
  <c r="L18" s="1"/>
  <c r="H53" i="55" a="1"/>
  <c r="H53" s="1"/>
  <c r="F31" i="15" a="1"/>
  <c r="F31" s="1"/>
  <c r="H39" i="55" a="1"/>
  <c r="H39" s="1"/>
  <c r="F10" i="12" a="1"/>
  <c r="F10" s="1"/>
  <c r="L14" i="45" a="1"/>
  <c r="L14" s="1"/>
  <c r="H41" i="55" a="1"/>
  <c r="H41" s="1"/>
  <c r="H16" a="1"/>
  <c r="H16" s="1"/>
  <c r="F54" i="15" a="1"/>
  <c r="F54" s="1"/>
  <c r="F55" s="1"/>
  <c r="E21" a="1"/>
  <c r="E21" s="1"/>
  <c r="F23" i="12" a="1"/>
  <c r="F23" s="1"/>
  <c r="F4" a="1"/>
  <c r="F4" s="1"/>
  <c r="F22" i="15" a="1"/>
  <c r="F22" s="1"/>
  <c r="E39" a="1"/>
  <c r="E39" s="1"/>
  <c r="F16" a="1"/>
  <c r="F16" s="1"/>
  <c r="H13" i="55" a="1"/>
  <c r="H13" s="1"/>
  <c r="H6" i="62" a="1"/>
  <c r="H6" s="1"/>
  <c r="F11" i="12" a="1"/>
  <c r="F11" s="1"/>
  <c r="H47" i="55" a="1"/>
  <c r="H47" s="1"/>
  <c r="E25" i="15" a="1"/>
  <c r="E25" s="1"/>
  <c r="F47" a="1"/>
  <c r="F47" s="1"/>
  <c r="H48" i="55" a="1"/>
  <c r="H48" s="1"/>
  <c r="J5" i="62" a="1"/>
  <c r="J5" s="1"/>
  <c r="H28" i="55" a="1"/>
  <c r="H28" s="1"/>
  <c r="J22" i="45" a="1"/>
  <c r="J22" s="1"/>
  <c r="H15" i="55" a="1"/>
  <c r="H15" s="1"/>
  <c r="H26" a="1"/>
  <c r="H26" s="1"/>
  <c r="E16" i="15" a="1"/>
  <c r="E16" s="1"/>
  <c r="E17" s="1"/>
  <c r="E60" a="1"/>
  <c r="E60" s="1"/>
  <c r="F13" i="12" a="1"/>
  <c r="F13" s="1"/>
  <c r="L21" i="45" a="1"/>
  <c r="L21" s="1"/>
  <c r="F16" i="12" a="1"/>
  <c r="F16" s="1"/>
  <c r="F25" i="15" a="1"/>
  <c r="F25" s="1"/>
  <c r="H33" i="55" a="1"/>
  <c r="H33" s="1"/>
  <c r="F18" i="15" a="1"/>
  <c r="F18" s="1"/>
  <c r="F19" s="1"/>
  <c r="F40" a="1"/>
  <c r="F40" s="1"/>
  <c r="F44" a="1"/>
  <c r="F44" s="1"/>
  <c r="F45" s="1"/>
  <c r="F22" i="12" a="1"/>
  <c r="F22" s="1"/>
  <c r="H22" i="47"/>
  <c r="H23" s="1"/>
  <c r="J33" i="55" a="1"/>
  <c r="J33" s="1"/>
  <c r="L22" i="45" a="1"/>
  <c r="L22" s="1"/>
  <c r="E68" i="15" a="1"/>
  <c r="E68" s="1"/>
  <c r="J24" i="55" a="1"/>
  <c r="J24" s="1"/>
  <c r="E29" i="15" a="1"/>
  <c r="E29" s="1"/>
  <c r="L6" i="45" a="1"/>
  <c r="L6" s="1"/>
  <c r="F60" i="15" a="1"/>
  <c r="F60" s="1"/>
  <c r="F38" a="1"/>
  <c r="F38" s="1"/>
  <c r="F21" a="1"/>
  <c r="F21" s="1"/>
  <c r="F15" a="1"/>
  <c r="F15" s="1"/>
  <c r="J49" i="55" a="1"/>
  <c r="J49" s="1"/>
  <c r="H27" a="1"/>
  <c r="H27" s="1"/>
  <c r="L12" i="45" a="1"/>
  <c r="L12" s="1"/>
  <c r="J12" i="55" a="1"/>
  <c r="J12" s="1"/>
  <c r="E8" i="12" a="1"/>
  <c r="E8" s="1"/>
  <c r="F68" i="15" a="1"/>
  <c r="F68" s="1"/>
  <c r="F39" a="1"/>
  <c r="F39" s="1"/>
  <c r="E44" a="1"/>
  <c r="E44" s="1"/>
  <c r="E45" s="1"/>
  <c r="L5" i="45" a="1"/>
  <c r="L5" s="1"/>
  <c r="H31" i="55" a="1"/>
  <c r="H31" s="1"/>
  <c r="E54" i="15" a="1"/>
  <c r="E54" s="1"/>
  <c r="H42" i="55" a="1"/>
  <c r="H42" s="1"/>
  <c r="E47" i="15" a="1"/>
  <c r="E47" s="1"/>
  <c r="F36" a="1"/>
  <c r="F36" s="1"/>
  <c r="J53" i="55" a="1"/>
  <c r="J53" s="1"/>
  <c r="F65" i="15" a="1"/>
  <c r="F65" s="1"/>
  <c r="F26" a="1"/>
  <c r="F26" s="1"/>
  <c r="F63" a="1"/>
  <c r="F63" s="1"/>
  <c r="J51" i="55" a="1"/>
  <c r="J51" s="1"/>
  <c r="F12" i="15" a="1"/>
  <c r="F12" s="1"/>
  <c r="J7" i="62" a="1"/>
  <c r="J7" s="1"/>
  <c r="J52" i="55" a="1"/>
  <c r="J52" s="1"/>
  <c r="J15" a="1"/>
  <c r="J15" s="1"/>
  <c r="J35" a="1"/>
  <c r="J35" s="1"/>
  <c r="J43" a="1"/>
  <c r="J43" s="1"/>
  <c r="F69" i="15" a="1"/>
  <c r="F69" s="1"/>
  <c r="H57"/>
  <c r="J20" i="55" a="1"/>
  <c r="J20" s="1"/>
  <c r="J13" a="1"/>
  <c r="J13" s="1"/>
  <c r="J32" a="1"/>
  <c r="J32" s="1"/>
  <c r="J30" a="1"/>
  <c r="J30" s="1"/>
  <c r="J34" a="1"/>
  <c r="J34" s="1"/>
  <c r="J42" a="1"/>
  <c r="J42" s="1"/>
  <c r="J18" a="1"/>
  <c r="J18" s="1"/>
  <c r="E39" i="12" a="1"/>
  <c r="E39" s="1"/>
  <c r="E33" a="1"/>
  <c r="E33" s="1"/>
  <c r="E40" a="1"/>
  <c r="E40" s="1"/>
  <c r="F34" a="1"/>
  <c r="F34" s="1"/>
  <c r="E52" i="15" a="1"/>
  <c r="E52" s="1"/>
  <c r="E29" i="12" a="1"/>
  <c r="E29" s="1"/>
  <c r="H24" i="55" a="1"/>
  <c r="H24" s="1"/>
  <c r="J50" a="1"/>
  <c r="J50" s="1"/>
  <c r="J14" a="1"/>
  <c r="J14" s="1"/>
  <c r="J41" a="1"/>
  <c r="J41" s="1"/>
  <c r="J28" a="1"/>
  <c r="J28" s="1"/>
  <c r="J6" i="62" a="1"/>
  <c r="J6" s="1"/>
  <c r="H20" i="55" a="1"/>
  <c r="H20" s="1"/>
  <c r="H29" a="1"/>
  <c r="H29" s="1"/>
  <c r="F31" i="12" a="1"/>
  <c r="F31" s="1"/>
  <c r="L7" i="45" a="1"/>
  <c r="L7" s="1"/>
  <c r="J17" a="1"/>
  <c r="J17" s="1"/>
  <c r="F38" i="12" a="1"/>
  <c r="F38" s="1"/>
  <c r="E63" i="15" a="1"/>
  <c r="E63" s="1"/>
  <c r="G57"/>
  <c r="H7" i="62" a="1"/>
  <c r="H7" s="1"/>
  <c r="E36" i="12" a="1"/>
  <c r="E36" s="1"/>
  <c r="E26" a="1"/>
  <c r="E26" s="1"/>
  <c r="E24" a="1"/>
  <c r="E24" s="1"/>
  <c r="E9" a="1"/>
  <c r="E9" s="1"/>
  <c r="F49" i="15" a="1"/>
  <c r="F49" s="1"/>
  <c r="E56" a="1"/>
  <c r="E56" s="1"/>
  <c r="J12" i="45" a="1"/>
  <c r="J12" s="1"/>
  <c r="F37" i="12" a="1"/>
  <c r="F37" s="1"/>
  <c r="J40" i="55" a="1"/>
  <c r="J40" s="1"/>
  <c r="J16" a="1"/>
  <c r="J16" s="1"/>
  <c r="J48" a="1"/>
  <c r="J48" s="1"/>
  <c r="J23" a="1"/>
  <c r="J23" s="1"/>
  <c r="J29" a="1"/>
  <c r="J29" s="1"/>
  <c r="F8" i="12" a="1"/>
  <c r="F8" s="1"/>
  <c r="H22" i="55" a="1"/>
  <c r="H22" s="1"/>
  <c r="F36" i="12" a="1"/>
  <c r="F36" s="1"/>
  <c r="F29" a="1"/>
  <c r="F29" s="1"/>
  <c r="L23" i="45" a="1"/>
  <c r="L23" s="1"/>
  <c r="E28" i="12" a="1"/>
  <c r="E28" s="1"/>
  <c r="E38" i="15" a="1"/>
  <c r="E38" s="1"/>
  <c r="H17" i="55" a="1"/>
  <c r="H17" s="1"/>
  <c r="E18" i="15" a="1"/>
  <c r="E18" s="1"/>
  <c r="J19" i="55" a="1"/>
  <c r="J19" s="1"/>
  <c r="J25" a="1"/>
  <c r="J25" s="1"/>
  <c r="J22" a="1"/>
  <c r="J22" s="1"/>
  <c r="J17" a="1"/>
  <c r="J17" s="1"/>
  <c r="J27" a="1"/>
  <c r="J27" s="1"/>
  <c r="E24" i="15" a="1"/>
  <c r="E24" s="1"/>
  <c r="J26" i="55" a="1"/>
  <c r="J26" s="1"/>
  <c r="J54" a="1"/>
  <c r="J54" s="1"/>
  <c r="J8" i="45" a="1"/>
  <c r="J8" s="1"/>
  <c r="H43" i="55" a="1"/>
  <c r="H43" s="1"/>
  <c r="E23" i="12" a="1"/>
  <c r="E23" s="1"/>
  <c r="E32" a="1"/>
  <c r="E32" s="1"/>
  <c r="G32" s="1"/>
  <c r="F35" a="1"/>
  <c r="F35" s="1"/>
  <c r="L9" i="45" a="1"/>
  <c r="L9" s="1"/>
  <c r="C14" i="39"/>
  <c r="G22" i="12" l="1"/>
  <c r="N24" i="45"/>
  <c r="J46" i="55"/>
  <c r="H46"/>
  <c r="H57"/>
  <c r="H38"/>
  <c r="G24" i="15"/>
  <c r="I70"/>
  <c r="G15" i="12"/>
  <c r="H15"/>
  <c r="G18"/>
  <c r="H18"/>
  <c r="I32" i="14"/>
  <c r="I66" i="15"/>
  <c r="G14" i="12"/>
  <c r="L21" i="55"/>
  <c r="H14" i="12"/>
  <c r="N35" i="63"/>
  <c r="O35"/>
  <c r="G56" i="15"/>
  <c r="G58" s="1"/>
  <c r="I67"/>
  <c r="H38" i="12"/>
  <c r="L25" i="55"/>
  <c r="L12"/>
  <c r="E35" i="15"/>
  <c r="G41" i="12"/>
  <c r="G12" i="15"/>
  <c r="H28"/>
  <c r="G28" i="12"/>
  <c r="G40" i="15"/>
  <c r="N11" i="45"/>
  <c r="H41" i="12"/>
  <c r="H37"/>
  <c r="F61" i="15"/>
  <c r="F62" s="1"/>
  <c r="G46"/>
  <c r="L13" i="62"/>
  <c r="L35" i="55"/>
  <c r="G15" i="15"/>
  <c r="P31" i="45"/>
  <c r="L50" i="55"/>
  <c r="G33" i="12"/>
  <c r="H13"/>
  <c r="P32" i="45"/>
  <c r="G48" i="15"/>
  <c r="N28" i="45"/>
  <c r="N30"/>
  <c r="P29"/>
  <c r="P28"/>
  <c r="P30"/>
  <c r="N32"/>
  <c r="N27"/>
  <c r="N29"/>
  <c r="N31"/>
  <c r="H7" i="12"/>
  <c r="L8" i="62"/>
  <c r="H25" i="12"/>
  <c r="G31" i="15"/>
  <c r="G32" s="1"/>
  <c r="N12" i="62"/>
  <c r="N13"/>
  <c r="N14"/>
  <c r="G27" i="12"/>
  <c r="N15" i="62"/>
  <c r="G25" i="12"/>
  <c r="H19"/>
  <c r="P25" i="45"/>
  <c r="N10"/>
  <c r="P10"/>
  <c r="G30" i="12"/>
  <c r="U10" i="49"/>
  <c r="T10"/>
  <c r="I23" i="47"/>
  <c r="I24" s="1"/>
  <c r="L40" i="55"/>
  <c r="L11" i="62"/>
  <c r="G26" i="12"/>
  <c r="H31"/>
  <c r="H22" i="15"/>
  <c r="N8" i="45"/>
  <c r="G40" i="12"/>
  <c r="H46" i="15"/>
  <c r="L27" i="55"/>
  <c r="H38" i="15"/>
  <c r="L16" i="55"/>
  <c r="L52"/>
  <c r="G17" i="12"/>
  <c r="G11"/>
  <c r="H5"/>
  <c r="H12"/>
  <c r="H40" i="15"/>
  <c r="H30" i="12"/>
  <c r="P7" i="45"/>
  <c r="AV53" i="48"/>
  <c r="L13" i="55"/>
  <c r="N26" i="45"/>
  <c r="H35" i="12"/>
  <c r="G41" i="15"/>
  <c r="G42" s="1"/>
  <c r="P19" i="45"/>
  <c r="G6" i="12"/>
  <c r="P9" i="45"/>
  <c r="G21" i="15"/>
  <c r="H13"/>
  <c r="AW54" i="48"/>
  <c r="AW54" i="49" s="1"/>
  <c r="AW54" i="50" s="1"/>
  <c r="AW54" i="51" s="1"/>
  <c r="AW53" i="48"/>
  <c r="J52"/>
  <c r="J54" s="1"/>
  <c r="J54" i="49" s="1"/>
  <c r="J54" i="50" s="1"/>
  <c r="J54" i="51" s="1"/>
  <c r="CR52" i="48"/>
  <c r="F44" s="1"/>
  <c r="CZ44" s="1"/>
  <c r="H25" i="15"/>
  <c r="H27"/>
  <c r="G20"/>
  <c r="G33"/>
  <c r="I59"/>
  <c r="N20" i="45"/>
  <c r="H20" i="12"/>
  <c r="H34" i="15"/>
  <c r="N8" i="62"/>
  <c r="N15" i="45"/>
  <c r="H21" i="15"/>
  <c r="P20" i="45"/>
  <c r="CP52" i="48"/>
  <c r="F43" s="1"/>
  <c r="N5" i="45"/>
  <c r="G52" i="15"/>
  <c r="BS54" i="48"/>
  <c r="BS54" i="49" s="1"/>
  <c r="BS54" i="50" s="1"/>
  <c r="BS54" i="51" s="1"/>
  <c r="BR53" i="48"/>
  <c r="BS53"/>
  <c r="P23" i="45"/>
  <c r="L30" i="55"/>
  <c r="I64" i="15"/>
  <c r="I65"/>
  <c r="N14" i="45"/>
  <c r="H10" i="12"/>
  <c r="G10" i="15"/>
  <c r="G11" s="1"/>
  <c r="G51"/>
  <c r="F35"/>
  <c r="F53"/>
  <c r="L51" i="55"/>
  <c r="G16" i="12"/>
  <c r="G28" i="15"/>
  <c r="L19" i="55"/>
  <c r="G34" i="15"/>
  <c r="G7" i="12"/>
  <c r="H31" i="15"/>
  <c r="H32" s="1"/>
  <c r="P15" i="45"/>
  <c r="P13"/>
  <c r="N9" i="62"/>
  <c r="H11" i="12"/>
  <c r="P14" i="45"/>
  <c r="P11"/>
  <c r="N10" i="62"/>
  <c r="E14" i="15"/>
  <c r="N16" i="45"/>
  <c r="H6" i="12"/>
  <c r="F11" i="15"/>
  <c r="E23"/>
  <c r="L48" i="55"/>
  <c r="H49" i="15"/>
  <c r="H41"/>
  <c r="H42" s="1"/>
  <c r="E42"/>
  <c r="E43" s="1"/>
  <c r="G5" i="12"/>
  <c r="K52" i="48"/>
  <c r="K54" s="1"/>
  <c r="K54" i="49" s="1"/>
  <c r="K54" i="50" s="1"/>
  <c r="K54" i="51" s="1"/>
  <c r="L49" i="55"/>
  <c r="F23" i="15"/>
  <c r="G9" i="12"/>
  <c r="L10" i="62"/>
  <c r="G13" i="15"/>
  <c r="H10"/>
  <c r="H11" s="1"/>
  <c r="H34" i="12"/>
  <c r="G39"/>
  <c r="L53" i="55"/>
  <c r="P16" i="45"/>
  <c r="G27" i="15"/>
  <c r="G4" i="12"/>
  <c r="N11" i="62"/>
  <c r="G16" i="15"/>
  <c r="G17" s="1"/>
  <c r="L15" i="55"/>
  <c r="H44" i="15"/>
  <c r="H16"/>
  <c r="H17" s="1"/>
  <c r="F32"/>
  <c r="H4" i="12"/>
  <c r="I69" i="15"/>
  <c r="E30"/>
  <c r="H17" i="12"/>
  <c r="F17" i="15"/>
  <c r="N13" i="45"/>
  <c r="G22" i="15"/>
  <c r="N18" i="45"/>
  <c r="L9" i="62"/>
  <c r="G12" i="12"/>
  <c r="G23"/>
  <c r="F30" i="15"/>
  <c r="H27" i="12"/>
  <c r="G24"/>
  <c r="L14" i="55"/>
  <c r="G26" i="15"/>
  <c r="H8" i="12"/>
  <c r="P24" i="45"/>
  <c r="H33" i="15"/>
  <c r="L28" i="55"/>
  <c r="L24"/>
  <c r="G19" i="12"/>
  <c r="CN52" i="48"/>
  <c r="CN54" s="1"/>
  <c r="CN54" i="49" s="1"/>
  <c r="CN54" i="50" s="1"/>
  <c r="CN54" i="51" s="1"/>
  <c r="N12" i="45"/>
  <c r="H16" i="12"/>
  <c r="G44" i="15"/>
  <c r="F43"/>
  <c r="H15"/>
  <c r="H47"/>
  <c r="P26" i="45"/>
  <c r="G25" i="15"/>
  <c r="L20" i="55"/>
  <c r="F14" i="15"/>
  <c r="H12"/>
  <c r="L42" i="55"/>
  <c r="P22" i="45"/>
  <c r="G10" i="12"/>
  <c r="N5" i="62"/>
  <c r="P21" i="45"/>
  <c r="H29" i="15"/>
  <c r="H21" i="12"/>
  <c r="E61" i="15"/>
  <c r="L7" i="62"/>
  <c r="N17" i="45"/>
  <c r="L18" i="55"/>
  <c r="J38"/>
  <c r="P18" i="45"/>
  <c r="N6"/>
  <c r="L43" i="55"/>
  <c r="N6" i="62"/>
  <c r="L32" i="55"/>
  <c r="H20" i="15"/>
  <c r="N25" i="45"/>
  <c r="G54" i="15"/>
  <c r="N22" i="45"/>
  <c r="L47" i="55"/>
  <c r="H45"/>
  <c r="L39"/>
  <c r="G47" i="15"/>
  <c r="E50"/>
  <c r="H54"/>
  <c r="E55"/>
  <c r="G55" s="1"/>
  <c r="L5" i="62"/>
  <c r="H36" i="15"/>
  <c r="L31" i="55"/>
  <c r="I68" i="15"/>
  <c r="L23" i="55"/>
  <c r="H56"/>
  <c r="G57" s="1"/>
  <c r="L34"/>
  <c r="L26"/>
  <c r="L41"/>
  <c r="G39" i="15"/>
  <c r="H39"/>
  <c r="G21" i="12"/>
  <c r="G13"/>
  <c r="N19" i="45"/>
  <c r="G29" i="15"/>
  <c r="G38" i="12"/>
  <c r="I63" i="15"/>
  <c r="N21" i="45"/>
  <c r="G20" i="12"/>
  <c r="H48" i="15"/>
  <c r="L33" i="55"/>
  <c r="H26" i="12"/>
  <c r="H40"/>
  <c r="H45" i="15"/>
  <c r="H22" i="12"/>
  <c r="P6" i="45"/>
  <c r="I60" i="15"/>
  <c r="H36" i="12"/>
  <c r="P5" i="45"/>
  <c r="H29" i="12"/>
  <c r="F50" i="15"/>
  <c r="M52" i="48"/>
  <c r="M54" s="1"/>
  <c r="M54" i="49" s="1"/>
  <c r="M54" i="50" s="1"/>
  <c r="M54" i="51" s="1"/>
  <c r="F37" i="15"/>
  <c r="H37" s="1"/>
  <c r="H56"/>
  <c r="H58" s="1"/>
  <c r="J57" i="55"/>
  <c r="H26" i="15"/>
  <c r="G36"/>
  <c r="N52" i="48"/>
  <c r="N54" s="1"/>
  <c r="N54" i="49" s="1"/>
  <c r="N54" i="50" s="1"/>
  <c r="N54" i="51" s="1"/>
  <c r="R52" i="48"/>
  <c r="S53" s="1"/>
  <c r="Q52"/>
  <c r="P53" s="1"/>
  <c r="L52"/>
  <c r="O52"/>
  <c r="E53" i="15"/>
  <c r="P17" i="45"/>
  <c r="J56" i="55"/>
  <c r="L6" i="62"/>
  <c r="N7" i="45"/>
  <c r="H33" i="12"/>
  <c r="H52" i="15"/>
  <c r="H53" s="1"/>
  <c r="P35" i="45" s="1"/>
  <c r="G34" i="12"/>
  <c r="H39"/>
  <c r="J37" i="55"/>
  <c r="E19" i="15"/>
  <c r="G19" s="1"/>
  <c r="G18"/>
  <c r="H18"/>
  <c r="H32" i="12"/>
  <c r="E42"/>
  <c r="G49" i="15"/>
  <c r="H24"/>
  <c r="N7" i="62"/>
  <c r="P12" i="45"/>
  <c r="P8"/>
  <c r="L17" i="55"/>
  <c r="L29"/>
  <c r="L34" i="45"/>
  <c r="J45" i="55"/>
  <c r="I46" s="1"/>
  <c r="H9" i="12"/>
  <c r="F42"/>
  <c r="G38" i="15"/>
  <c r="H23" i="12"/>
  <c r="H37" i="55"/>
  <c r="G36" i="12"/>
  <c r="G45" i="15"/>
  <c r="E58"/>
  <c r="J34" i="45"/>
  <c r="H28" i="12"/>
  <c r="G8"/>
  <c r="L54" i="55"/>
  <c r="G37" i="12"/>
  <c r="G35"/>
  <c r="L22" i="55"/>
  <c r="H17" i="62"/>
  <c r="N9" i="45"/>
  <c r="N23"/>
  <c r="G29" i="12"/>
  <c r="H24"/>
  <c r="J17" i="62"/>
  <c r="G31" i="12"/>
  <c r="G38" i="55" l="1"/>
  <c r="G46"/>
  <c r="L57"/>
  <c r="L38"/>
  <c r="L46"/>
  <c r="G14" i="15"/>
  <c r="F72"/>
  <c r="I61"/>
  <c r="J34" i="14"/>
  <c r="G53" i="15"/>
  <c r="H30"/>
  <c r="G43"/>
  <c r="U53" i="49"/>
  <c r="U10" i="50" s="1"/>
  <c r="T53" i="49"/>
  <c r="T10" i="50" s="1"/>
  <c r="BR10" i="49"/>
  <c r="AW10"/>
  <c r="P10"/>
  <c r="S10"/>
  <c r="BS10"/>
  <c r="AV10"/>
  <c r="AV53" s="1"/>
  <c r="H24" i="47"/>
  <c r="H25" s="1"/>
  <c r="H14" i="15"/>
  <c r="G30"/>
  <c r="G35"/>
  <c r="I38" i="55"/>
  <c r="H23" i="15"/>
  <c r="G37"/>
  <c r="E62"/>
  <c r="I62" s="1"/>
  <c r="CS44" i="48"/>
  <c r="CS52" s="1"/>
  <c r="CS54" s="1"/>
  <c r="CS54" i="49" s="1"/>
  <c r="CS54" i="50" s="1"/>
  <c r="CS54" i="51" s="1"/>
  <c r="CR54" i="48"/>
  <c r="CR54" i="49" s="1"/>
  <c r="CR54" i="50" s="1"/>
  <c r="CR54" i="51" s="1"/>
  <c r="H35" i="15"/>
  <c r="CP54" i="48"/>
  <c r="CP54" i="49" s="1"/>
  <c r="CP54" i="50" s="1"/>
  <c r="CP54" i="51" s="1"/>
  <c r="H43" i="15"/>
  <c r="F42" i="48"/>
  <c r="CZ42" s="1"/>
  <c r="G50" i="15"/>
  <c r="H55"/>
  <c r="G23"/>
  <c r="L56" i="55"/>
  <c r="K57" s="1"/>
  <c r="H50" i="15"/>
  <c r="K53" i="48"/>
  <c r="J53"/>
  <c r="L17" i="62"/>
  <c r="L53" i="48"/>
  <c r="L45" i="55"/>
  <c r="K46" s="1"/>
  <c r="N17" i="62"/>
  <c r="I57" i="55"/>
  <c r="N53" i="48"/>
  <c r="R53"/>
  <c r="Q54"/>
  <c r="Q54" i="49" s="1"/>
  <c r="Q54" i="50" s="1"/>
  <c r="Q54" i="51" s="1"/>
  <c r="Q53" i="48"/>
  <c r="R54"/>
  <c r="R54" i="49" s="1"/>
  <c r="R54" i="50" s="1"/>
  <c r="R54" i="51" s="1"/>
  <c r="L54" i="48"/>
  <c r="L54" i="49" s="1"/>
  <c r="L54" i="50" s="1"/>
  <c r="L54" i="51" s="1"/>
  <c r="O54" i="48"/>
  <c r="O54" i="49" s="1"/>
  <c r="O54" i="50" s="1"/>
  <c r="O54" i="51" s="1"/>
  <c r="O53" i="48"/>
  <c r="M53"/>
  <c r="CQ43"/>
  <c r="CQ52" s="1"/>
  <c r="CZ43"/>
  <c r="H19" i="15"/>
  <c r="L37" i="55"/>
  <c r="G42" i="12"/>
  <c r="N34" i="45"/>
  <c r="P34"/>
  <c r="P36" s="1"/>
  <c r="H42" i="12"/>
  <c r="K38" i="55" l="1"/>
  <c r="G72" i="15"/>
  <c r="H72"/>
  <c r="E72"/>
  <c r="BS53" i="49"/>
  <c r="BS10" i="50" s="1"/>
  <c r="I34" i="14"/>
  <c r="I35" s="1"/>
  <c r="CZ52" i="48"/>
  <c r="CZ53" s="1"/>
  <c r="CZ10" i="49" s="1"/>
  <c r="U53" i="50"/>
  <c r="U10" i="51" s="1"/>
  <c r="T53" i="50"/>
  <c r="T10" i="51" s="1"/>
  <c r="AW53" i="49"/>
  <c r="AW10" i="50" s="1"/>
  <c r="AV10"/>
  <c r="L10" i="49"/>
  <c r="M10"/>
  <c r="N10"/>
  <c r="J10"/>
  <c r="O10"/>
  <c r="Q10"/>
  <c r="Q53" s="1"/>
  <c r="R10"/>
  <c r="S53" s="1"/>
  <c r="K10"/>
  <c r="BR53"/>
  <c r="I25" i="47"/>
  <c r="I26" s="1"/>
  <c r="CS53" i="48"/>
  <c r="CR53"/>
  <c r="CO42"/>
  <c r="CO52" s="1"/>
  <c r="CO53" s="1"/>
  <c r="CQ53"/>
  <c r="CQ54"/>
  <c r="CQ54" i="49" s="1"/>
  <c r="CQ54" i="50" s="1"/>
  <c r="CQ54" i="51" s="1"/>
  <c r="CP53" i="48"/>
  <c r="CZ54" l="1"/>
  <c r="CZ54" i="49" s="1"/>
  <c r="CZ54" i="50" s="1"/>
  <c r="CZ54" i="51" s="1"/>
  <c r="DA53" i="48"/>
  <c r="DA10" i="49" s="1"/>
  <c r="DA53" s="1"/>
  <c r="J35" i="14"/>
  <c r="J36" s="1"/>
  <c r="O53" i="49"/>
  <c r="O10" i="50" s="1"/>
  <c r="U53" i="51"/>
  <c r="T53"/>
  <c r="H74" i="15"/>
  <c r="N53" i="49"/>
  <c r="N10" i="50" s="1"/>
  <c r="M53" i="49"/>
  <c r="M10" i="50" s="1"/>
  <c r="AV53"/>
  <c r="AV10" i="51" s="1"/>
  <c r="L53" i="49"/>
  <c r="L10" i="50" s="1"/>
  <c r="BR10"/>
  <c r="BS53" s="1"/>
  <c r="BS10" i="51" s="1"/>
  <c r="Q10" i="50"/>
  <c r="S10"/>
  <c r="K53" i="49"/>
  <c r="AW53" i="50"/>
  <c r="AW10" i="51" s="1"/>
  <c r="R53" i="49"/>
  <c r="J53"/>
  <c r="P53"/>
  <c r="CR10"/>
  <c r="CP10"/>
  <c r="CS10"/>
  <c r="CQ10"/>
  <c r="CO10"/>
  <c r="H26" i="47"/>
  <c r="H27" s="1"/>
  <c r="CO54" i="48"/>
  <c r="CO54" i="49" s="1"/>
  <c r="CO54" i="50" s="1"/>
  <c r="CO54" i="51" s="1"/>
  <c r="CN53" i="48"/>
  <c r="I36" i="14" l="1"/>
  <c r="I37" s="1"/>
  <c r="L53" i="50"/>
  <c r="L10" i="51" s="1"/>
  <c r="N53" i="50"/>
  <c r="N10" i="51" s="1"/>
  <c r="CP53" i="49"/>
  <c r="CP10" i="50" s="1"/>
  <c r="O53"/>
  <c r="O10" i="51" s="1"/>
  <c r="CZ53" i="49"/>
  <c r="CZ10" i="50" s="1"/>
  <c r="M53"/>
  <c r="M10" i="51" s="1"/>
  <c r="CS53" i="49"/>
  <c r="CS10" i="50" s="1"/>
  <c r="BR53"/>
  <c r="BR10" i="51" s="1"/>
  <c r="BR53" s="1"/>
  <c r="P10" i="50"/>
  <c r="J10"/>
  <c r="K10"/>
  <c r="R10"/>
  <c r="CQ53" i="49"/>
  <c r="DA10" i="50"/>
  <c r="AV53" i="51"/>
  <c r="AW53"/>
  <c r="CR53" i="49"/>
  <c r="CN10"/>
  <c r="CN53" s="1"/>
  <c r="I27" i="47"/>
  <c r="I28" s="1"/>
  <c r="J37" i="14" l="1"/>
  <c r="J38" s="1"/>
  <c r="L53" i="51"/>
  <c r="O53"/>
  <c r="M53"/>
  <c r="N53"/>
  <c r="BS53"/>
  <c r="DA53" i="50"/>
  <c r="DA10" i="51" s="1"/>
  <c r="K53" i="50"/>
  <c r="K10" i="51" s="1"/>
  <c r="CZ53" i="50"/>
  <c r="CZ10" i="51" s="1"/>
  <c r="CR10" i="50"/>
  <c r="CS53" s="1"/>
  <c r="CS10" i="51" s="1"/>
  <c r="CQ10" i="50"/>
  <c r="CN10"/>
  <c r="S53"/>
  <c r="S10" i="51" s="1"/>
  <c r="R53" i="50"/>
  <c r="R10" i="51" s="1"/>
  <c r="J53" i="50"/>
  <c r="J10" i="51" s="1"/>
  <c r="P53" i="50"/>
  <c r="Q53"/>
  <c r="Q10" i="51" s="1"/>
  <c r="CO53" i="49"/>
  <c r="H28" i="47"/>
  <c r="H29" s="1"/>
  <c r="I38" i="14" l="1"/>
  <c r="CZ53" i="51"/>
  <c r="S53"/>
  <c r="DA53"/>
  <c r="R53"/>
  <c r="P10"/>
  <c r="Q53" s="1"/>
  <c r="J53"/>
  <c r="K53"/>
  <c r="CR53" i="50"/>
  <c r="CR10" i="51" s="1"/>
  <c r="CR53" s="1"/>
  <c r="CQ53" i="50"/>
  <c r="CQ10" i="51" s="1"/>
  <c r="CP53" i="50"/>
  <c r="CP10" i="51" s="1"/>
  <c r="CO10" i="50"/>
  <c r="CN53" s="1"/>
  <c r="CN10" i="51" s="1"/>
  <c r="I29" i="47"/>
  <c r="I30" s="1"/>
  <c r="CP53" i="51" l="1"/>
  <c r="P53"/>
  <c r="CS53"/>
  <c r="CQ53"/>
  <c r="CO53" i="50"/>
  <c r="CO10" i="51" s="1"/>
  <c r="CO53" s="1"/>
  <c r="H30" i="47"/>
  <c r="H31" s="1"/>
  <c r="CN53" i="51" l="1"/>
  <c r="I31" i="47"/>
  <c r="I32" s="1"/>
  <c r="H32" l="1"/>
  <c r="H33" s="1"/>
  <c r="I33" l="1"/>
  <c r="I34" s="1"/>
  <c r="H34" l="1"/>
  <c r="H35" s="1"/>
  <c r="I35" l="1"/>
  <c r="I36" s="1"/>
  <c r="H36" l="1"/>
  <c r="H37" s="1"/>
  <c r="I37" l="1"/>
  <c r="I38" s="1"/>
  <c r="H38" l="1"/>
  <c r="H39" s="1"/>
  <c r="I39" l="1"/>
  <c r="I40" s="1"/>
  <c r="H40" l="1"/>
  <c r="H41" s="1"/>
  <c r="I41" l="1"/>
  <c r="I42" s="1"/>
  <c r="H42" l="1"/>
  <c r="H43" s="1"/>
  <c r="I43" l="1"/>
  <c r="I44" s="1"/>
  <c r="H44" l="1"/>
  <c r="H45" s="1"/>
  <c r="I45" l="1"/>
  <c r="I46" s="1"/>
  <c r="H46" l="1"/>
  <c r="H47" s="1"/>
  <c r="I47" l="1"/>
  <c r="I48" s="1"/>
  <c r="H48" l="1"/>
  <c r="H49" s="1"/>
  <c r="I49" l="1"/>
  <c r="I50" s="1"/>
  <c r="H50" l="1"/>
</calcChain>
</file>

<file path=xl/sharedStrings.xml><?xml version="1.0" encoding="utf-8"?>
<sst xmlns="http://schemas.openxmlformats.org/spreadsheetml/2006/main" count="7638" uniqueCount="1491">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</sst>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45">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14" fontId="34" fillId="25" borderId="16" xfId="90" applyNumberFormat="1" applyFont="1" applyFill="1" applyBorder="1" applyAlignment="1">
      <alignment horizontal="center" vertical="center"/>
    </xf>
    <xf numFmtId="164" fontId="34" fillId="25" borderId="16" xfId="90" applyNumberFormat="1" applyFont="1" applyFill="1" applyBorder="1" applyAlignment="1">
      <alignment horizontal="left" vertical="center"/>
    </xf>
    <xf numFmtId="164" fontId="34" fillId="25" borderId="16" xfId="90" quotePrefix="1" applyNumberFormat="1" applyFont="1" applyFill="1" applyBorder="1" applyAlignment="1">
      <alignment horizontal="left" vertical="center"/>
    </xf>
    <xf numFmtId="49" fontId="34" fillId="25" borderId="16" xfId="90" applyNumberFormat="1" applyFont="1" applyFill="1" applyBorder="1" applyAlignment="1">
      <alignment horizontal="left" vertical="center"/>
    </xf>
    <xf numFmtId="164" fontId="34" fillId="25" borderId="16" xfId="29" applyNumberFormat="1" applyFont="1" applyFill="1" applyBorder="1" applyAlignment="1">
      <alignment horizontal="left" vertical="center"/>
    </xf>
    <xf numFmtId="43" fontId="34" fillId="25" borderId="16" xfId="29" applyFont="1" applyFill="1" applyBorder="1" applyAlignment="1">
      <alignment horizontal="left" vertical="center"/>
    </xf>
    <xf numFmtId="164" fontId="34" fillId="25" borderId="16" xfId="77" applyNumberFormat="1" applyFont="1" applyFill="1" applyBorder="1" applyAlignment="1">
      <alignment vertical="center"/>
    </xf>
    <xf numFmtId="0" fontId="34" fillId="25" borderId="16" xfId="90" quotePrefix="1" applyNumberFormat="1" applyFont="1" applyFill="1" applyBorder="1" applyAlignment="1">
      <alignment horizontal="center" vertical="center"/>
    </xf>
    <xf numFmtId="0" fontId="0" fillId="25" borderId="0" xfId="0" applyFill="1"/>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2"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0" xfId="95" applyFont="1" applyAlignment="1">
      <alignment horizontal="center"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User%201/Downloads/152%20-%20155%20-%201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sheetPr>
    <tabColor rgb="FFFFC000"/>
  </sheetPr>
  <dimension ref="A1:L76"/>
  <sheetViews>
    <sheetView tabSelected="1" topLeftCell="A8" workbookViewId="0">
      <pane xSplit="2" ySplit="2" topLeftCell="C22" activePane="bottomRight" state="frozen"/>
      <selection activeCell="D43" sqref="D43"/>
      <selection pane="topRight" activeCell="D43" sqref="D43"/>
      <selection pane="bottomLeft" activeCell="D43" sqref="D43"/>
      <selection pane="bottomRight" activeCell="C26" sqref="C26:G26"/>
    </sheetView>
  </sheetViews>
  <sheetFormatPr defaultColWidth="8" defaultRowHeight="13.5"/>
  <cols>
    <col min="1" max="1" width="7.42578125" style="33" customWidth="1"/>
    <col min="2" max="2" width="35" style="33" customWidth="1"/>
    <col min="3" max="3" width="14.5703125" style="32" customWidth="1"/>
    <col min="4" max="4" width="12.7109375" style="32" customWidth="1"/>
    <col min="5" max="5" width="15.140625" style="33" customWidth="1"/>
    <col min="6" max="6" width="16.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9.5">
      <c r="A5" s="34" t="s">
        <v>54</v>
      </c>
      <c r="B5" s="34"/>
      <c r="C5" s="35"/>
      <c r="D5" s="35"/>
      <c r="E5" s="34"/>
      <c r="F5" s="34"/>
      <c r="G5" s="34"/>
      <c r="H5" s="34"/>
    </row>
    <row r="6" spans="1:12" ht="19.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16512520000</v>
      </c>
      <c r="F10" s="43">
        <f t="array" ref="F10">SUM(IF(A10=KHC,TH))</f>
        <v>11197247000</v>
      </c>
      <c r="G10" s="44">
        <f>MAX(C10+E10-D10-F10,0)</f>
        <v>9020312095</v>
      </c>
      <c r="H10" s="44">
        <f>MAX(D10+F10-E10-C10,0)</f>
        <v>0</v>
      </c>
      <c r="K10" s="45"/>
      <c r="L10" s="45"/>
    </row>
    <row r="11" spans="1:12" s="32" customFormat="1">
      <c r="A11" s="46" t="s">
        <v>18</v>
      </c>
      <c r="B11" s="47" t="s">
        <v>65</v>
      </c>
      <c r="C11" s="48">
        <v>3705039095</v>
      </c>
      <c r="D11" s="48">
        <v>0</v>
      </c>
      <c r="E11" s="48">
        <f>E10</f>
        <v>16512520000</v>
      </c>
      <c r="F11" s="48">
        <f>F10</f>
        <v>11197247000</v>
      </c>
      <c r="G11" s="48">
        <f>G10</f>
        <v>9020312095</v>
      </c>
      <c r="H11" s="48">
        <f>H10</f>
        <v>0</v>
      </c>
    </row>
    <row r="12" spans="1:12" s="32" customFormat="1">
      <c r="A12" s="49" t="s">
        <v>26</v>
      </c>
      <c r="B12" s="42" t="s">
        <v>66</v>
      </c>
      <c r="C12" s="43">
        <v>19829295</v>
      </c>
      <c r="D12" s="43">
        <v>0</v>
      </c>
      <c r="E12" s="43">
        <f t="array" ref="E12">SUM(IF(A12=KHN,TH))</f>
        <v>26281967798</v>
      </c>
      <c r="F12" s="43">
        <f t="array" ref="F12">SUM(IF(A12=KHC,TH))</f>
        <v>26196261148</v>
      </c>
      <c r="G12" s="44">
        <f>MAX(C12+E12-D12-F12,0)</f>
        <v>105535945</v>
      </c>
      <c r="H12" s="44">
        <f>MAX(D12+F12-E12-C12,0)</f>
        <v>0</v>
      </c>
      <c r="K12" s="45"/>
      <c r="L12" s="45"/>
    </row>
    <row r="13" spans="1:12" s="32" customFormat="1">
      <c r="A13" s="49" t="s">
        <v>267</v>
      </c>
      <c r="B13" s="42" t="s">
        <v>268</v>
      </c>
      <c r="C13" s="43">
        <v>2236796790</v>
      </c>
      <c r="D13" s="43">
        <v>0</v>
      </c>
      <c r="E13" s="43">
        <f t="array" ref="E13">SUM(IF(A13=KHN,TH))</f>
        <v>20792048448.400002</v>
      </c>
      <c r="F13" s="43">
        <f t="array" ref="F13">SUM(IF(A13=KHC,TH))</f>
        <v>23026948712</v>
      </c>
      <c r="G13" s="44">
        <f>MAX(C13+E13-D13-F13,0)</f>
        <v>1896526.4000015259</v>
      </c>
      <c r="H13" s="44">
        <f>MAX(D13+F13-E13-C13,0)</f>
        <v>0</v>
      </c>
      <c r="K13" s="45"/>
      <c r="L13" s="45"/>
    </row>
    <row r="14" spans="1:12" s="32" customFormat="1">
      <c r="A14" s="46" t="s">
        <v>67</v>
      </c>
      <c r="B14" s="47" t="s">
        <v>68</v>
      </c>
      <c r="C14" s="48">
        <v>2256626085</v>
      </c>
      <c r="D14" s="48">
        <v>0</v>
      </c>
      <c r="E14" s="48">
        <f>E12+E13</f>
        <v>47074016246.400002</v>
      </c>
      <c r="F14" s="48">
        <f>F12+F13</f>
        <v>49223209860</v>
      </c>
      <c r="G14" s="48">
        <f>G12+G13</f>
        <v>107432471.40000153</v>
      </c>
      <c r="H14" s="48">
        <f>H12+H13</f>
        <v>0</v>
      </c>
    </row>
    <row r="15" spans="1:12" s="32" customFormat="1">
      <c r="A15" s="46" t="s">
        <v>591</v>
      </c>
      <c r="B15" s="47" t="s">
        <v>877</v>
      </c>
      <c r="C15" s="48">
        <v>3343381600</v>
      </c>
      <c r="D15" s="48">
        <v>0</v>
      </c>
      <c r="E15" s="87">
        <f t="array" ref="E15">SUM(IF(A15=KHN,TH))</f>
        <v>9057259500</v>
      </c>
      <c r="F15" s="87">
        <f t="array" ref="F15">SUM(IF(A15=KHC,TH))</f>
        <v>9180361334</v>
      </c>
      <c r="G15" s="48">
        <f>MAX(C15+E15-D15-F15,0)</f>
        <v>3220279766</v>
      </c>
      <c r="H15" s="48">
        <f>MAX(D15+F15-E15-C15,0)</f>
        <v>0</v>
      </c>
    </row>
    <row r="16" spans="1:12" s="32" customFormat="1">
      <c r="A16" s="49" t="s">
        <v>9</v>
      </c>
      <c r="B16" s="42" t="s">
        <v>69</v>
      </c>
      <c r="C16" s="43">
        <v>162420936</v>
      </c>
      <c r="D16" s="43">
        <v>0</v>
      </c>
      <c r="E16" s="43">
        <f t="array" ref="E16">SUM(IF(A16=KHN,TH))</f>
        <v>138001727</v>
      </c>
      <c r="F16" s="43">
        <f t="array" ref="F16">SUM(IF(A16=KHC,TH))</f>
        <v>0</v>
      </c>
      <c r="G16" s="44">
        <f>MAX(C16+E16-D16-F16,0)</f>
        <v>300422663</v>
      </c>
      <c r="H16" s="44">
        <f>MAX(D16+F16-E16-C16,0)</f>
        <v>0</v>
      </c>
    </row>
    <row r="17" spans="1:8" s="32" customFormat="1">
      <c r="A17" s="46" t="s">
        <v>70</v>
      </c>
      <c r="B17" s="47" t="s">
        <v>71</v>
      </c>
      <c r="C17" s="48">
        <v>162420936</v>
      </c>
      <c r="D17" s="48">
        <v>0</v>
      </c>
      <c r="E17" s="48">
        <f>E16</f>
        <v>138001727</v>
      </c>
      <c r="F17" s="48">
        <f>F16</f>
        <v>0</v>
      </c>
      <c r="G17" s="48">
        <f>G16</f>
        <v>300422663</v>
      </c>
      <c r="H17" s="48">
        <f>H16</f>
        <v>0</v>
      </c>
    </row>
    <row r="18" spans="1:8" s="32" customFormat="1">
      <c r="A18" s="49" t="s">
        <v>72</v>
      </c>
      <c r="B18" s="42" t="s">
        <v>73</v>
      </c>
      <c r="C18" s="43">
        <v>1500000000</v>
      </c>
      <c r="D18" s="43">
        <v>0</v>
      </c>
      <c r="E18" s="43">
        <f t="array" ref="E18">SUM(IF(A18=KHN,TH))</f>
        <v>45000000</v>
      </c>
      <c r="F18" s="43">
        <f t="array" ref="F18">SUM(IF(A18=KHC,TH))</f>
        <v>160000000</v>
      </c>
      <c r="G18" s="44">
        <f t="shared" ref="G18:G41" si="0">MAX(C18+E18-D18-F18,0)</f>
        <v>1385000000</v>
      </c>
      <c r="H18" s="44">
        <f t="shared" ref="H18:H41" si="1">MAX(D18+F18-E18-C18,0)</f>
        <v>0</v>
      </c>
    </row>
    <row r="19" spans="1:8" s="32" customFormat="1">
      <c r="A19" s="46" t="s">
        <v>74</v>
      </c>
      <c r="B19" s="47" t="s">
        <v>75</v>
      </c>
      <c r="C19" s="48">
        <v>1500000000</v>
      </c>
      <c r="D19" s="48">
        <v>0</v>
      </c>
      <c r="E19" s="48">
        <f>E18</f>
        <v>45000000</v>
      </c>
      <c r="F19" s="48">
        <f>F18</f>
        <v>160000000</v>
      </c>
      <c r="G19" s="48">
        <f t="shared" si="0"/>
        <v>1385000000</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6429000000</v>
      </c>
      <c r="G21" s="44">
        <f t="shared" si="0"/>
        <v>0</v>
      </c>
      <c r="H21" s="44">
        <f t="shared" si="1"/>
        <v>0</v>
      </c>
    </row>
    <row r="22" spans="1:8" s="32" customFormat="1">
      <c r="A22" s="49" t="s">
        <v>277</v>
      </c>
      <c r="B22" s="42" t="s">
        <v>278</v>
      </c>
      <c r="C22" s="43">
        <v>526519887</v>
      </c>
      <c r="D22" s="43">
        <v>0</v>
      </c>
      <c r="E22" s="43">
        <f t="array" ref="E22">SUM(IF(A22=KHN,TH))</f>
        <v>496536378</v>
      </c>
      <c r="F22" s="43">
        <f t="array" ref="F22">SUM(IF(A22=KHC,TH))</f>
        <v>228252002</v>
      </c>
      <c r="G22" s="43">
        <f t="shared" si="0"/>
        <v>794804263</v>
      </c>
      <c r="H22" s="43">
        <f t="shared" si="1"/>
        <v>0</v>
      </c>
    </row>
    <row r="23" spans="1:8" s="32" customFormat="1">
      <c r="A23" s="46" t="s">
        <v>279</v>
      </c>
      <c r="B23" s="47" t="s">
        <v>280</v>
      </c>
      <c r="C23" s="48">
        <f>C21+C22</f>
        <v>3298919887</v>
      </c>
      <c r="D23" s="48">
        <f>D21+D22</f>
        <v>0</v>
      </c>
      <c r="E23" s="48">
        <f>E21+E22</f>
        <v>4153136378</v>
      </c>
      <c r="F23" s="48">
        <f>F21+F22</f>
        <v>6657252002</v>
      </c>
      <c r="G23" s="48">
        <f t="shared" si="0"/>
        <v>794804263</v>
      </c>
      <c r="H23" s="48">
        <f t="shared" si="1"/>
        <v>0</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10050391171.292435</v>
      </c>
      <c r="F25" s="87">
        <f t="array" ref="F25">SUM(IF(A25=KHC,TH))</f>
        <v>10479552225</v>
      </c>
      <c r="G25" s="48">
        <f t="shared" si="0"/>
        <v>0</v>
      </c>
      <c r="H25" s="48">
        <f t="shared" si="1"/>
        <v>429161053.70756531</v>
      </c>
    </row>
    <row r="26" spans="1:8" s="32" customFormat="1">
      <c r="A26" s="46" t="s">
        <v>285</v>
      </c>
      <c r="B26" s="47" t="s">
        <v>286</v>
      </c>
      <c r="C26" s="48">
        <v>9386323824</v>
      </c>
      <c r="D26" s="48">
        <v>0</v>
      </c>
      <c r="E26" s="87">
        <f t="array" ref="E26">SUM(IF(A26=KHN,TH))</f>
        <v>10479552225</v>
      </c>
      <c r="F26" s="87">
        <f t="array" ref="F26">SUM(IF(A26=KHC,TH))</f>
        <v>10479552225.292435</v>
      </c>
      <c r="G26" s="48">
        <f t="shared" si="0"/>
        <v>9386323823.7075653</v>
      </c>
      <c r="H26" s="48">
        <f t="shared" si="1"/>
        <v>0</v>
      </c>
    </row>
    <row r="27" spans="1:8" s="32" customFormat="1">
      <c r="A27" s="460" t="s">
        <v>287</v>
      </c>
      <c r="B27" s="461" t="s">
        <v>288</v>
      </c>
      <c r="C27" s="462">
        <v>7490743648</v>
      </c>
      <c r="D27" s="462">
        <v>0</v>
      </c>
      <c r="E27" s="43">
        <f t="array" ref="E27">SUM(IF(A27=KHN,TH))</f>
        <v>0</v>
      </c>
      <c r="F27" s="43">
        <f t="array" ref="F27">SUM(IF(A27=KHC,TH))</f>
        <v>0</v>
      </c>
      <c r="G27" s="462">
        <f t="shared" si="0"/>
        <v>7490743648</v>
      </c>
      <c r="H27" s="462">
        <f t="shared" si="1"/>
        <v>0</v>
      </c>
    </row>
    <row r="28" spans="1:8" s="32" customFormat="1">
      <c r="A28" s="463" t="s">
        <v>289</v>
      </c>
      <c r="B28" s="464" t="s">
        <v>290</v>
      </c>
      <c r="C28" s="465">
        <v>3807898863</v>
      </c>
      <c r="D28" s="465">
        <v>0</v>
      </c>
      <c r="E28" s="43">
        <f t="array" ref="E28">SUM(IF(A28=KHN,TH))</f>
        <v>0</v>
      </c>
      <c r="F28" s="43">
        <f t="array" ref="F28">SUM(IF(A28=KHC,TH))</f>
        <v>0</v>
      </c>
      <c r="G28" s="465">
        <f t="shared" si="0"/>
        <v>3807898863</v>
      </c>
      <c r="H28" s="465">
        <f t="shared" si="1"/>
        <v>0</v>
      </c>
    </row>
    <row r="29" spans="1:8" s="32" customFormat="1">
      <c r="A29" s="463" t="s">
        <v>291</v>
      </c>
      <c r="B29" s="464" t="s">
        <v>292</v>
      </c>
      <c r="C29" s="465">
        <v>3790918485</v>
      </c>
      <c r="D29" s="465">
        <v>0</v>
      </c>
      <c r="E29" s="43">
        <f t="array" ref="E29">SUM(IF(A29=KHN,TH))</f>
        <v>0</v>
      </c>
      <c r="F29" s="43">
        <f t="array" ref="F29">SUM(IF(A29=KHC,TH))</f>
        <v>0</v>
      </c>
      <c r="G29" s="465">
        <f t="shared" si="0"/>
        <v>3790918485</v>
      </c>
      <c r="H29" s="465">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3" t="s">
        <v>869</v>
      </c>
      <c r="B31" s="464" t="s">
        <v>870</v>
      </c>
      <c r="C31" s="465">
        <v>5405781300</v>
      </c>
      <c r="D31" s="465">
        <v>0</v>
      </c>
      <c r="E31" s="43">
        <f t="array" ref="E31">SUM(IF(A31=KHN,TH))</f>
        <v>0</v>
      </c>
      <c r="F31" s="43">
        <f t="array" ref="F31">SUM(IF(A31=KHC,TH))</f>
        <v>0</v>
      </c>
      <c r="G31" s="465">
        <f>MAX(C31+E31-D31-F31,0)</f>
        <v>5405781300</v>
      </c>
      <c r="H31" s="465">
        <f>MAX(D31+F31-E31-C31,0)</f>
        <v>0</v>
      </c>
    </row>
    <row r="32" spans="1:8" s="32" customFormat="1">
      <c r="A32" s="50" t="s">
        <v>871</v>
      </c>
      <c r="B32" s="47" t="s">
        <v>872</v>
      </c>
      <c r="C32" s="48">
        <f t="shared" ref="C32:H32" si="2">C31</f>
        <v>5405781300</v>
      </c>
      <c r="D32" s="48">
        <f t="shared" si="2"/>
        <v>0</v>
      </c>
      <c r="E32" s="48">
        <f t="shared" si="2"/>
        <v>0</v>
      </c>
      <c r="F32" s="48">
        <f t="shared" si="2"/>
        <v>0</v>
      </c>
      <c r="G32" s="48">
        <f t="shared" si="2"/>
        <v>5405781300</v>
      </c>
      <c r="H32" s="48">
        <f t="shared" si="2"/>
        <v>0</v>
      </c>
    </row>
    <row r="33" spans="1:8" s="32" customFormat="1">
      <c r="A33" s="49" t="s">
        <v>593</v>
      </c>
      <c r="B33" s="42" t="s">
        <v>873</v>
      </c>
      <c r="C33" s="43">
        <v>0</v>
      </c>
      <c r="D33" s="43">
        <v>9132359256</v>
      </c>
      <c r="E33" s="43">
        <f t="array" ref="E33">SUM(IF(A33=KHN,TH))</f>
        <v>0</v>
      </c>
      <c r="F33" s="43">
        <f t="array" ref="F33">SUM(IF(A33=KHC,TH))</f>
        <v>203197212</v>
      </c>
      <c r="G33" s="43">
        <f>MAX(C33+E33-D33-F33,0)</f>
        <v>0</v>
      </c>
      <c r="H33" s="43">
        <f>MAX(D33+F33-E33-C33,0)</f>
        <v>9335556468</v>
      </c>
    </row>
    <row r="34" spans="1:8" s="32" customFormat="1">
      <c r="A34" s="41" t="s">
        <v>592</v>
      </c>
      <c r="B34" s="42" t="s">
        <v>874</v>
      </c>
      <c r="C34" s="43">
        <v>0</v>
      </c>
      <c r="D34" s="43">
        <v>600642360</v>
      </c>
      <c r="E34" s="43">
        <f t="array" ref="E34">SUM(IF(A34=KHN,TH))</f>
        <v>0</v>
      </c>
      <c r="F34" s="43">
        <f t="array" ref="F34">SUM(IF(A34=KHC,TH))</f>
        <v>40042824</v>
      </c>
      <c r="G34" s="43">
        <f>MAX(C34+E34-D34-F34,0)</f>
        <v>0</v>
      </c>
      <c r="H34" s="43">
        <f>MAX(D34+F34-E34-C34,0)</f>
        <v>640685184</v>
      </c>
    </row>
    <row r="35" spans="1:8" s="32" customFormat="1" ht="12.75" customHeight="1">
      <c r="A35" s="46" t="s">
        <v>875</v>
      </c>
      <c r="B35" s="47" t="s">
        <v>876</v>
      </c>
      <c r="C35" s="48">
        <f t="shared" ref="C35:H35" si="3">C33+C34</f>
        <v>0</v>
      </c>
      <c r="D35" s="48">
        <f t="shared" si="3"/>
        <v>9733001616</v>
      </c>
      <c r="E35" s="48">
        <f t="shared" si="3"/>
        <v>0</v>
      </c>
      <c r="F35" s="48">
        <f t="shared" si="3"/>
        <v>243240036</v>
      </c>
      <c r="G35" s="48">
        <f t="shared" si="3"/>
        <v>0</v>
      </c>
      <c r="H35" s="48">
        <f t="shared" si="3"/>
        <v>9976241652</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4563525095</v>
      </c>
      <c r="F38" s="87">
        <f t="array" ref="F38">SUM(IF(A38=KHC,TH))</f>
        <v>4827250039</v>
      </c>
      <c r="G38" s="48">
        <f t="shared" si="0"/>
        <v>0</v>
      </c>
      <c r="H38" s="48">
        <f t="shared" si="1"/>
        <v>740678196</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866</v>
      </c>
      <c r="B40" s="42" t="s">
        <v>867</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595</v>
      </c>
      <c r="B44" s="42" t="s">
        <v>863</v>
      </c>
      <c r="C44" s="43">
        <v>0</v>
      </c>
      <c r="D44" s="43">
        <v>0</v>
      </c>
      <c r="E44" s="43">
        <f t="array" ref="E44">SUM(IF(A44=KHN,TH))</f>
        <v>597676540</v>
      </c>
      <c r="F44" s="43">
        <f t="array" ref="F44">SUM(IF(A44=KHC,TH))</f>
        <v>597676540</v>
      </c>
      <c r="G44" s="43">
        <f t="shared" ref="G44:G49" si="5">MAX(C44+E44-D44-F44,0)</f>
        <v>0</v>
      </c>
      <c r="H44" s="43">
        <f t="shared" ref="H44:H49" si="6">MAX(D44+F44-E44-C44,0)</f>
        <v>0</v>
      </c>
    </row>
    <row r="45" spans="1:8" s="32" customFormat="1">
      <c r="A45" s="46" t="s">
        <v>864</v>
      </c>
      <c r="B45" s="47" t="s">
        <v>865</v>
      </c>
      <c r="C45" s="48">
        <v>0</v>
      </c>
      <c r="D45" s="48">
        <v>0</v>
      </c>
      <c r="E45" s="48">
        <f>E44</f>
        <v>597676540</v>
      </c>
      <c r="F45" s="48">
        <f>F44</f>
        <v>597676540</v>
      </c>
      <c r="G45" s="48">
        <f t="shared" si="5"/>
        <v>0</v>
      </c>
      <c r="H45" s="48">
        <f t="shared" si="6"/>
        <v>0</v>
      </c>
    </row>
    <row r="46" spans="1:8" s="32" customFormat="1" ht="12.75" customHeight="1">
      <c r="A46" s="41" t="s">
        <v>596</v>
      </c>
      <c r="B46" s="42" t="s">
        <v>860</v>
      </c>
      <c r="C46" s="43">
        <v>0</v>
      </c>
      <c r="D46" s="43">
        <v>40272309</v>
      </c>
      <c r="E46" s="43">
        <f t="array" ref="E46">SUM(IF(A46=KHN,TH))</f>
        <v>72666115</v>
      </c>
      <c r="F46" s="43">
        <f t="array" ref="F46">SUM(IF(A46=KHC,TH))</f>
        <v>172384820</v>
      </c>
      <c r="G46" s="43">
        <f t="shared" si="5"/>
        <v>0</v>
      </c>
      <c r="H46" s="43">
        <f t="shared" si="6"/>
        <v>139991014</v>
      </c>
    </row>
    <row r="47" spans="1:8" s="32" customFormat="1">
      <c r="A47" s="49" t="s">
        <v>597</v>
      </c>
      <c r="B47" s="42" t="s">
        <v>861</v>
      </c>
      <c r="C47" s="43">
        <v>0</v>
      </c>
      <c r="D47" s="43">
        <v>6403142</v>
      </c>
      <c r="E47" s="43">
        <f t="array" ref="E47">SUM(IF(A47=KHN,TH))</f>
        <v>19101465</v>
      </c>
      <c r="F47" s="43">
        <f t="array" ref="F47">SUM(IF(A47=KHC,TH))</f>
        <v>26381565</v>
      </c>
      <c r="G47" s="43">
        <f t="shared" si="5"/>
        <v>0</v>
      </c>
      <c r="H47" s="43">
        <f t="shared" si="6"/>
        <v>13683242</v>
      </c>
    </row>
    <row r="48" spans="1:8" s="32" customFormat="1">
      <c r="A48" s="41" t="s">
        <v>598</v>
      </c>
      <c r="B48" s="42" t="s">
        <v>862</v>
      </c>
      <c r="C48" s="43">
        <v>0</v>
      </c>
      <c r="D48" s="43">
        <v>2761373</v>
      </c>
      <c r="E48" s="43">
        <f t="array" ref="E48">SUM(IF(A48=KHN,TH))</f>
        <v>8232420</v>
      </c>
      <c r="F48" s="43">
        <f t="array" ref="F48">SUM(IF(A48=KHC,TH))</f>
        <v>11725140</v>
      </c>
      <c r="G48" s="43">
        <f t="shared" si="5"/>
        <v>0</v>
      </c>
      <c r="H48" s="43">
        <f t="shared" si="6"/>
        <v>6254093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271121001</v>
      </c>
      <c r="G50" s="48">
        <f t="shared" si="7"/>
        <v>0</v>
      </c>
      <c r="H50" s="48">
        <f t="shared" si="7"/>
        <v>159928349</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8811867000</v>
      </c>
      <c r="F53" s="48">
        <f t="shared" si="8"/>
        <v>8839964000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SUM(IF(A57=TH!$N$10:$N$987,TH!$M$10:$M$987))</f>
        <v>217473894.5999999</v>
      </c>
      <c r="F57" s="43">
        <f t="array" ref="F57">SUM(IF(A57=TH!$O$10:$O$987,TH!$M$10:$M$987))</f>
        <v>0</v>
      </c>
      <c r="G57" s="43">
        <f>MAX(C57+E57-D57-F57,0)</f>
        <v>187313010.59999943</v>
      </c>
      <c r="H57" s="43">
        <f>MAX(D57+F57-E57-C57,0)</f>
        <v>0</v>
      </c>
    </row>
    <row r="58" spans="1:9" s="32" customFormat="1">
      <c r="A58" s="46" t="s">
        <v>96</v>
      </c>
      <c r="B58" s="47" t="s">
        <v>97</v>
      </c>
      <c r="C58" s="48"/>
      <c r="D58" s="48">
        <v>516696021.00000048</v>
      </c>
      <c r="E58" s="48">
        <f>E57+E56</f>
        <v>219993894.5999999</v>
      </c>
      <c r="F58" s="48">
        <f>F57+F56</f>
        <v>43230883.000000477</v>
      </c>
      <c r="G58" s="48">
        <f>G57+G56</f>
        <v>187313010.59999943</v>
      </c>
      <c r="H58" s="48">
        <f>H57+H56</f>
        <v>527246020.00000048</v>
      </c>
    </row>
    <row r="59" spans="1:9" s="32" customFormat="1" ht="12.75" customHeight="1">
      <c r="A59" s="466" t="s">
        <v>297</v>
      </c>
      <c r="B59" s="467" t="s">
        <v>298</v>
      </c>
      <c r="C59" s="468"/>
      <c r="D59" s="468"/>
      <c r="E59" s="469">
        <f t="array" ref="E59">SUM(IF(A59=KHN,TH))</f>
        <v>0</v>
      </c>
      <c r="F59" s="469">
        <f t="array" ref="F59">SUM(IF(A59=KHC,TH))</f>
        <v>0</v>
      </c>
      <c r="G59" s="468"/>
      <c r="H59" s="468"/>
      <c r="I59" s="32">
        <f>E59-F59</f>
        <v>0</v>
      </c>
    </row>
    <row r="60" spans="1:9" s="32" customFormat="1">
      <c r="A60" s="466" t="s">
        <v>299</v>
      </c>
      <c r="B60" s="467" t="s">
        <v>300</v>
      </c>
      <c r="C60" s="468"/>
      <c r="D60" s="468"/>
      <c r="E60" s="469">
        <f t="array" ref="E60">SUM(IF(A60=KHN,TH))</f>
        <v>9048264225</v>
      </c>
      <c r="F60" s="469">
        <f t="array" ref="F60">SUM(IF(A60=KHC,TH))</f>
        <v>9048264225</v>
      </c>
      <c r="G60" s="468"/>
      <c r="H60" s="468"/>
      <c r="I60" s="32">
        <f>E60-F60</f>
        <v>0</v>
      </c>
    </row>
    <row r="61" spans="1:9" s="32" customFormat="1">
      <c r="A61" s="41" t="s">
        <v>301</v>
      </c>
      <c r="B61" s="42" t="s">
        <v>302</v>
      </c>
      <c r="C61" s="43"/>
      <c r="D61" s="43"/>
      <c r="E61" s="43">
        <f>E59+E60</f>
        <v>9048264225</v>
      </c>
      <c r="F61" s="43">
        <f>F59+F60</f>
        <v>9048264225</v>
      </c>
      <c r="G61" s="43"/>
      <c r="H61" s="43"/>
      <c r="I61" s="32">
        <f>E61-F61</f>
        <v>0</v>
      </c>
    </row>
    <row r="62" spans="1:9" s="32" customFormat="1">
      <c r="A62" s="46" t="s">
        <v>303</v>
      </c>
      <c r="B62" s="47" t="s">
        <v>304</v>
      </c>
      <c r="C62" s="48"/>
      <c r="D62" s="48"/>
      <c r="E62" s="48">
        <f>E61</f>
        <v>9048264225</v>
      </c>
      <c r="F62" s="48">
        <f>F61</f>
        <v>9048264225</v>
      </c>
      <c r="G62" s="48"/>
      <c r="H62" s="48"/>
      <c r="I62" s="32">
        <f>E62-F62</f>
        <v>0</v>
      </c>
    </row>
    <row r="63" spans="1:9" s="32" customFormat="1">
      <c r="A63" s="46" t="s">
        <v>43</v>
      </c>
      <c r="B63" s="47" t="s">
        <v>98</v>
      </c>
      <c r="C63" s="48"/>
      <c r="D63" s="48"/>
      <c r="E63" s="87">
        <f t="array" ref="E63">SUM(IF(A63=KHN,TH))</f>
        <v>53615283.400000855</v>
      </c>
      <c r="F63" s="87">
        <f t="array" ref="F63">SUM(IF(A63=KHC,TH))</f>
        <v>53615283.400000855</v>
      </c>
      <c r="G63" s="48"/>
      <c r="H63" s="48"/>
      <c r="I63" s="32">
        <f t="shared" ref="I63:I71" si="9">E63-F63</f>
        <v>0</v>
      </c>
    </row>
    <row r="64" spans="1:9" s="32" customFormat="1" ht="12.75" customHeight="1">
      <c r="A64" s="46" t="s">
        <v>295</v>
      </c>
      <c r="B64" s="47" t="s">
        <v>296</v>
      </c>
      <c r="C64" s="48"/>
      <c r="D64" s="48"/>
      <c r="E64" s="87">
        <f>8153327558-200000000</f>
        <v>7953327558</v>
      </c>
      <c r="F64" s="87">
        <f>8153327558-200000000</f>
        <v>7953327558</v>
      </c>
      <c r="G64" s="48"/>
      <c r="H64" s="48"/>
      <c r="I64" s="32">
        <f t="shared" si="9"/>
        <v>0</v>
      </c>
    </row>
    <row r="65" spans="1:9" s="32" customFormat="1" ht="12.75" customHeight="1">
      <c r="A65" s="46" t="s">
        <v>99</v>
      </c>
      <c r="B65" s="47" t="s">
        <v>100</v>
      </c>
      <c r="C65" s="48"/>
      <c r="D65" s="48"/>
      <c r="E65" s="87">
        <f t="array" ref="E65">SUM(IF(A65=KHN,TH))</f>
        <v>433800522</v>
      </c>
      <c r="F65" s="87">
        <f t="array" ref="F65">SUM(IF(A65=KHC,TH))</f>
        <v>433800522</v>
      </c>
      <c r="G65" s="48"/>
      <c r="H65" s="48"/>
      <c r="I65" s="32">
        <f t="shared" si="9"/>
        <v>0</v>
      </c>
    </row>
    <row r="66" spans="1:9" s="32" customFormat="1" ht="12.75" customHeight="1">
      <c r="A66" s="50" t="s">
        <v>594</v>
      </c>
      <c r="B66" s="47" t="s">
        <v>1372</v>
      </c>
      <c r="C66" s="48"/>
      <c r="D66" s="48"/>
      <c r="E66" s="87">
        <f>321667205-50000000</f>
        <v>271667205</v>
      </c>
      <c r="F66" s="87">
        <f>321667205-50000000</f>
        <v>271667205</v>
      </c>
      <c r="G66" s="48"/>
      <c r="H66" s="48"/>
      <c r="I66" s="32">
        <f>E66-F66</f>
        <v>0</v>
      </c>
    </row>
    <row r="67" spans="1:9" s="32" customFormat="1" ht="12.75" customHeight="1">
      <c r="A67" s="46" t="s">
        <v>101</v>
      </c>
      <c r="B67" s="47" t="s">
        <v>102</v>
      </c>
      <c r="C67" s="48"/>
      <c r="D67" s="48"/>
      <c r="E67" s="87">
        <f>379956130-90000000</f>
        <v>289956130</v>
      </c>
      <c r="F67" s="87">
        <f>379956130-90000000</f>
        <v>289956130</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v>23035380</v>
      </c>
      <c r="F70" s="87">
        <v>23035380</v>
      </c>
      <c r="G70" s="48"/>
      <c r="H70" s="48"/>
      <c r="I70" s="32">
        <f t="shared" si="9"/>
        <v>0</v>
      </c>
    </row>
    <row r="71" spans="1:9" s="32" customFormat="1">
      <c r="A71" s="46" t="s">
        <v>109</v>
      </c>
      <c r="B71" s="47" t="s">
        <v>110</v>
      </c>
      <c r="C71" s="48"/>
      <c r="D71" s="48"/>
      <c r="E71" s="88">
        <f t="array" ref="E71">SUM(IF(A71=KHN,TH))</f>
        <v>9289192519</v>
      </c>
      <c r="F71" s="88">
        <f t="array" ref="F71">SUM(IF(A71=TH!$O$10:$O$987,TH!$M$10:$M$987))</f>
        <v>9289192519</v>
      </c>
      <c r="G71" s="48"/>
      <c r="H71" s="48"/>
      <c r="I71" s="32">
        <f t="shared" si="9"/>
        <v>0</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143221557071.69244</v>
      </c>
      <c r="F72" s="54">
        <f t="shared" si="10"/>
        <v>143221557071.69244</v>
      </c>
      <c r="G72" s="54">
        <f t="shared" si="10"/>
        <v>45233394649.707565</v>
      </c>
      <c r="H72" s="54">
        <f t="shared" si="10"/>
        <v>45233394649.707565</v>
      </c>
    </row>
    <row r="73" spans="1:9">
      <c r="E73" s="55"/>
      <c r="F73" s="56"/>
    </row>
    <row r="74" spans="1:9">
      <c r="C74" s="32">
        <f>[1]CDPS!$G$69</f>
        <v>44151443527</v>
      </c>
      <c r="D74" s="32">
        <f>[1]CDPS!$G$69</f>
        <v>44151443527</v>
      </c>
      <c r="E74" s="56"/>
      <c r="H74" s="56">
        <f>G72-H72</f>
        <v>0</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filterMode="1">
    <tabColor theme="9" tint="-0.249977111117893"/>
  </sheetPr>
  <dimension ref="A1:AE998"/>
  <sheetViews>
    <sheetView topLeftCell="C7" workbookViewId="0">
      <pane ySplit="3" topLeftCell="A10" activePane="bottomLeft" state="frozen"/>
      <selection activeCell="A7" sqref="A7"/>
      <selection pane="bottomLeft" activeCell="H839" sqref="H839"/>
    </sheetView>
  </sheetViews>
  <sheetFormatPr defaultRowHeight="12.75"/>
  <cols>
    <col min="1" max="1" width="4.5703125" style="344"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1" customWidth="1"/>
    <col min="8" max="8" width="40.7109375" style="359" customWidth="1"/>
    <col min="9" max="10" width="7.7109375" style="359" customWidth="1"/>
    <col min="11" max="11" width="10" style="359" customWidth="1"/>
    <col min="12" max="12" width="7.28515625" style="359"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1"/>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1"/>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1"/>
      <c r="H3" s="93"/>
      <c r="I3" s="93"/>
      <c r="J3" s="93"/>
      <c r="K3" s="93"/>
      <c r="L3" s="93"/>
      <c r="M3" s="70"/>
      <c r="N3" s="62"/>
      <c r="O3" s="62"/>
      <c r="P3" s="62"/>
      <c r="Q3" s="62"/>
      <c r="R3" s="62"/>
      <c r="S3" s="62"/>
      <c r="T3" s="62"/>
      <c r="U3" s="62"/>
      <c r="V3" s="62"/>
      <c r="W3" s="62"/>
      <c r="X3" s="62"/>
      <c r="Y3" s="62"/>
      <c r="AA3" s="62"/>
      <c r="AB3" s="62"/>
      <c r="AC3" s="62"/>
      <c r="AD3" s="62"/>
    </row>
    <row r="4" spans="1:30" ht="22.5">
      <c r="B4" s="71"/>
      <c r="C4" s="1208" t="s">
        <v>112</v>
      </c>
      <c r="D4" s="1208"/>
      <c r="E4" s="1208"/>
      <c r="F4" s="1208"/>
      <c r="G4" s="1208"/>
      <c r="H4" s="1208"/>
      <c r="I4" s="1208"/>
      <c r="J4" s="1208"/>
      <c r="K4" s="1208"/>
      <c r="L4" s="1208"/>
      <c r="M4" s="1208"/>
      <c r="N4" s="1208"/>
      <c r="O4" s="1208"/>
    </row>
    <row r="5" spans="1:30" ht="14.25">
      <c r="B5" s="71"/>
      <c r="C5" s="1209"/>
      <c r="D5" s="1209"/>
      <c r="E5" s="1209"/>
      <c r="F5" s="1209"/>
      <c r="G5" s="1209"/>
      <c r="H5" s="1209"/>
      <c r="I5" s="1209"/>
      <c r="J5" s="1209"/>
      <c r="K5" s="1209"/>
      <c r="L5" s="1209"/>
      <c r="M5" s="1209"/>
      <c r="N5" s="1209"/>
      <c r="O5" s="1209"/>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218" t="s">
        <v>141</v>
      </c>
      <c r="B7" s="1220" t="s">
        <v>123</v>
      </c>
      <c r="C7" s="1210" t="s">
        <v>22</v>
      </c>
      <c r="D7" s="1211" t="s">
        <v>1</v>
      </c>
      <c r="E7" s="1212"/>
      <c r="F7" s="1210" t="s">
        <v>0</v>
      </c>
      <c r="G7" s="1214" t="s">
        <v>140</v>
      </c>
      <c r="H7" s="1222" t="s">
        <v>47</v>
      </c>
      <c r="I7" s="1227" t="s">
        <v>580</v>
      </c>
      <c r="J7" s="1228"/>
      <c r="K7" s="1210" t="s">
        <v>266</v>
      </c>
      <c r="L7" s="1210"/>
      <c r="M7" s="1210" t="s">
        <v>265</v>
      </c>
      <c r="N7" s="1213" t="s">
        <v>114</v>
      </c>
      <c r="O7" s="1213"/>
      <c r="P7" s="1225" t="s">
        <v>8</v>
      </c>
      <c r="Q7" s="1202" t="s">
        <v>63</v>
      </c>
      <c r="R7" s="1203"/>
      <c r="S7" s="1204"/>
      <c r="T7" s="1202" t="s">
        <v>67</v>
      </c>
      <c r="U7" s="1203"/>
      <c r="V7" s="1204"/>
      <c r="W7" s="1225" t="s">
        <v>42</v>
      </c>
      <c r="X7" s="1216" t="str">
        <f>CTTK!$E$7</f>
        <v>1388</v>
      </c>
      <c r="Y7" s="1216" t="s">
        <v>591</v>
      </c>
      <c r="Z7" s="1223" t="s">
        <v>226</v>
      </c>
      <c r="AA7" s="1202" t="s">
        <v>279</v>
      </c>
      <c r="AB7" s="1203"/>
      <c r="AC7" s="1203"/>
      <c r="AD7" s="1204"/>
    </row>
    <row r="8" spans="1:30" ht="24.75" customHeight="1">
      <c r="A8" s="1219"/>
      <c r="B8" s="1221"/>
      <c r="C8" s="1210"/>
      <c r="D8" s="341" t="s">
        <v>17</v>
      </c>
      <c r="E8" s="340" t="s">
        <v>34</v>
      </c>
      <c r="F8" s="1210"/>
      <c r="G8" s="1215"/>
      <c r="H8" s="1222"/>
      <c r="I8" s="456" t="s">
        <v>471</v>
      </c>
      <c r="J8" s="456" t="s">
        <v>472</v>
      </c>
      <c r="K8" s="434" t="s">
        <v>272</v>
      </c>
      <c r="L8" s="434" t="s">
        <v>270</v>
      </c>
      <c r="M8" s="1210"/>
      <c r="N8" s="342" t="s">
        <v>24</v>
      </c>
      <c r="O8" s="342" t="s">
        <v>25</v>
      </c>
      <c r="P8" s="1226"/>
      <c r="Q8" s="1205"/>
      <c r="R8" s="1206"/>
      <c r="S8" s="1207"/>
      <c r="T8" s="1205"/>
      <c r="U8" s="1206"/>
      <c r="V8" s="1207"/>
      <c r="W8" s="1226"/>
      <c r="X8" s="1217"/>
      <c r="Y8" s="1217"/>
      <c r="Z8" s="1224"/>
      <c r="AA8" s="1205"/>
      <c r="AB8" s="1206"/>
      <c r="AC8" s="1206"/>
      <c r="AD8" s="1207"/>
    </row>
    <row r="9" spans="1:30">
      <c r="A9" s="345">
        <v>1</v>
      </c>
      <c r="B9" s="346">
        <v>2</v>
      </c>
      <c r="C9" s="346">
        <v>3</v>
      </c>
      <c r="D9" s="346">
        <v>4</v>
      </c>
      <c r="E9" s="346">
        <v>5</v>
      </c>
      <c r="F9" s="346">
        <v>6</v>
      </c>
      <c r="G9" s="992">
        <v>7</v>
      </c>
      <c r="H9" s="346">
        <v>8</v>
      </c>
      <c r="I9" s="347">
        <v>9</v>
      </c>
      <c r="J9" s="346">
        <v>10</v>
      </c>
      <c r="K9" s="347">
        <v>11</v>
      </c>
      <c r="L9" s="346">
        <v>12</v>
      </c>
      <c r="M9" s="347">
        <v>13</v>
      </c>
      <c r="N9" s="346">
        <v>14</v>
      </c>
      <c r="O9" s="347">
        <v>15</v>
      </c>
      <c r="P9" s="346">
        <v>16</v>
      </c>
      <c r="Q9" s="347">
        <v>17</v>
      </c>
      <c r="R9" s="346">
        <v>18</v>
      </c>
      <c r="S9" s="347">
        <v>19</v>
      </c>
      <c r="T9" s="346">
        <v>20</v>
      </c>
      <c r="U9" s="346"/>
      <c r="V9" s="346"/>
      <c r="W9" s="346">
        <v>26</v>
      </c>
      <c r="X9" s="347">
        <v>27</v>
      </c>
      <c r="Y9" s="347"/>
      <c r="Z9" s="346">
        <v>24</v>
      </c>
      <c r="AA9" s="346">
        <v>19</v>
      </c>
      <c r="AB9" s="346">
        <v>20</v>
      </c>
      <c r="AC9" s="346"/>
      <c r="AD9" s="346">
        <v>21</v>
      </c>
    </row>
    <row r="10" spans="1:30" s="348" customFormat="1" ht="15.75" hidden="1" customHeight="1">
      <c r="A10" s="343" t="str">
        <f>IF(B10&lt;&gt;"",IF(AND(B10='IN-TC'!$S$4,OR(TH!N10="1111",TH!O10="1111")),TH!D10,""),"")</f>
        <v/>
      </c>
      <c r="B10" s="63">
        <f t="shared" ref="B10:B15" si="0">IF(C10&lt;&gt;"",MONTH(C10),"")</f>
        <v>1</v>
      </c>
      <c r="C10" s="81">
        <f>E10</f>
        <v>42400</v>
      </c>
      <c r="D10" s="81" t="s">
        <v>115</v>
      </c>
      <c r="E10" s="81">
        <v>42400</v>
      </c>
      <c r="F10" s="82" t="s">
        <v>214</v>
      </c>
      <c r="G10" s="82"/>
      <c r="H10" s="83"/>
      <c r="I10" s="445"/>
      <c r="J10" s="445"/>
      <c r="K10" s="436"/>
      <c r="L10" s="445"/>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8" customFormat="1" ht="15.75" hidden="1" customHeight="1">
      <c r="A11" s="343" t="str">
        <f>IF(B11&lt;&gt;"",IF(AND(B11='IN-TC'!$S$4,OR(TH!N11="1111",TH!O11="1111")),TH!D11,""),"")</f>
        <v/>
      </c>
      <c r="B11" s="63">
        <f t="shared" si="0"/>
        <v>1</v>
      </c>
      <c r="C11" s="81">
        <f t="shared" ref="C11:C20" si="1">E11</f>
        <v>42400</v>
      </c>
      <c r="D11" s="81" t="s">
        <v>115</v>
      </c>
      <c r="E11" s="81">
        <v>42400</v>
      </c>
      <c r="F11" s="82" t="s">
        <v>937</v>
      </c>
      <c r="G11" s="82"/>
      <c r="H11" s="83"/>
      <c r="I11" s="445"/>
      <c r="J11" s="445"/>
      <c r="K11" s="436"/>
      <c r="L11" s="445"/>
      <c r="M11" s="84">
        <f>SUMIF(KHC,N11,TH)</f>
        <v>0</v>
      </c>
      <c r="N11" s="89" t="s">
        <v>942</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8" customFormat="1" ht="15.75" hidden="1" customHeight="1">
      <c r="A12" s="343" t="str">
        <f>IF(B12&lt;&gt;"",IF(AND(B12='IN-TC'!$S$4,OR(TH!N12="1111",TH!O12="1111")),TH!D12,""),"")</f>
        <v/>
      </c>
      <c r="B12" s="63">
        <f t="shared" si="0"/>
        <v>1</v>
      </c>
      <c r="C12" s="81">
        <f t="shared" si="1"/>
        <v>42400</v>
      </c>
      <c r="D12" s="81" t="s">
        <v>115</v>
      </c>
      <c r="E12" s="81">
        <v>42400</v>
      </c>
      <c r="F12" s="82" t="s">
        <v>938</v>
      </c>
      <c r="G12" s="82"/>
      <c r="H12" s="83"/>
      <c r="I12" s="445"/>
      <c r="J12" s="445"/>
      <c r="K12" s="436"/>
      <c r="L12" s="445"/>
      <c r="M12" s="84">
        <f>SUMIF(KHN,O12,TH)</f>
        <v>8153327558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8" customFormat="1" ht="15.75" hidden="1" customHeight="1">
      <c r="A13" s="343" t="str">
        <f>IF(B13&lt;&gt;"",IF(AND(B13='IN-TC'!$S$4,OR(TH!N13="1111",TH!O13="1111")),TH!D13,""),"")</f>
        <v/>
      </c>
      <c r="B13" s="63">
        <f t="shared" si="0"/>
        <v>1</v>
      </c>
      <c r="C13" s="81">
        <f t="shared" si="1"/>
        <v>42400</v>
      </c>
      <c r="D13" s="81" t="s">
        <v>115</v>
      </c>
      <c r="E13" s="81">
        <v>42400</v>
      </c>
      <c r="F13" s="82" t="s">
        <v>116</v>
      </c>
      <c r="G13" s="82"/>
      <c r="H13" s="90"/>
      <c r="I13" s="446"/>
      <c r="J13" s="446"/>
      <c r="K13" s="437"/>
      <c r="L13" s="446"/>
      <c r="M13" s="84">
        <f>SUMIF(KHN,O13,TH)</f>
        <v>433800522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8" customFormat="1" ht="15.75" hidden="1" customHeight="1">
      <c r="A14" s="343" t="str">
        <f>IF(B14&lt;&gt;"",IF(AND(B14='IN-TC'!$S$4,OR(TH!N14="1111",TH!O14="1111")),TH!D14,""),"")</f>
        <v/>
      </c>
      <c r="B14" s="63">
        <f t="shared" si="0"/>
        <v>1</v>
      </c>
      <c r="C14" s="81">
        <f t="shared" si="1"/>
        <v>42400</v>
      </c>
      <c r="D14" s="81" t="s">
        <v>115</v>
      </c>
      <c r="E14" s="81">
        <v>42400</v>
      </c>
      <c r="F14" s="82" t="s">
        <v>939</v>
      </c>
      <c r="G14" s="82"/>
      <c r="H14" s="83"/>
      <c r="I14" s="445"/>
      <c r="J14" s="445"/>
      <c r="K14" s="436"/>
      <c r="L14" s="445"/>
      <c r="M14" s="84">
        <f>SUMIF(KHN,O14,TH)</f>
        <v>321667205</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8" customFormat="1" ht="15.75" hidden="1" customHeight="1">
      <c r="A15" s="343" t="str">
        <f>IF(B15&lt;&gt;"",IF(AND(B15='IN-TC'!$S$4,OR(TH!N15="1111",TH!O15="1111")),TH!D15,""),"")</f>
        <v/>
      </c>
      <c r="B15" s="63">
        <f t="shared" si="0"/>
        <v>1</v>
      </c>
      <c r="C15" s="81">
        <f t="shared" si="1"/>
        <v>42400</v>
      </c>
      <c r="D15" s="81" t="s">
        <v>115</v>
      </c>
      <c r="E15" s="81">
        <v>42400</v>
      </c>
      <c r="F15" s="82" t="s">
        <v>117</v>
      </c>
      <c r="G15" s="82"/>
      <c r="H15" s="83"/>
      <c r="I15" s="445"/>
      <c r="J15" s="445"/>
      <c r="K15" s="436"/>
      <c r="L15" s="445"/>
      <c r="M15" s="84">
        <f>SUMIF(KHN,O15,TH)</f>
        <v>379956130</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8" customFormat="1" ht="15.75" hidden="1" customHeight="1">
      <c r="A16" s="343" t="str">
        <f>IF(B16&lt;&gt;"",IF(AND(B16='IN-TC'!$S$4,OR(TH!N16="1111",TH!O16="1111")),TH!D16,""),"")</f>
        <v/>
      </c>
      <c r="B16" s="63">
        <f t="shared" ref="B16:B86" si="2">IF(C16&lt;&gt;"",MONTH(C16),"")</f>
        <v>1</v>
      </c>
      <c r="C16" s="81">
        <f t="shared" si="1"/>
        <v>42400</v>
      </c>
      <c r="D16" s="81" t="s">
        <v>115</v>
      </c>
      <c r="E16" s="81">
        <v>42400</v>
      </c>
      <c r="F16" s="82" t="s">
        <v>118</v>
      </c>
      <c r="G16" s="82"/>
      <c r="H16" s="83"/>
      <c r="I16" s="445"/>
      <c r="J16" s="445"/>
      <c r="K16" s="436"/>
      <c r="L16" s="445"/>
      <c r="M16" s="84">
        <f>SUMIF(KHC,N16,TH)</f>
        <v>53615283.400000855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8" customFormat="1" ht="15.75" hidden="1" customHeight="1">
      <c r="A17" s="343" t="str">
        <f>IF(B17&lt;&gt;"",IF(AND(B17='IN-TC'!$S$4,OR(TH!N17="1111",TH!O17="1111")),TH!D17,""),"")</f>
        <v/>
      </c>
      <c r="B17" s="63">
        <f t="shared" si="2"/>
        <v>1</v>
      </c>
      <c r="C17" s="81">
        <f t="shared" si="1"/>
        <v>42400</v>
      </c>
      <c r="D17" s="81" t="s">
        <v>115</v>
      </c>
      <c r="E17" s="81">
        <v>42400</v>
      </c>
      <c r="F17" s="82" t="s">
        <v>940</v>
      </c>
      <c r="G17" s="82"/>
      <c r="H17" s="90"/>
      <c r="I17" s="446"/>
      <c r="J17" s="446"/>
      <c r="K17" s="437"/>
      <c r="L17" s="446"/>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8" customFormat="1" ht="15.75" hidden="1" customHeight="1">
      <c r="A18" s="343" t="str">
        <f>IF(B18&lt;&gt;"",IF(AND(B18='IN-TC'!$S$4,OR(TH!N18="1111",TH!O18="1111")),TH!D18,""),"")</f>
        <v/>
      </c>
      <c r="B18" s="63">
        <f t="shared" si="2"/>
        <v>1</v>
      </c>
      <c r="C18" s="81">
        <f t="shared" si="1"/>
        <v>42400</v>
      </c>
      <c r="D18" s="81" t="s">
        <v>115</v>
      </c>
      <c r="E18" s="81">
        <v>42400</v>
      </c>
      <c r="F18" s="82" t="s">
        <v>941</v>
      </c>
      <c r="G18" s="82"/>
      <c r="H18" s="83"/>
      <c r="I18" s="445"/>
      <c r="J18" s="445"/>
      <c r="K18" s="436"/>
      <c r="L18" s="445"/>
      <c r="M18" s="84">
        <f>SUMIF(KHC,N18,TH)</f>
        <v>9048264225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8" customFormat="1" ht="15.75" hidden="1" customHeight="1">
      <c r="A19" s="343" t="str">
        <f>IF(B19&lt;&gt;"",IF(AND(B19='IN-TC'!$S$4,OR(TH!N19="1111",TH!O19="1111")),TH!D19,""),"")</f>
        <v/>
      </c>
      <c r="B19" s="63">
        <f t="shared" si="2"/>
        <v>1</v>
      </c>
      <c r="C19" s="81">
        <f t="shared" si="1"/>
        <v>42400</v>
      </c>
      <c r="D19" s="81" t="s">
        <v>115</v>
      </c>
      <c r="E19" s="81">
        <v>42400</v>
      </c>
      <c r="F19" s="82" t="s">
        <v>119</v>
      </c>
      <c r="G19" s="82"/>
      <c r="H19" s="83"/>
      <c r="I19" s="445"/>
      <c r="J19" s="445"/>
      <c r="K19" s="436"/>
      <c r="L19" s="445"/>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8" customFormat="1" ht="15.75" hidden="1" customHeight="1">
      <c r="A20" s="343" t="str">
        <f>IF(B20&lt;&gt;"",IF(AND(B20='IN-TC'!$S$4,OR(TH!N20="1111",TH!O20="1111")),TH!D20,""),"")</f>
        <v/>
      </c>
      <c r="B20" s="63">
        <f t="shared" si="2"/>
        <v>1</v>
      </c>
      <c r="C20" s="81">
        <f t="shared" si="1"/>
        <v>42400</v>
      </c>
      <c r="D20" s="81" t="s">
        <v>115</v>
      </c>
      <c r="E20" s="81">
        <v>42400</v>
      </c>
      <c r="F20" s="82" t="s">
        <v>120</v>
      </c>
      <c r="G20" s="82"/>
      <c r="H20" s="83"/>
      <c r="I20" s="445"/>
      <c r="J20" s="445"/>
      <c r="K20" s="436"/>
      <c r="L20" s="445"/>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8" customFormat="1" ht="15.75" hidden="1" customHeight="1">
      <c r="A21" s="343" t="str">
        <f>IF(B21&lt;&gt;"",IF(AND(B21='IN-TC'!$S$4,OR(TH!N21="1111",TH!O21="1111")),TH!D21,""),"")</f>
        <v/>
      </c>
      <c r="B21" s="63">
        <f>IF(C21&lt;&gt;"",MONTH(C21),"")</f>
        <v>1</v>
      </c>
      <c r="C21" s="81">
        <f>E21</f>
        <v>42400</v>
      </c>
      <c r="D21" s="81" t="s">
        <v>115</v>
      </c>
      <c r="E21" s="81">
        <v>42400</v>
      </c>
      <c r="F21" s="82" t="s">
        <v>1383</v>
      </c>
      <c r="G21" s="82"/>
      <c r="H21" s="83"/>
      <c r="I21" s="445"/>
      <c r="J21" s="445"/>
      <c r="K21" s="436"/>
      <c r="L21" s="445"/>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8" customFormat="1" ht="15.75" hidden="1" customHeight="1">
      <c r="A22" s="343" t="str">
        <f>IF(B22&lt;&gt;"",IF(AND(B22='IN-TC'!$S$4,OR(TH!N22="1111",TH!O22="1111")),TH!D22,""),"")</f>
        <v/>
      </c>
      <c r="B22" s="63">
        <f>IF(C22&lt;&gt;"",MONTH(C22),"")</f>
        <v>1</v>
      </c>
      <c r="C22" s="81">
        <f>E22</f>
        <v>42400</v>
      </c>
      <c r="D22" s="81" t="s">
        <v>115</v>
      </c>
      <c r="E22" s="81">
        <v>42400</v>
      </c>
      <c r="F22" s="82" t="s">
        <v>1384</v>
      </c>
      <c r="G22" s="82"/>
      <c r="H22" s="83"/>
      <c r="I22" s="445"/>
      <c r="J22" s="445"/>
      <c r="K22" s="436"/>
      <c r="L22" s="445"/>
      <c r="M22" s="84">
        <v>103977877</v>
      </c>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8" customFormat="1" ht="15.75" hidden="1" customHeight="1">
      <c r="A23" s="343" t="str">
        <f>IF(B23&lt;&gt;"",IF(AND(B23='IN-TC'!$S$4,OR(TH!N23="1111",TH!O23="1111")),TH!D23,""),"")</f>
        <v/>
      </c>
      <c r="B23" s="63">
        <f>IF(C23&lt;&gt;"",MONTH(C23),"")</f>
        <v>1</v>
      </c>
      <c r="C23" s="81">
        <f>E23</f>
        <v>42400</v>
      </c>
      <c r="D23" s="81" t="s">
        <v>115</v>
      </c>
      <c r="E23" s="81">
        <v>42400</v>
      </c>
      <c r="F23" s="82" t="s">
        <v>1385</v>
      </c>
      <c r="G23" s="82"/>
      <c r="H23" s="83"/>
      <c r="I23" s="445"/>
      <c r="J23" s="445"/>
      <c r="K23" s="436"/>
      <c r="L23" s="445"/>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8" customFormat="1" ht="15.75" hidden="1" customHeight="1">
      <c r="A24" s="343" t="str">
        <f>IF(B24&lt;&gt;"",IF(AND(B24='IN-TC'!$S$4,OR(TH!N24="1111",TH!O24="1111")),TH!D24,""),"")</f>
        <v/>
      </c>
      <c r="B24" s="63">
        <f>IF(C24&lt;&gt;"",MONTH(C24),"")</f>
        <v>1</v>
      </c>
      <c r="C24" s="81">
        <f>E24</f>
        <v>42400</v>
      </c>
      <c r="D24" s="81" t="s">
        <v>115</v>
      </c>
      <c r="E24" s="81">
        <v>42400</v>
      </c>
      <c r="F24" s="82" t="s">
        <v>1386</v>
      </c>
      <c r="G24" s="82"/>
      <c r="H24" s="83"/>
      <c r="I24" s="445"/>
      <c r="J24" s="445"/>
      <c r="K24" s="436"/>
      <c r="L24" s="445"/>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8" customFormat="1" ht="15.75" hidden="1" customHeight="1">
      <c r="A25" s="343" t="str">
        <f>IF(B25&lt;&gt;"",IF(AND(B25='IN-TC'!$S$4,OR(TH!N25="1111",TH!O25="1111")),TH!D25,""),"")</f>
        <v/>
      </c>
      <c r="B25" s="63">
        <f t="shared" si="2"/>
        <v>1</v>
      </c>
      <c r="C25" s="879">
        <v>42400</v>
      </c>
      <c r="D25" s="879" t="s">
        <v>585</v>
      </c>
      <c r="E25" s="879">
        <f t="shared" ref="E25:E34" si="3">C25</f>
        <v>42400</v>
      </c>
      <c r="F25" s="880" t="s">
        <v>1330</v>
      </c>
      <c r="G25" s="880"/>
      <c r="H25" s="74"/>
      <c r="I25" s="447"/>
      <c r="J25" s="447"/>
      <c r="K25" s="438"/>
      <c r="L25" s="447"/>
      <c r="M25" s="881">
        <v>10010706</v>
      </c>
      <c r="N25" s="885" t="s">
        <v>283</v>
      </c>
      <c r="O25" s="886"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8" customFormat="1" ht="15.75" hidden="1" customHeight="1">
      <c r="A26" s="343" t="str">
        <f>IF(B26&lt;&gt;"",IF(AND(B26='IN-TC'!$S$4,OR(TH!N26="1111",TH!O26="1111")),TH!D26,""),"")</f>
        <v/>
      </c>
      <c r="B26" s="63">
        <f t="shared" si="2"/>
        <v>1</v>
      </c>
      <c r="C26" s="879">
        <v>42400</v>
      </c>
      <c r="D26" s="879" t="s">
        <v>585</v>
      </c>
      <c r="E26" s="879">
        <f t="shared" si="3"/>
        <v>42400</v>
      </c>
      <c r="F26" s="880" t="s">
        <v>1331</v>
      </c>
      <c r="G26" s="995"/>
      <c r="H26" s="73"/>
      <c r="I26" s="448"/>
      <c r="J26" s="448"/>
      <c r="K26" s="439"/>
      <c r="L26" s="448"/>
      <c r="M26" s="881">
        <v>3671167</v>
      </c>
      <c r="N26" s="887" t="s">
        <v>101</v>
      </c>
      <c r="O26" s="887"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8" customFormat="1" ht="15.75" hidden="1" customHeight="1">
      <c r="A27" s="343" t="str">
        <f>IF(B27&lt;&gt;"",IF(AND(B27='IN-TC'!$S$4,OR(TH!N27="1111",TH!O27="1111")),TH!D27,""),"")</f>
        <v/>
      </c>
      <c r="B27" s="63">
        <f t="shared" si="2"/>
        <v>1</v>
      </c>
      <c r="C27" s="879">
        <v>42400</v>
      </c>
      <c r="D27" s="879" t="s">
        <v>585</v>
      </c>
      <c r="E27" s="879">
        <f t="shared" si="3"/>
        <v>42400</v>
      </c>
      <c r="F27" s="880" t="s">
        <v>1331</v>
      </c>
      <c r="G27" s="880"/>
      <c r="H27" s="73"/>
      <c r="I27" s="448"/>
      <c r="J27" s="448"/>
      <c r="K27" s="439"/>
      <c r="L27" s="448"/>
      <c r="M27" s="881">
        <v>47128136</v>
      </c>
      <c r="N27" s="887" t="s">
        <v>283</v>
      </c>
      <c r="O27" s="887"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8" customFormat="1" ht="15.75" hidden="1" customHeight="1">
      <c r="A28" s="343" t="str">
        <f>IF(B28&lt;&gt;"",IF(AND(B28='IN-TC'!$S$4,OR(TH!N28="1111",TH!O28="1111")),TH!D28,""),"")</f>
        <v/>
      </c>
      <c r="B28" s="63">
        <f t="shared" si="2"/>
        <v>2</v>
      </c>
      <c r="C28" s="879">
        <v>42429</v>
      </c>
      <c r="D28" s="879" t="s">
        <v>585</v>
      </c>
      <c r="E28" s="879">
        <f t="shared" si="3"/>
        <v>42429</v>
      </c>
      <c r="F28" s="880" t="s">
        <v>1330</v>
      </c>
      <c r="G28" s="880"/>
      <c r="H28" s="74"/>
      <c r="I28" s="447"/>
      <c r="J28" s="447"/>
      <c r="K28" s="438"/>
      <c r="L28" s="447"/>
      <c r="M28" s="881">
        <v>10010706</v>
      </c>
      <c r="N28" s="885" t="s">
        <v>283</v>
      </c>
      <c r="O28" s="886"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8" customFormat="1" ht="15.75" hidden="1" customHeight="1">
      <c r="A29" s="343" t="str">
        <f>IF(B29&lt;&gt;"",IF(AND(B29='IN-TC'!$S$4,OR(TH!N29="1111",TH!O29="1111")),TH!D29,""),"")</f>
        <v/>
      </c>
      <c r="B29" s="63">
        <f t="shared" si="2"/>
        <v>2</v>
      </c>
      <c r="C29" s="879">
        <v>42429</v>
      </c>
      <c r="D29" s="879" t="s">
        <v>585</v>
      </c>
      <c r="E29" s="879">
        <f t="shared" si="3"/>
        <v>42429</v>
      </c>
      <c r="F29" s="880" t="s">
        <v>1331</v>
      </c>
      <c r="G29" s="995"/>
      <c r="H29" s="73"/>
      <c r="I29" s="448"/>
      <c r="J29" s="448"/>
      <c r="K29" s="439"/>
      <c r="L29" s="448"/>
      <c r="M29" s="881">
        <v>3671167</v>
      </c>
      <c r="N29" s="887" t="s">
        <v>101</v>
      </c>
      <c r="O29" s="887"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8" customFormat="1" ht="15.75" hidden="1" customHeight="1">
      <c r="A30" s="343" t="str">
        <f>IF(B30&lt;&gt;"",IF(AND(B30='IN-TC'!$S$4,OR(TH!N30="1111",TH!O30="1111")),TH!D30,""),"")</f>
        <v/>
      </c>
      <c r="B30" s="63">
        <f t="shared" si="2"/>
        <v>2</v>
      </c>
      <c r="C30" s="879">
        <v>42429</v>
      </c>
      <c r="D30" s="879" t="s">
        <v>585</v>
      </c>
      <c r="E30" s="879">
        <f t="shared" si="3"/>
        <v>42429</v>
      </c>
      <c r="F30" s="880" t="s">
        <v>1331</v>
      </c>
      <c r="G30" s="880"/>
      <c r="H30" s="73"/>
      <c r="I30" s="448"/>
      <c r="J30" s="448"/>
      <c r="K30" s="439"/>
      <c r="L30" s="448"/>
      <c r="M30" s="881">
        <v>47128136</v>
      </c>
      <c r="N30" s="887" t="s">
        <v>283</v>
      </c>
      <c r="O30" s="887"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8" customFormat="1" ht="15.75" hidden="1" customHeight="1">
      <c r="A31" s="343" t="str">
        <f>IF(B31&lt;&gt;"",IF(AND(B31='IN-TC'!$S$4,OR(TH!N31="1111",TH!O31="1111")),TH!D31,""),"")</f>
        <v/>
      </c>
      <c r="B31" s="63">
        <f t="shared" si="2"/>
        <v>3</v>
      </c>
      <c r="C31" s="879">
        <v>42460</v>
      </c>
      <c r="D31" s="879" t="s">
        <v>585</v>
      </c>
      <c r="E31" s="879">
        <f t="shared" si="3"/>
        <v>42460</v>
      </c>
      <c r="F31" s="880" t="s">
        <v>1330</v>
      </c>
      <c r="G31" s="880"/>
      <c r="H31" s="74"/>
      <c r="I31" s="447"/>
      <c r="J31" s="447"/>
      <c r="K31" s="438"/>
      <c r="L31" s="447"/>
      <c r="M31" s="881">
        <v>10010706</v>
      </c>
      <c r="N31" s="885" t="s">
        <v>283</v>
      </c>
      <c r="O31" s="886"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8" customFormat="1" ht="15.75" hidden="1" customHeight="1">
      <c r="A32" s="343" t="str">
        <f>IF(B32&lt;&gt;"",IF(AND(B32='IN-TC'!$S$4,OR(TH!N32="1111",TH!O32="1111")),TH!D32,""),"")</f>
        <v/>
      </c>
      <c r="B32" s="63">
        <f t="shared" si="2"/>
        <v>3</v>
      </c>
      <c r="C32" s="879">
        <v>42460</v>
      </c>
      <c r="D32" s="879" t="s">
        <v>585</v>
      </c>
      <c r="E32" s="879">
        <f t="shared" si="3"/>
        <v>42460</v>
      </c>
      <c r="F32" s="880" t="s">
        <v>1331</v>
      </c>
      <c r="G32" s="995"/>
      <c r="H32" s="73"/>
      <c r="I32" s="448"/>
      <c r="J32" s="448"/>
      <c r="K32" s="439"/>
      <c r="L32" s="448"/>
      <c r="M32" s="881">
        <v>3671167</v>
      </c>
      <c r="N32" s="887" t="s">
        <v>101</v>
      </c>
      <c r="O32" s="887"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8" customFormat="1" ht="15.75" hidden="1" customHeight="1">
      <c r="A33" s="343" t="str">
        <f>IF(B33&lt;&gt;"",IF(AND(B33='IN-TC'!$S$4,OR(TH!N33="1111",TH!O33="1111")),TH!D33,""),"")</f>
        <v/>
      </c>
      <c r="B33" s="63">
        <f t="shared" si="2"/>
        <v>3</v>
      </c>
      <c r="C33" s="879">
        <v>42460</v>
      </c>
      <c r="D33" s="879" t="s">
        <v>585</v>
      </c>
      <c r="E33" s="879">
        <f t="shared" si="3"/>
        <v>42460</v>
      </c>
      <c r="F33" s="880" t="s">
        <v>1331</v>
      </c>
      <c r="G33" s="880"/>
      <c r="H33" s="73"/>
      <c r="I33" s="448"/>
      <c r="J33" s="448"/>
      <c r="K33" s="439"/>
      <c r="L33" s="448"/>
      <c r="M33" s="881">
        <v>47128136</v>
      </c>
      <c r="N33" s="887" t="s">
        <v>283</v>
      </c>
      <c r="O33" s="887"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8" customFormat="1" ht="15.75" hidden="1" customHeight="1">
      <c r="A34" s="343" t="str">
        <f>IF(B34&lt;&gt;"",IF(AND(B34='IN-TC'!$S$4,OR(TH!N34="1111",TH!O34="1111")),TH!D34,""),"")</f>
        <v/>
      </c>
      <c r="B34" s="63">
        <f t="shared" si="2"/>
        <v>1</v>
      </c>
      <c r="C34" s="882">
        <v>42400</v>
      </c>
      <c r="D34" s="882" t="s">
        <v>585</v>
      </c>
      <c r="E34" s="882">
        <f t="shared" si="3"/>
        <v>42400</v>
      </c>
      <c r="F34" s="883" t="s">
        <v>1343</v>
      </c>
      <c r="G34" s="278">
        <v>37369000</v>
      </c>
      <c r="H34" s="322"/>
      <c r="I34" s="447"/>
      <c r="J34" s="447"/>
      <c r="K34" s="438"/>
      <c r="L34" s="447"/>
      <c r="M34" s="888">
        <v>36456640</v>
      </c>
      <c r="N34" s="889" t="s">
        <v>594</v>
      </c>
      <c r="O34" s="889"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8" customFormat="1" ht="15.75" hidden="1" customHeight="1">
      <c r="A35" s="343" t="str">
        <f>IF(B35&lt;&gt;"",IF(AND(B35='IN-TC'!$S$4,OR(TH!N35="1111",TH!O35="1111")),TH!D35,""),"")</f>
        <v/>
      </c>
      <c r="B35" s="63">
        <f t="shared" si="2"/>
        <v>1</v>
      </c>
      <c r="C35" s="882">
        <v>42400</v>
      </c>
      <c r="D35" s="882" t="s">
        <v>585</v>
      </c>
      <c r="E35" s="882">
        <f t="shared" ref="E35:E47" si="4">C35</f>
        <v>42400</v>
      </c>
      <c r="F35" s="883" t="s">
        <v>1344</v>
      </c>
      <c r="G35" s="278">
        <v>111683000</v>
      </c>
      <c r="H35" s="322"/>
      <c r="I35" s="447"/>
      <c r="J35" s="447"/>
      <c r="K35" s="438"/>
      <c r="L35" s="447"/>
      <c r="M35" s="888">
        <v>119802600</v>
      </c>
      <c r="N35" s="889" t="s">
        <v>283</v>
      </c>
      <c r="O35" s="889"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8" customFormat="1" ht="15.75" hidden="1" customHeight="1">
      <c r="A36" s="343" t="str">
        <f>IF(B36&lt;&gt;"",IF(AND(B36='IN-TC'!$S$4,OR(TH!N36="1111",TH!O36="1111")),TH!D36,""),"")</f>
        <v/>
      </c>
      <c r="B36" s="63">
        <f t="shared" si="2"/>
        <v>1</v>
      </c>
      <c r="C36" s="882">
        <v>42400</v>
      </c>
      <c r="D36" s="882" t="s">
        <v>585</v>
      </c>
      <c r="E36" s="882">
        <f t="shared" si="4"/>
        <v>42400</v>
      </c>
      <c r="F36" s="883" t="s">
        <v>1345</v>
      </c>
      <c r="G36" s="990" t="s">
        <v>586</v>
      </c>
      <c r="H36" s="322"/>
      <c r="I36" s="447"/>
      <c r="J36" s="447"/>
      <c r="K36" s="438"/>
      <c r="L36" s="447"/>
      <c r="M36" s="888">
        <f>G34*$G36</f>
        <v>2989520</v>
      </c>
      <c r="N36" s="889" t="s">
        <v>595</v>
      </c>
      <c r="O36" s="889"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8" customFormat="1" ht="15.75" hidden="1" customHeight="1">
      <c r="A37" s="343" t="str">
        <f>IF(B37&lt;&gt;"",IF(AND(B37='IN-TC'!$S$4,OR(TH!N37="1111",TH!O37="1111")),TH!D37,""),"")</f>
        <v/>
      </c>
      <c r="B37" s="63">
        <f t="shared" si="2"/>
        <v>1</v>
      </c>
      <c r="C37" s="882">
        <v>42400</v>
      </c>
      <c r="D37" s="882" t="s">
        <v>585</v>
      </c>
      <c r="E37" s="882">
        <f t="shared" si="4"/>
        <v>42400</v>
      </c>
      <c r="F37" s="883" t="s">
        <v>1346</v>
      </c>
      <c r="G37" s="278"/>
      <c r="H37" s="322"/>
      <c r="I37" s="447"/>
      <c r="J37" s="447"/>
      <c r="K37" s="438"/>
      <c r="L37" s="447"/>
      <c r="M37" s="888">
        <f>G35*$G36</f>
        <v>8934640</v>
      </c>
      <c r="N37" s="890" t="s">
        <v>595</v>
      </c>
      <c r="O37" s="891"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8" customFormat="1" ht="15.75" hidden="1" customHeight="1">
      <c r="A38" s="343" t="str">
        <f>IF(B38&lt;&gt;"",IF(AND(B38='IN-TC'!$S$4,OR(TH!N38="1111",TH!O38="1111")),TH!D38,""),"")</f>
        <v/>
      </c>
      <c r="B38" s="63">
        <f t="shared" si="2"/>
        <v>1</v>
      </c>
      <c r="C38" s="882">
        <v>42400</v>
      </c>
      <c r="D38" s="882" t="s">
        <v>585</v>
      </c>
      <c r="E38" s="882">
        <f t="shared" si="4"/>
        <v>42400</v>
      </c>
      <c r="F38" s="883" t="s">
        <v>1347</v>
      </c>
      <c r="G38" s="990" t="s">
        <v>587</v>
      </c>
      <c r="H38" s="322"/>
      <c r="I38" s="447"/>
      <c r="J38" s="447"/>
      <c r="K38" s="438"/>
      <c r="L38" s="447"/>
      <c r="M38" s="888">
        <f>G34*$G38</f>
        <v>6726420</v>
      </c>
      <c r="N38" s="889" t="s">
        <v>594</v>
      </c>
      <c r="O38" s="889"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8" customFormat="1" ht="15.75" hidden="1" customHeight="1">
      <c r="A39" s="343" t="str">
        <f>IF(B39&lt;&gt;"",IF(AND(B39='IN-TC'!$S$4,OR(TH!N39="1111",TH!O39="1111")),TH!D39,""),"")</f>
        <v/>
      </c>
      <c r="B39" s="63">
        <f t="shared" si="2"/>
        <v>1</v>
      </c>
      <c r="C39" s="882">
        <v>42400</v>
      </c>
      <c r="D39" s="882" t="s">
        <v>585</v>
      </c>
      <c r="E39" s="882">
        <f t="shared" si="4"/>
        <v>42400</v>
      </c>
      <c r="F39" s="883" t="s">
        <v>1348</v>
      </c>
      <c r="G39" s="278"/>
      <c r="H39" s="322"/>
      <c r="I39" s="447"/>
      <c r="J39" s="447"/>
      <c r="K39" s="438"/>
      <c r="L39" s="447"/>
      <c r="M39" s="888">
        <f>G35*$G38</f>
        <v>20102940</v>
      </c>
      <c r="N39" s="889" t="s">
        <v>283</v>
      </c>
      <c r="O39" s="889"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8" customFormat="1" ht="15.75" hidden="1" customHeight="1">
      <c r="A40" s="343" t="str">
        <f>IF(B40&lt;&gt;"",IF(AND(B40='IN-TC'!$S$4,OR(TH!N40="1111",TH!O40="1111")),TH!D40,""),"")</f>
        <v/>
      </c>
      <c r="B40" s="63">
        <f t="shared" si="2"/>
        <v>1</v>
      </c>
      <c r="C40" s="882">
        <v>42400</v>
      </c>
      <c r="D40" s="882" t="s">
        <v>585</v>
      </c>
      <c r="E40" s="882">
        <f t="shared" si="4"/>
        <v>42400</v>
      </c>
      <c r="F40" s="883" t="s">
        <v>1349</v>
      </c>
      <c r="G40" s="990" t="s">
        <v>588</v>
      </c>
      <c r="H40" s="324"/>
      <c r="I40" s="445"/>
      <c r="J40" s="445"/>
      <c r="K40" s="436"/>
      <c r="L40" s="445"/>
      <c r="M40" s="888">
        <f>G34*$G40</f>
        <v>560535</v>
      </c>
      <c r="N40" s="889" t="s">
        <v>595</v>
      </c>
      <c r="O40" s="889"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8" customFormat="1" ht="15.75" hidden="1" customHeight="1">
      <c r="A41" s="343" t="str">
        <f>IF(B41&lt;&gt;"",IF(AND(B41='IN-TC'!$S$4,OR(TH!N41="1111",TH!O41="1111")),TH!D41,""),"")</f>
        <v/>
      </c>
      <c r="B41" s="63">
        <f t="shared" si="2"/>
        <v>1</v>
      </c>
      <c r="C41" s="882">
        <v>42400</v>
      </c>
      <c r="D41" s="882" t="s">
        <v>585</v>
      </c>
      <c r="E41" s="882">
        <f t="shared" si="4"/>
        <v>42400</v>
      </c>
      <c r="F41" s="883" t="s">
        <v>1350</v>
      </c>
      <c r="G41" s="278"/>
      <c r="H41" s="324"/>
      <c r="I41" s="445"/>
      <c r="J41" s="445"/>
      <c r="K41" s="436"/>
      <c r="L41" s="445"/>
      <c r="M41" s="888">
        <f>G35*$G40</f>
        <v>1675245</v>
      </c>
      <c r="N41" s="889" t="s">
        <v>595</v>
      </c>
      <c r="O41" s="889"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8" customFormat="1" ht="15.75" hidden="1" customHeight="1">
      <c r="A42" s="343" t="str">
        <f>IF(B42&lt;&gt;"",IF(AND(B42='IN-TC'!$S$4,OR(TH!N42="1111",TH!O42="1111")),TH!D42,""),"")</f>
        <v/>
      </c>
      <c r="B42" s="63">
        <f t="shared" si="2"/>
        <v>1</v>
      </c>
      <c r="C42" s="882">
        <v>42400</v>
      </c>
      <c r="D42" s="882" t="s">
        <v>585</v>
      </c>
      <c r="E42" s="882">
        <f t="shared" si="4"/>
        <v>42400</v>
      </c>
      <c r="F42" s="883" t="s">
        <v>1351</v>
      </c>
      <c r="G42" s="990" t="s">
        <v>589</v>
      </c>
      <c r="H42" s="322"/>
      <c r="I42" s="447"/>
      <c r="J42" s="447"/>
      <c r="K42" s="438"/>
      <c r="L42" s="447"/>
      <c r="M42" s="888">
        <f>G34*$G42</f>
        <v>1121070</v>
      </c>
      <c r="N42" s="889" t="s">
        <v>594</v>
      </c>
      <c r="O42" s="889"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8" customFormat="1" ht="15.75" hidden="1" customHeight="1">
      <c r="A43" s="343" t="str">
        <f>IF(B43&lt;&gt;"",IF(AND(B43='IN-TC'!$S$4,OR(TH!N43="1111",TH!O43="1111")),TH!D43,""),"")</f>
        <v/>
      </c>
      <c r="B43" s="63">
        <f t="shared" si="2"/>
        <v>1</v>
      </c>
      <c r="C43" s="882">
        <v>42400</v>
      </c>
      <c r="D43" s="882" t="s">
        <v>585</v>
      </c>
      <c r="E43" s="882">
        <f t="shared" si="4"/>
        <v>42400</v>
      </c>
      <c r="F43" s="883" t="s">
        <v>1352</v>
      </c>
      <c r="G43" s="278"/>
      <c r="H43" s="322"/>
      <c r="I43" s="447"/>
      <c r="J43" s="447"/>
      <c r="K43" s="438"/>
      <c r="L43" s="447"/>
      <c r="M43" s="888">
        <f>G35*$G42</f>
        <v>3350490</v>
      </c>
      <c r="N43" s="889" t="s">
        <v>283</v>
      </c>
      <c r="O43" s="889"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8" customFormat="1" ht="15.75" hidden="1" customHeight="1">
      <c r="A44" s="343" t="str">
        <f>IF(B44&lt;&gt;"",IF(AND(B44='IN-TC'!$S$4,OR(TH!N44="1111",TH!O44="1111")),TH!D44,""),"")</f>
        <v/>
      </c>
      <c r="B44" s="63">
        <f t="shared" si="2"/>
        <v>1</v>
      </c>
      <c r="C44" s="882">
        <v>42400</v>
      </c>
      <c r="D44" s="882" t="s">
        <v>585</v>
      </c>
      <c r="E44" s="882">
        <f t="shared" si="4"/>
        <v>42400</v>
      </c>
      <c r="F44" s="883" t="s">
        <v>1353</v>
      </c>
      <c r="G44" s="990" t="s">
        <v>590</v>
      </c>
      <c r="H44" s="322"/>
      <c r="I44" s="447"/>
      <c r="J44" s="447"/>
      <c r="K44" s="438"/>
      <c r="L44" s="447"/>
      <c r="M44" s="888">
        <f>G34*$G44</f>
        <v>373690</v>
      </c>
      <c r="N44" s="889" t="s">
        <v>595</v>
      </c>
      <c r="O44" s="889"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8" customFormat="1" ht="15.75" hidden="1" customHeight="1">
      <c r="A45" s="343" t="str">
        <f>IF(B45&lt;&gt;"",IF(AND(B45='IN-TC'!$S$4,OR(TH!N45="1111",TH!O45="1111")),TH!D45,""),"")</f>
        <v/>
      </c>
      <c r="B45" s="63">
        <f t="shared" si="2"/>
        <v>1</v>
      </c>
      <c r="C45" s="882">
        <v>42400</v>
      </c>
      <c r="D45" s="882" t="s">
        <v>585</v>
      </c>
      <c r="E45" s="882">
        <f t="shared" si="4"/>
        <v>42400</v>
      </c>
      <c r="F45" s="883" t="s">
        <v>1354</v>
      </c>
      <c r="G45" s="278"/>
      <c r="H45" s="322"/>
      <c r="I45" s="447"/>
      <c r="J45" s="447"/>
      <c r="K45" s="438"/>
      <c r="L45" s="447"/>
      <c r="M45" s="888">
        <f>G35*$G44</f>
        <v>1116830</v>
      </c>
      <c r="N45" s="889" t="s">
        <v>595</v>
      </c>
      <c r="O45" s="889"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8" customFormat="1" ht="15.75" hidden="1" customHeight="1">
      <c r="A46" s="343" t="str">
        <f>IF(B46&lt;&gt;"",IF(AND(B46='IN-TC'!$S$4,OR(TH!N46="1111",TH!O46="1111")),TH!D46,""),"")</f>
        <v/>
      </c>
      <c r="B46" s="63">
        <f t="shared" si="2"/>
        <v>1</v>
      </c>
      <c r="C46" s="882">
        <v>42400</v>
      </c>
      <c r="D46" s="882" t="s">
        <v>585</v>
      </c>
      <c r="E46" s="882">
        <f t="shared" si="4"/>
        <v>42400</v>
      </c>
      <c r="F46" s="883" t="s">
        <v>1355</v>
      </c>
      <c r="G46" s="990" t="s">
        <v>590</v>
      </c>
      <c r="H46" s="1147"/>
      <c r="I46" s="448"/>
      <c r="J46" s="448"/>
      <c r="K46" s="439"/>
      <c r="L46" s="448"/>
      <c r="M46" s="888">
        <f>M44</f>
        <v>373690</v>
      </c>
      <c r="N46" s="889" t="s">
        <v>594</v>
      </c>
      <c r="O46" s="889"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8" customFormat="1" ht="15.75" hidden="1" customHeight="1">
      <c r="A47" s="343" t="str">
        <f>IF(B47&lt;&gt;"",IF(AND(B47='IN-TC'!$S$4,OR(TH!N47="1111",TH!O47="1111")),TH!D47,""),"")</f>
        <v/>
      </c>
      <c r="B47" s="63">
        <f t="shared" si="2"/>
        <v>1</v>
      </c>
      <c r="C47" s="882">
        <v>42400</v>
      </c>
      <c r="D47" s="882" t="s">
        <v>585</v>
      </c>
      <c r="E47" s="882">
        <f t="shared" si="4"/>
        <v>42400</v>
      </c>
      <c r="F47" s="883" t="s">
        <v>1356</v>
      </c>
      <c r="G47" s="278"/>
      <c r="H47" s="322"/>
      <c r="I47" s="447"/>
      <c r="J47" s="447"/>
      <c r="K47" s="438"/>
      <c r="L47" s="447"/>
      <c r="M47" s="888">
        <f>M45</f>
        <v>1116830</v>
      </c>
      <c r="N47" s="889" t="s">
        <v>283</v>
      </c>
      <c r="O47" s="889"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8" customFormat="1" ht="15.75" hidden="1" customHeight="1">
      <c r="A48" s="343" t="str">
        <f>IF(B48&lt;&gt;"",IF(AND(B48='IN-TC'!$S$4,OR(TH!N48="1111",TH!O48="1111")),TH!D48,""),"")</f>
        <v/>
      </c>
      <c r="B48" s="63">
        <f t="shared" si="2"/>
        <v>2</v>
      </c>
      <c r="C48" s="882">
        <v>42429</v>
      </c>
      <c r="D48" s="882" t="s">
        <v>585</v>
      </c>
      <c r="E48" s="882">
        <f>C48</f>
        <v>42429</v>
      </c>
      <c r="F48" s="883" t="s">
        <v>1343</v>
      </c>
      <c r="G48" s="278">
        <v>37369000</v>
      </c>
      <c r="H48" s="322"/>
      <c r="I48" s="447"/>
      <c r="J48" s="447"/>
      <c r="K48" s="438"/>
      <c r="L48" s="447"/>
      <c r="M48" s="888">
        <v>31803952</v>
      </c>
      <c r="N48" s="889" t="s">
        <v>594</v>
      </c>
      <c r="O48" s="889"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8" customFormat="1" ht="15.75" hidden="1" customHeight="1">
      <c r="A49" s="343" t="str">
        <f>IF(B49&lt;&gt;"",IF(AND(B49='IN-TC'!$S$4,OR(TH!N49="1111",TH!O49="1111")),TH!D49,""),"")</f>
        <v/>
      </c>
      <c r="B49" s="63">
        <f t="shared" si="2"/>
        <v>2</v>
      </c>
      <c r="C49" s="882">
        <v>42429</v>
      </c>
      <c r="D49" s="882" t="s">
        <v>585</v>
      </c>
      <c r="E49" s="882">
        <f t="shared" ref="E49:E68" si="5">C49</f>
        <v>42429</v>
      </c>
      <c r="F49" s="883" t="s">
        <v>1344</v>
      </c>
      <c r="G49" s="278">
        <v>108366000</v>
      </c>
      <c r="H49" s="322"/>
      <c r="I49" s="447"/>
      <c r="J49" s="447"/>
      <c r="K49" s="438"/>
      <c r="L49" s="447"/>
      <c r="M49" s="888">
        <v>97552760</v>
      </c>
      <c r="N49" s="889" t="s">
        <v>283</v>
      </c>
      <c r="O49" s="889"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8" customFormat="1" ht="15.75" hidden="1" customHeight="1">
      <c r="A50" s="343" t="str">
        <f>IF(B50&lt;&gt;"",IF(AND(B50='IN-TC'!$S$4,OR(TH!N50="1111",TH!O50="1111")),TH!D50,""),"")</f>
        <v/>
      </c>
      <c r="B50" s="63">
        <f t="shared" si="2"/>
        <v>2</v>
      </c>
      <c r="C50" s="882">
        <v>42429</v>
      </c>
      <c r="D50" s="882" t="s">
        <v>585</v>
      </c>
      <c r="E50" s="882">
        <f t="shared" si="5"/>
        <v>42429</v>
      </c>
      <c r="F50" s="883" t="s">
        <v>1345</v>
      </c>
      <c r="G50" s="990" t="s">
        <v>586</v>
      </c>
      <c r="H50" s="322"/>
      <c r="I50" s="447"/>
      <c r="J50" s="447"/>
      <c r="K50" s="438"/>
      <c r="L50" s="447"/>
      <c r="M50" s="888">
        <f>G48*$G50</f>
        <v>2989520</v>
      </c>
      <c r="N50" s="889" t="s">
        <v>595</v>
      </c>
      <c r="O50" s="889"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8" customFormat="1" ht="15.75" hidden="1" customHeight="1">
      <c r="A51" s="343" t="str">
        <f>IF(B51&lt;&gt;"",IF(AND(B51='IN-TC'!$S$4,OR(TH!N51="1111",TH!O51="1111")),TH!D51,""),"")</f>
        <v/>
      </c>
      <c r="B51" s="63">
        <f t="shared" si="2"/>
        <v>2</v>
      </c>
      <c r="C51" s="882">
        <v>42429</v>
      </c>
      <c r="D51" s="882" t="s">
        <v>585</v>
      </c>
      <c r="E51" s="882">
        <f t="shared" si="5"/>
        <v>42429</v>
      </c>
      <c r="F51" s="883" t="s">
        <v>1346</v>
      </c>
      <c r="G51" s="278"/>
      <c r="H51" s="322"/>
      <c r="I51" s="447"/>
      <c r="J51" s="447"/>
      <c r="K51" s="438"/>
      <c r="L51" s="447"/>
      <c r="M51" s="888">
        <f>G49*$G50</f>
        <v>8669280</v>
      </c>
      <c r="N51" s="890" t="s">
        <v>595</v>
      </c>
      <c r="O51" s="891"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8" customFormat="1" ht="15.75" hidden="1" customHeight="1">
      <c r="A52" s="343" t="str">
        <f>IF(B52&lt;&gt;"",IF(AND(B52='IN-TC'!$S$4,OR(TH!N52="1111",TH!O52="1111")),TH!D52,""),"")</f>
        <v/>
      </c>
      <c r="B52" s="63">
        <f t="shared" si="2"/>
        <v>2</v>
      </c>
      <c r="C52" s="882">
        <v>42429</v>
      </c>
      <c r="D52" s="882" t="s">
        <v>585</v>
      </c>
      <c r="E52" s="882">
        <f t="shared" si="5"/>
        <v>42429</v>
      </c>
      <c r="F52" s="883" t="s">
        <v>1347</v>
      </c>
      <c r="G52" s="990" t="s">
        <v>587</v>
      </c>
      <c r="H52" s="322"/>
      <c r="I52" s="447"/>
      <c r="J52" s="447"/>
      <c r="K52" s="438"/>
      <c r="L52" s="447"/>
      <c r="M52" s="888">
        <f>G48*$G52</f>
        <v>6726420</v>
      </c>
      <c r="N52" s="889" t="s">
        <v>594</v>
      </c>
      <c r="O52" s="889"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8" customFormat="1" ht="15.75" hidden="1" customHeight="1">
      <c r="A53" s="343" t="str">
        <f>IF(B53&lt;&gt;"",IF(AND(B53='IN-TC'!$S$4,OR(TH!N53="1111",TH!O53="1111")),TH!D53,""),"")</f>
        <v/>
      </c>
      <c r="B53" s="63">
        <f t="shared" si="2"/>
        <v>2</v>
      </c>
      <c r="C53" s="882">
        <v>42429</v>
      </c>
      <c r="D53" s="882" t="s">
        <v>585</v>
      </c>
      <c r="E53" s="882">
        <f t="shared" si="5"/>
        <v>42429</v>
      </c>
      <c r="F53" s="883" t="s">
        <v>1348</v>
      </c>
      <c r="G53" s="278"/>
      <c r="H53" s="322"/>
      <c r="I53" s="447"/>
      <c r="J53" s="447"/>
      <c r="K53" s="438"/>
      <c r="L53" s="447"/>
      <c r="M53" s="888">
        <f>G49*$G52</f>
        <v>19505880</v>
      </c>
      <c r="N53" s="889" t="s">
        <v>283</v>
      </c>
      <c r="O53" s="889"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8" customFormat="1" ht="15.75" hidden="1" customHeight="1">
      <c r="A54" s="343" t="str">
        <f>IF(B54&lt;&gt;"",IF(AND(B54='IN-TC'!$S$4,OR(TH!N54="1111",TH!O54="1111")),TH!D54,""),"")</f>
        <v/>
      </c>
      <c r="B54" s="63">
        <f t="shared" si="2"/>
        <v>2</v>
      </c>
      <c r="C54" s="882">
        <v>42429</v>
      </c>
      <c r="D54" s="882" t="s">
        <v>585</v>
      </c>
      <c r="E54" s="882">
        <f t="shared" si="5"/>
        <v>42429</v>
      </c>
      <c r="F54" s="883" t="s">
        <v>1349</v>
      </c>
      <c r="G54" s="990" t="s">
        <v>588</v>
      </c>
      <c r="H54" s="324"/>
      <c r="I54" s="445"/>
      <c r="J54" s="445"/>
      <c r="K54" s="436"/>
      <c r="L54" s="445"/>
      <c r="M54" s="888">
        <f>G48*$G54</f>
        <v>560535</v>
      </c>
      <c r="N54" s="889" t="s">
        <v>595</v>
      </c>
      <c r="O54" s="889"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8" customFormat="1" ht="15.75" hidden="1" customHeight="1">
      <c r="A55" s="343" t="str">
        <f>IF(B55&lt;&gt;"",IF(AND(B55='IN-TC'!$S$4,OR(TH!N55="1111",TH!O55="1111")),TH!D55,""),"")</f>
        <v/>
      </c>
      <c r="B55" s="63">
        <f t="shared" si="2"/>
        <v>2</v>
      </c>
      <c r="C55" s="882">
        <v>42429</v>
      </c>
      <c r="D55" s="882" t="s">
        <v>585</v>
      </c>
      <c r="E55" s="882">
        <f t="shared" si="5"/>
        <v>42429</v>
      </c>
      <c r="F55" s="883" t="s">
        <v>1350</v>
      </c>
      <c r="G55" s="278"/>
      <c r="H55" s="324"/>
      <c r="I55" s="445"/>
      <c r="J55" s="445"/>
      <c r="K55" s="436"/>
      <c r="L55" s="445"/>
      <c r="M55" s="888">
        <f>G49*$G54</f>
        <v>1625490</v>
      </c>
      <c r="N55" s="889" t="s">
        <v>595</v>
      </c>
      <c r="O55" s="889"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8" customFormat="1" ht="15.75" hidden="1" customHeight="1">
      <c r="A56" s="343" t="str">
        <f>IF(B56&lt;&gt;"",IF(AND(B56='IN-TC'!$S$4,OR(TH!N56="1111",TH!O56="1111")),TH!D56,""),"")</f>
        <v/>
      </c>
      <c r="B56" s="63">
        <f t="shared" si="2"/>
        <v>2</v>
      </c>
      <c r="C56" s="882">
        <v>42429</v>
      </c>
      <c r="D56" s="882" t="s">
        <v>585</v>
      </c>
      <c r="E56" s="882">
        <f t="shared" si="5"/>
        <v>42429</v>
      </c>
      <c r="F56" s="883" t="s">
        <v>1351</v>
      </c>
      <c r="G56" s="990" t="s">
        <v>589</v>
      </c>
      <c r="H56" s="322"/>
      <c r="I56" s="447"/>
      <c r="J56" s="447"/>
      <c r="K56" s="438"/>
      <c r="L56" s="447"/>
      <c r="M56" s="888">
        <f>G48*$G56</f>
        <v>1121070</v>
      </c>
      <c r="N56" s="889" t="s">
        <v>594</v>
      </c>
      <c r="O56" s="889"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8" customFormat="1" ht="15.75" hidden="1" customHeight="1">
      <c r="A57" s="343" t="str">
        <f>IF(B57&lt;&gt;"",IF(AND(B57='IN-TC'!$S$4,OR(TH!N57="1111",TH!O57="1111")),TH!D57,""),"")</f>
        <v/>
      </c>
      <c r="B57" s="63">
        <f t="shared" si="2"/>
        <v>2</v>
      </c>
      <c r="C57" s="882">
        <v>42429</v>
      </c>
      <c r="D57" s="882" t="s">
        <v>585</v>
      </c>
      <c r="E57" s="882">
        <f t="shared" si="5"/>
        <v>42429</v>
      </c>
      <c r="F57" s="883" t="s">
        <v>1352</v>
      </c>
      <c r="G57" s="278"/>
      <c r="H57" s="322"/>
      <c r="I57" s="447"/>
      <c r="J57" s="447"/>
      <c r="K57" s="438"/>
      <c r="L57" s="447"/>
      <c r="M57" s="888">
        <f>G49*$G56</f>
        <v>3250980</v>
      </c>
      <c r="N57" s="889" t="s">
        <v>283</v>
      </c>
      <c r="O57" s="889"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8" customFormat="1" ht="15.75" hidden="1" customHeight="1">
      <c r="A58" s="343" t="str">
        <f>IF(B58&lt;&gt;"",IF(AND(B58='IN-TC'!$S$4,OR(TH!N58="1111",TH!O58="1111")),TH!D58,""),"")</f>
        <v/>
      </c>
      <c r="B58" s="63">
        <f t="shared" si="2"/>
        <v>2</v>
      </c>
      <c r="C58" s="882">
        <v>42429</v>
      </c>
      <c r="D58" s="882" t="s">
        <v>585</v>
      </c>
      <c r="E58" s="882">
        <f t="shared" si="5"/>
        <v>42429</v>
      </c>
      <c r="F58" s="883" t="s">
        <v>1353</v>
      </c>
      <c r="G58" s="990" t="s">
        <v>590</v>
      </c>
      <c r="H58" s="322"/>
      <c r="I58" s="447"/>
      <c r="J58" s="447"/>
      <c r="K58" s="438"/>
      <c r="L58" s="447"/>
      <c r="M58" s="888">
        <f>G48*$G58</f>
        <v>373690</v>
      </c>
      <c r="N58" s="889" t="s">
        <v>595</v>
      </c>
      <c r="O58" s="889"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8" customFormat="1" ht="15.75" hidden="1" customHeight="1">
      <c r="A59" s="343" t="str">
        <f>IF(B59&lt;&gt;"",IF(AND(B59='IN-TC'!$S$4,OR(TH!N59="1111",TH!O59="1111")),TH!D59,""),"")</f>
        <v/>
      </c>
      <c r="B59" s="63">
        <f t="shared" si="2"/>
        <v>2</v>
      </c>
      <c r="C59" s="882">
        <v>42429</v>
      </c>
      <c r="D59" s="882" t="s">
        <v>585</v>
      </c>
      <c r="E59" s="882">
        <f t="shared" si="5"/>
        <v>42429</v>
      </c>
      <c r="F59" s="883" t="s">
        <v>1354</v>
      </c>
      <c r="G59" s="278"/>
      <c r="H59" s="322"/>
      <c r="I59" s="447"/>
      <c r="J59" s="447"/>
      <c r="K59" s="438"/>
      <c r="L59" s="447"/>
      <c r="M59" s="888">
        <f>G49*$G58</f>
        <v>1083660</v>
      </c>
      <c r="N59" s="889" t="s">
        <v>595</v>
      </c>
      <c r="O59" s="889"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8" customFormat="1" ht="15.75" hidden="1" customHeight="1">
      <c r="A60" s="343" t="str">
        <f>IF(B60&lt;&gt;"",IF(AND(B60='IN-TC'!$S$4,OR(TH!N60="1111",TH!O60="1111")),TH!D60,""),"")</f>
        <v/>
      </c>
      <c r="B60" s="63">
        <f t="shared" si="2"/>
        <v>2</v>
      </c>
      <c r="C60" s="882">
        <v>42429</v>
      </c>
      <c r="D60" s="882" t="s">
        <v>585</v>
      </c>
      <c r="E60" s="882">
        <f t="shared" si="5"/>
        <v>42429</v>
      </c>
      <c r="F60" s="883" t="s">
        <v>1355</v>
      </c>
      <c r="G60" s="990" t="s">
        <v>590</v>
      </c>
      <c r="H60" s="1147"/>
      <c r="I60" s="448"/>
      <c r="J60" s="448"/>
      <c r="K60" s="439"/>
      <c r="L60" s="448"/>
      <c r="M60" s="888">
        <f>M58</f>
        <v>373690</v>
      </c>
      <c r="N60" s="889" t="s">
        <v>594</v>
      </c>
      <c r="O60" s="889"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8" customFormat="1" ht="15.75" hidden="1" customHeight="1">
      <c r="A61" s="343" t="str">
        <f>IF(B61&lt;&gt;"",IF(AND(B61='IN-TC'!$S$4,OR(TH!N61="1111",TH!O61="1111")),TH!D61,""),"")</f>
        <v/>
      </c>
      <c r="B61" s="63">
        <f t="shared" si="2"/>
        <v>2</v>
      </c>
      <c r="C61" s="882">
        <v>42429</v>
      </c>
      <c r="D61" s="882" t="s">
        <v>585</v>
      </c>
      <c r="E61" s="882">
        <f t="shared" si="5"/>
        <v>42429</v>
      </c>
      <c r="F61" s="883" t="s">
        <v>1356</v>
      </c>
      <c r="G61" s="278"/>
      <c r="H61" s="322"/>
      <c r="I61" s="447"/>
      <c r="J61" s="447"/>
      <c r="K61" s="438"/>
      <c r="L61" s="447"/>
      <c r="M61" s="888">
        <f>M59</f>
        <v>1083660</v>
      </c>
      <c r="N61" s="889" t="s">
        <v>283</v>
      </c>
      <c r="O61" s="889"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8" customFormat="1" ht="15.75" hidden="1" customHeight="1">
      <c r="A62" s="343" t="str">
        <f>IF(B62&lt;&gt;"",IF(AND(B62='IN-TC'!$S$4,OR(TH!N62="1111",TH!O62="1111")),TH!D62,""),"")</f>
        <v/>
      </c>
      <c r="B62" s="63">
        <f t="shared" si="2"/>
        <v>3</v>
      </c>
      <c r="C62" s="882">
        <v>42460</v>
      </c>
      <c r="D62" s="882" t="s">
        <v>585</v>
      </c>
      <c r="E62" s="882">
        <f t="shared" si="5"/>
        <v>42460</v>
      </c>
      <c r="F62" s="883" t="s">
        <v>1343</v>
      </c>
      <c r="G62" s="278">
        <v>37369000</v>
      </c>
      <c r="H62" s="322"/>
      <c r="I62" s="447"/>
      <c r="J62" s="447"/>
      <c r="K62" s="438"/>
      <c r="L62" s="447"/>
      <c r="M62" s="888">
        <v>37691667</v>
      </c>
      <c r="N62" s="889" t="s">
        <v>594</v>
      </c>
      <c r="O62" s="889"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8" customFormat="1" ht="15.75" hidden="1" customHeight="1">
      <c r="A63" s="343" t="str">
        <f>IF(B63&lt;&gt;"",IF(AND(B63='IN-TC'!$S$4,OR(TH!N63="1111",TH!O63="1111")),TH!D63,""),"")</f>
        <v/>
      </c>
      <c r="B63" s="63">
        <f t="shared" si="2"/>
        <v>3</v>
      </c>
      <c r="C63" s="882">
        <v>42460</v>
      </c>
      <c r="D63" s="882" t="s">
        <v>585</v>
      </c>
      <c r="E63" s="882">
        <f t="shared" si="5"/>
        <v>42460</v>
      </c>
      <c r="F63" s="883" t="s">
        <v>1344</v>
      </c>
      <c r="G63" s="278">
        <v>108366000</v>
      </c>
      <c r="H63" s="322"/>
      <c r="I63" s="447"/>
      <c r="J63" s="447"/>
      <c r="K63" s="438"/>
      <c r="L63" s="447"/>
      <c r="M63" s="888">
        <v>118338627</v>
      </c>
      <c r="N63" s="889" t="s">
        <v>283</v>
      </c>
      <c r="O63" s="889"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8" customFormat="1" ht="15.75" hidden="1" customHeight="1">
      <c r="A64" s="343" t="str">
        <f>IF(B64&lt;&gt;"",IF(AND(B64='IN-TC'!$S$4,OR(TH!N64="1111",TH!O64="1111")),TH!D64,""),"")</f>
        <v/>
      </c>
      <c r="B64" s="63">
        <f t="shared" si="2"/>
        <v>3</v>
      </c>
      <c r="C64" s="882">
        <v>42460</v>
      </c>
      <c r="D64" s="882" t="s">
        <v>585</v>
      </c>
      <c r="E64" s="882">
        <f t="shared" si="5"/>
        <v>42460</v>
      </c>
      <c r="F64" s="883" t="s">
        <v>1345</v>
      </c>
      <c r="G64" s="990" t="s">
        <v>586</v>
      </c>
      <c r="H64" s="322"/>
      <c r="I64" s="447"/>
      <c r="J64" s="447"/>
      <c r="K64" s="438"/>
      <c r="L64" s="447"/>
      <c r="M64" s="888">
        <f>G62*$G64</f>
        <v>2989520</v>
      </c>
      <c r="N64" s="889" t="s">
        <v>595</v>
      </c>
      <c r="O64" s="889"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8" customFormat="1" ht="15.75" hidden="1" customHeight="1">
      <c r="A65" s="343" t="str">
        <f>IF(B65&lt;&gt;"",IF(AND(B65='IN-TC'!$S$4,OR(TH!N65="1111",TH!O65="1111")),TH!D65,""),"")</f>
        <v/>
      </c>
      <c r="B65" s="63">
        <f t="shared" si="2"/>
        <v>3</v>
      </c>
      <c r="C65" s="882">
        <v>42460</v>
      </c>
      <c r="D65" s="882" t="s">
        <v>585</v>
      </c>
      <c r="E65" s="882">
        <f t="shared" si="5"/>
        <v>42460</v>
      </c>
      <c r="F65" s="883" t="s">
        <v>1346</v>
      </c>
      <c r="G65" s="278"/>
      <c r="H65" s="322"/>
      <c r="I65" s="447"/>
      <c r="J65" s="447"/>
      <c r="K65" s="438"/>
      <c r="L65" s="447"/>
      <c r="M65" s="888">
        <f>G63*$G64</f>
        <v>8669280</v>
      </c>
      <c r="N65" s="890" t="s">
        <v>595</v>
      </c>
      <c r="O65" s="891"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8" customFormat="1" ht="15.75" hidden="1" customHeight="1">
      <c r="A66" s="343" t="str">
        <f>IF(B66&lt;&gt;"",IF(AND(B66='IN-TC'!$S$4,OR(TH!N66="1111",TH!O66="1111")),TH!D66,""),"")</f>
        <v/>
      </c>
      <c r="B66" s="63">
        <f t="shared" si="2"/>
        <v>3</v>
      </c>
      <c r="C66" s="882">
        <v>42460</v>
      </c>
      <c r="D66" s="882" t="s">
        <v>585</v>
      </c>
      <c r="E66" s="882">
        <f t="shared" si="5"/>
        <v>42460</v>
      </c>
      <c r="F66" s="883" t="s">
        <v>1347</v>
      </c>
      <c r="G66" s="990" t="s">
        <v>587</v>
      </c>
      <c r="H66" s="322"/>
      <c r="I66" s="447"/>
      <c r="J66" s="447"/>
      <c r="K66" s="438"/>
      <c r="L66" s="447"/>
      <c r="M66" s="888">
        <f>G62*$G66</f>
        <v>6726420</v>
      </c>
      <c r="N66" s="889" t="s">
        <v>594</v>
      </c>
      <c r="O66" s="889"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8" customFormat="1" ht="15.75" hidden="1" customHeight="1">
      <c r="A67" s="343" t="str">
        <f>IF(B67&lt;&gt;"",IF(AND(B67='IN-TC'!$S$4,OR(TH!N67="1111",TH!O67="1111")),TH!D67,""),"")</f>
        <v/>
      </c>
      <c r="B67" s="63">
        <f t="shared" si="2"/>
        <v>3</v>
      </c>
      <c r="C67" s="882">
        <v>42460</v>
      </c>
      <c r="D67" s="882" t="s">
        <v>585</v>
      </c>
      <c r="E67" s="882">
        <f t="shared" si="5"/>
        <v>42460</v>
      </c>
      <c r="F67" s="883" t="s">
        <v>1348</v>
      </c>
      <c r="G67" s="278"/>
      <c r="H67" s="322"/>
      <c r="I67" s="447"/>
      <c r="J67" s="447"/>
      <c r="K67" s="438"/>
      <c r="L67" s="447"/>
      <c r="M67" s="888">
        <f>G63*$G66</f>
        <v>19505880</v>
      </c>
      <c r="N67" s="889" t="s">
        <v>283</v>
      </c>
      <c r="O67" s="889"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8" customFormat="1" ht="15.75" hidden="1" customHeight="1">
      <c r="A68" s="343" t="str">
        <f>IF(B68&lt;&gt;"",IF(AND(B68='IN-TC'!$S$4,OR(TH!N68="1111",TH!O68="1111")),TH!D68,""),"")</f>
        <v/>
      </c>
      <c r="B68" s="63">
        <f t="shared" si="2"/>
        <v>3</v>
      </c>
      <c r="C68" s="882">
        <v>42460</v>
      </c>
      <c r="D68" s="882" t="s">
        <v>585</v>
      </c>
      <c r="E68" s="882">
        <f t="shared" si="5"/>
        <v>42460</v>
      </c>
      <c r="F68" s="883" t="s">
        <v>1349</v>
      </c>
      <c r="G68" s="990" t="s">
        <v>588</v>
      </c>
      <c r="H68" s="324"/>
      <c r="I68" s="445"/>
      <c r="J68" s="445"/>
      <c r="K68" s="436"/>
      <c r="L68" s="445"/>
      <c r="M68" s="888">
        <f>G62*$G68</f>
        <v>560535</v>
      </c>
      <c r="N68" s="889" t="s">
        <v>595</v>
      </c>
      <c r="O68" s="889"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8" customFormat="1" ht="15.75" hidden="1" customHeight="1">
      <c r="A69" s="343" t="str">
        <f>IF(B69&lt;&gt;"",IF(AND(B69='IN-TC'!$S$4,OR(TH!N69="1111",TH!O69="1111")),TH!D69,""),"")</f>
        <v/>
      </c>
      <c r="B69" s="63">
        <f t="shared" si="2"/>
        <v>3</v>
      </c>
      <c r="C69" s="882">
        <v>42460</v>
      </c>
      <c r="D69" s="882" t="s">
        <v>585</v>
      </c>
      <c r="E69" s="882">
        <f>C69</f>
        <v>42460</v>
      </c>
      <c r="F69" s="883" t="s">
        <v>1350</v>
      </c>
      <c r="G69" s="278"/>
      <c r="H69" s="324"/>
      <c r="I69" s="445"/>
      <c r="J69" s="445"/>
      <c r="K69" s="436"/>
      <c r="L69" s="445"/>
      <c r="M69" s="888">
        <f>G63*$G68</f>
        <v>1625490</v>
      </c>
      <c r="N69" s="889" t="s">
        <v>595</v>
      </c>
      <c r="O69" s="889"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8" customFormat="1" ht="15.75" hidden="1" customHeight="1">
      <c r="A70" s="343" t="str">
        <f>IF(B70&lt;&gt;"",IF(AND(B70='IN-TC'!$S$4,OR(TH!N70="1111",TH!O70="1111")),TH!D70,""),"")</f>
        <v/>
      </c>
      <c r="B70" s="63">
        <f t="shared" si="2"/>
        <v>3</v>
      </c>
      <c r="C70" s="882">
        <v>42460</v>
      </c>
      <c r="D70" s="882" t="s">
        <v>585</v>
      </c>
      <c r="E70" s="882">
        <f t="shared" ref="E70:E75" si="6">C70</f>
        <v>42460</v>
      </c>
      <c r="F70" s="883" t="s">
        <v>1351</v>
      </c>
      <c r="G70" s="990" t="s">
        <v>589</v>
      </c>
      <c r="H70" s="322"/>
      <c r="I70" s="447"/>
      <c r="J70" s="447"/>
      <c r="K70" s="438"/>
      <c r="L70" s="447"/>
      <c r="M70" s="888">
        <f>G62*$G70</f>
        <v>1121070</v>
      </c>
      <c r="N70" s="889" t="s">
        <v>594</v>
      </c>
      <c r="O70" s="889"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8" customFormat="1" ht="15.75" hidden="1" customHeight="1">
      <c r="A71" s="343" t="str">
        <f>IF(B71&lt;&gt;"",IF(AND(B71='IN-TC'!$S$4,OR(TH!N71="1111",TH!O71="1111")),TH!D71,""),"")</f>
        <v/>
      </c>
      <c r="B71" s="63">
        <f t="shared" si="2"/>
        <v>3</v>
      </c>
      <c r="C71" s="882">
        <v>42460</v>
      </c>
      <c r="D71" s="882" t="s">
        <v>585</v>
      </c>
      <c r="E71" s="882">
        <f t="shared" si="6"/>
        <v>42460</v>
      </c>
      <c r="F71" s="883" t="s">
        <v>1352</v>
      </c>
      <c r="G71" s="278"/>
      <c r="H71" s="322"/>
      <c r="I71" s="447"/>
      <c r="J71" s="447"/>
      <c r="K71" s="438"/>
      <c r="L71" s="447"/>
      <c r="M71" s="888">
        <f>G63*$G70</f>
        <v>3250980</v>
      </c>
      <c r="N71" s="889" t="s">
        <v>283</v>
      </c>
      <c r="O71" s="889"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8" customFormat="1" ht="15.75" hidden="1" customHeight="1">
      <c r="A72" s="343" t="str">
        <f>IF(B72&lt;&gt;"",IF(AND(B72='IN-TC'!$S$4,OR(TH!N72="1111",TH!O72="1111")),TH!D72,""),"")</f>
        <v/>
      </c>
      <c r="B72" s="63">
        <f t="shared" si="2"/>
        <v>3</v>
      </c>
      <c r="C72" s="882">
        <v>42460</v>
      </c>
      <c r="D72" s="882" t="s">
        <v>585</v>
      </c>
      <c r="E72" s="882">
        <f t="shared" si="6"/>
        <v>42460</v>
      </c>
      <c r="F72" s="883" t="s">
        <v>1353</v>
      </c>
      <c r="G72" s="990" t="s">
        <v>590</v>
      </c>
      <c r="H72" s="322"/>
      <c r="I72" s="447"/>
      <c r="J72" s="447"/>
      <c r="K72" s="438"/>
      <c r="L72" s="447"/>
      <c r="M72" s="888">
        <f>G62*$G72</f>
        <v>373690</v>
      </c>
      <c r="N72" s="889" t="s">
        <v>595</v>
      </c>
      <c r="O72" s="889"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8" customFormat="1" ht="15.75" hidden="1" customHeight="1">
      <c r="A73" s="343" t="str">
        <f>IF(B73&lt;&gt;"",IF(AND(B73='IN-TC'!$S$4,OR(TH!N73="1111",TH!O73="1111")),TH!D73,""),"")</f>
        <v/>
      </c>
      <c r="B73" s="63">
        <f t="shared" si="2"/>
        <v>3</v>
      </c>
      <c r="C73" s="882">
        <v>42460</v>
      </c>
      <c r="D73" s="882" t="s">
        <v>585</v>
      </c>
      <c r="E73" s="882">
        <f t="shared" si="6"/>
        <v>42460</v>
      </c>
      <c r="F73" s="883" t="s">
        <v>1354</v>
      </c>
      <c r="G73" s="278"/>
      <c r="H73" s="322"/>
      <c r="I73" s="447"/>
      <c r="J73" s="447"/>
      <c r="K73" s="438"/>
      <c r="L73" s="447"/>
      <c r="M73" s="888">
        <f>G63*$G72</f>
        <v>1083660</v>
      </c>
      <c r="N73" s="889" t="s">
        <v>595</v>
      </c>
      <c r="O73" s="889"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8" customFormat="1" ht="15.75" hidden="1" customHeight="1">
      <c r="A74" s="343" t="str">
        <f>IF(B74&lt;&gt;"",IF(AND(B74='IN-TC'!$S$4,OR(TH!N74="1111",TH!O74="1111")),TH!D74,""),"")</f>
        <v/>
      </c>
      <c r="B74" s="63">
        <f t="shared" si="2"/>
        <v>3</v>
      </c>
      <c r="C74" s="882">
        <v>42460</v>
      </c>
      <c r="D74" s="882" t="s">
        <v>585</v>
      </c>
      <c r="E74" s="882">
        <f t="shared" si="6"/>
        <v>42460</v>
      </c>
      <c r="F74" s="883" t="s">
        <v>1355</v>
      </c>
      <c r="G74" s="990" t="s">
        <v>590</v>
      </c>
      <c r="H74" s="1147"/>
      <c r="I74" s="448"/>
      <c r="J74" s="448"/>
      <c r="K74" s="439"/>
      <c r="L74" s="448"/>
      <c r="M74" s="888">
        <f>M72</f>
        <v>373690</v>
      </c>
      <c r="N74" s="889" t="s">
        <v>594</v>
      </c>
      <c r="O74" s="889"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8" customFormat="1" ht="15.75" hidden="1" customHeight="1">
      <c r="A75" s="343" t="str">
        <f>IF(B75&lt;&gt;"",IF(AND(B75='IN-TC'!$S$4,OR(TH!N75="1111",TH!O75="1111")),TH!D75,""),"")</f>
        <v/>
      </c>
      <c r="B75" s="63">
        <f t="shared" si="2"/>
        <v>3</v>
      </c>
      <c r="C75" s="882">
        <v>42460</v>
      </c>
      <c r="D75" s="882" t="s">
        <v>585</v>
      </c>
      <c r="E75" s="882">
        <f t="shared" si="6"/>
        <v>42460</v>
      </c>
      <c r="F75" s="883" t="s">
        <v>1356</v>
      </c>
      <c r="G75" s="278"/>
      <c r="H75" s="322"/>
      <c r="I75" s="447"/>
      <c r="J75" s="447"/>
      <c r="K75" s="438"/>
      <c r="L75" s="447"/>
      <c r="M75" s="888">
        <f>M73</f>
        <v>1083660</v>
      </c>
      <c r="N75" s="889" t="s">
        <v>283</v>
      </c>
      <c r="O75" s="889"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8" customFormat="1" ht="15.75" hidden="1" customHeight="1">
      <c r="A76" s="343" t="str">
        <f>IF(B76&lt;&gt;"",IF(AND(B76='IN-TC'!$S$4,OR(TH!N76="1111",TH!O76="1111")),TH!D76,""),"")</f>
        <v/>
      </c>
      <c r="B76" s="63">
        <f>IF(C76&lt;&gt;"",MONTH(C76),"")</f>
        <v>1</v>
      </c>
      <c r="C76" s="876">
        <v>42395</v>
      </c>
      <c r="D76" s="876" t="s">
        <v>599</v>
      </c>
      <c r="E76" s="876">
        <f>C76</f>
        <v>42395</v>
      </c>
      <c r="F76" s="877" t="s">
        <v>583</v>
      </c>
      <c r="G76" s="993" t="s">
        <v>620</v>
      </c>
      <c r="H76" s="985" t="s">
        <v>604</v>
      </c>
      <c r="I76" s="986">
        <v>7100</v>
      </c>
      <c r="J76" s="988">
        <v>11.2</v>
      </c>
      <c r="K76" s="987">
        <v>79520</v>
      </c>
      <c r="L76" s="986">
        <v>22365</v>
      </c>
      <c r="M76" s="878">
        <v>1778464800</v>
      </c>
      <c r="N76" s="884" t="s">
        <v>591</v>
      </c>
      <c r="O76" s="884"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8" customFormat="1" ht="15.75" hidden="1" customHeight="1">
      <c r="A77" s="343" t="str">
        <f>IF(B77&lt;&gt;"",IF(AND(B77='IN-TC'!$S$4,OR(TH!N77="1111",TH!O77="1111")),TH!D77,""),"")</f>
        <v/>
      </c>
      <c r="B77" s="63">
        <f>IF(C77&lt;&gt;"",MONTH(C77),"")</f>
        <v>1</v>
      </c>
      <c r="C77" s="876">
        <v>42395</v>
      </c>
      <c r="D77" s="876" t="s">
        <v>600</v>
      </c>
      <c r="E77" s="876">
        <f>C77</f>
        <v>42395</v>
      </c>
      <c r="F77" s="877" t="s">
        <v>584</v>
      </c>
      <c r="G77" s="993" t="s">
        <v>621</v>
      </c>
      <c r="H77" s="985" t="s">
        <v>601</v>
      </c>
      <c r="I77" s="986">
        <v>4800</v>
      </c>
      <c r="J77" s="988">
        <v>8.6999999999999993</v>
      </c>
      <c r="K77" s="987">
        <v>41760</v>
      </c>
      <c r="L77" s="986">
        <v>22365</v>
      </c>
      <c r="M77" s="878">
        <v>933962400</v>
      </c>
      <c r="N77" s="884" t="s">
        <v>591</v>
      </c>
      <c r="O77" s="884"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hidden="1" customHeight="1">
      <c r="A78" s="343" t="str">
        <f>IF(B78&lt;&gt;"",IF(AND(B78='IN-TC'!$S$4,OR(TH!N78="1111",TH!O78="1111")),TH!D78,""),"")</f>
        <v/>
      </c>
      <c r="B78" s="63">
        <f>IF(C78&lt;&gt;"",MONTH(C78),"")</f>
        <v>2</v>
      </c>
      <c r="C78" s="876">
        <v>42402</v>
      </c>
      <c r="D78" s="876" t="s">
        <v>1006</v>
      </c>
      <c r="E78" s="876">
        <f>C78</f>
        <v>42402</v>
      </c>
      <c r="F78" s="877" t="s">
        <v>453</v>
      </c>
      <c r="G78" s="994" t="s">
        <v>1007</v>
      </c>
      <c r="H78" s="985" t="s">
        <v>602</v>
      </c>
      <c r="I78" s="986">
        <v>12000</v>
      </c>
      <c r="J78" s="988">
        <v>8.58</v>
      </c>
      <c r="K78" s="987">
        <f>I78*J78</f>
        <v>102960</v>
      </c>
      <c r="L78" s="986">
        <v>22215</v>
      </c>
      <c r="M78" s="878">
        <f>ROUND(K78*L78,0)</f>
        <v>2287256400</v>
      </c>
      <c r="N78" s="884" t="s">
        <v>591</v>
      </c>
      <c r="O78" s="884"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x</v>
      </c>
      <c r="Z78" s="85"/>
      <c r="AA78" s="85" t="str">
        <f>IF(AND(MONTH(E78)='IN-NX'!$J$5,'IN-NX'!$D$7=D78),"x","")</f>
        <v/>
      </c>
      <c r="AB78" s="85" t="str">
        <f>IF(AND(OR(LEFT(TH!N78,2)="15",LEFT(TH!O78,2)="15"),'152-CT'!$J$8=TH!F78),"x","")</f>
        <v/>
      </c>
      <c r="AC78" s="85" t="str">
        <f>IF(AND(OR(LEFT(TH!N78,2)="15",LEFT(TH!O78,2)="15"),TK!$E$7=TH!F78),"x","")</f>
        <v/>
      </c>
      <c r="AD78" s="85" t="str">
        <f>IF(AND(N78="1521",MONTH(C78)='BK-NL'!$M$11),"x","")</f>
        <v/>
      </c>
    </row>
    <row r="79" spans="1:30" s="354" customFormat="1" ht="15.75" hidden="1" customHeight="1">
      <c r="A79" s="343" t="str">
        <f>IF(B79&lt;&gt;"",IF(AND(B79='IN-TC'!$S$4,OR(TH!N79="1111",TH!O79="1111")),TH!D79,""),"")</f>
        <v/>
      </c>
      <c r="B79" s="63">
        <f>IF(C79&lt;&gt;"",MONTH(C79),"")</f>
        <v>3</v>
      </c>
      <c r="C79" s="989">
        <v>42443</v>
      </c>
      <c r="D79" s="876" t="s">
        <v>1006</v>
      </c>
      <c r="E79" s="876">
        <f>C79</f>
        <v>42443</v>
      </c>
      <c r="F79" s="877" t="s">
        <v>453</v>
      </c>
      <c r="G79" s="994" t="s">
        <v>1008</v>
      </c>
      <c r="H79" s="985" t="s">
        <v>602</v>
      </c>
      <c r="I79" s="986">
        <v>12500</v>
      </c>
      <c r="J79" s="988">
        <v>8.43</v>
      </c>
      <c r="K79" s="987">
        <f>I79*J79</f>
        <v>105375</v>
      </c>
      <c r="L79" s="986">
        <v>22255</v>
      </c>
      <c r="M79" s="878">
        <f>ROUND(K79*L79,0)</f>
        <v>2345120625</v>
      </c>
      <c r="N79" s="884" t="s">
        <v>591</v>
      </c>
      <c r="O79" s="884"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x</v>
      </c>
      <c r="Z79" s="85"/>
      <c r="AA79" s="85" t="str">
        <f>IF(AND(MONTH(E79)='IN-NX'!$J$5,'IN-NX'!$D$7=D79),"x","")</f>
        <v/>
      </c>
      <c r="AB79" s="85" t="str">
        <f>IF(AND(OR(LEFT(TH!N79,2)="15",LEFT(TH!O79,2)="15"),'152-CT'!$J$8=TH!F79),"x","")</f>
        <v/>
      </c>
      <c r="AC79" s="85" t="str">
        <f>IF(AND(OR(LEFT(TH!N79,2)="15",LEFT(TH!O79,2)="15"),TK!$E$7=TH!F79),"x","")</f>
        <v/>
      </c>
      <c r="AD79" s="85" t="str">
        <f>IF(AND(N79="1521",MONTH(C79)='BK-NL'!$M$11),"x","")</f>
        <v/>
      </c>
    </row>
    <row r="80" spans="1:30" s="348" customFormat="1" ht="15.75" hidden="1" customHeight="1">
      <c r="A80" s="343" t="str">
        <f>IF(B80&lt;&gt;"",IF(AND(B80='IN-TC'!$S$4,OR(TH!N80="1111",TH!O80="1111")),TH!D80,""),"")</f>
        <v/>
      </c>
      <c r="B80" s="63">
        <f t="shared" si="2"/>
        <v>1</v>
      </c>
      <c r="C80" s="81">
        <f t="shared" ref="C80:C92" si="7">E80</f>
        <v>42389</v>
      </c>
      <c r="D80" s="81" t="s">
        <v>702</v>
      </c>
      <c r="E80" s="81">
        <v>42389</v>
      </c>
      <c r="F80" s="82" t="s">
        <v>452</v>
      </c>
      <c r="G80" s="82"/>
      <c r="H80" s="83" t="s">
        <v>700</v>
      </c>
      <c r="I80" s="445">
        <v>7100</v>
      </c>
      <c r="J80" s="445">
        <v>192019.31991146883</v>
      </c>
      <c r="K80" s="436"/>
      <c r="L80" s="445"/>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8" customFormat="1" ht="15.75" hidden="1" customHeight="1">
      <c r="A81" s="343" t="str">
        <f>IF(B81&lt;&gt;"",IF(AND(B81='IN-TC'!$S$4,OR(TH!N81="1111",TH!O81="1111")),TH!D81,""),"")</f>
        <v/>
      </c>
      <c r="B81" s="63">
        <f t="shared" si="2"/>
        <v>1</v>
      </c>
      <c r="C81" s="81">
        <f t="shared" si="7"/>
        <v>42393</v>
      </c>
      <c r="D81" s="81" t="s">
        <v>703</v>
      </c>
      <c r="E81" s="81">
        <v>42393</v>
      </c>
      <c r="F81" s="82" t="s">
        <v>454</v>
      </c>
      <c r="G81" s="82"/>
      <c r="H81" s="83" t="s">
        <v>700</v>
      </c>
      <c r="I81" s="445">
        <v>4800</v>
      </c>
      <c r="J81" s="445">
        <v>168506.85547551978</v>
      </c>
      <c r="K81" s="436"/>
      <c r="L81" s="445"/>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8" customFormat="1" ht="15.75" hidden="1" customHeight="1">
      <c r="A82" s="343" t="str">
        <f>IF(B82&lt;&gt;"",IF(AND(B82='IN-TC'!$S$4,OR(TH!N82="1111",TH!O82="1111")),TH!D82,""),"")</f>
        <v/>
      </c>
      <c r="B82" s="63">
        <f t="shared" si="2"/>
        <v>1</v>
      </c>
      <c r="C82" s="81">
        <f t="shared" si="7"/>
        <v>42400</v>
      </c>
      <c r="D82" s="81" t="s">
        <v>704</v>
      </c>
      <c r="E82" s="81">
        <v>42400</v>
      </c>
      <c r="F82" s="82" t="s">
        <v>453</v>
      </c>
      <c r="G82" s="82"/>
      <c r="H82" s="83" t="s">
        <v>700</v>
      </c>
      <c r="I82" s="445">
        <v>12000</v>
      </c>
      <c r="J82" s="445">
        <v>175689.47836217305</v>
      </c>
      <c r="K82" s="436"/>
      <c r="L82" s="445"/>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8" customFormat="1" ht="15.75" hidden="1" customHeight="1">
      <c r="A83" s="343" t="str">
        <f>IF(B83&lt;&gt;"",IF(AND(B83='IN-TC'!$S$4,OR(TH!N83="1111",TH!O83="1111")),TH!D83,""),"")</f>
        <v/>
      </c>
      <c r="B83" s="63">
        <f t="shared" si="2"/>
        <v>1</v>
      </c>
      <c r="C83" s="81">
        <f t="shared" si="7"/>
        <v>42395</v>
      </c>
      <c r="D83" s="81" t="s">
        <v>599</v>
      </c>
      <c r="E83" s="81">
        <v>42395</v>
      </c>
      <c r="F83" s="82" t="s">
        <v>452</v>
      </c>
      <c r="G83" s="82"/>
      <c r="H83" s="83" t="s">
        <v>604</v>
      </c>
      <c r="I83" s="445">
        <v>7100</v>
      </c>
      <c r="J83" s="445">
        <v>192019.31991146883</v>
      </c>
      <c r="K83" s="436"/>
      <c r="L83" s="445"/>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8" customFormat="1" ht="15.75" hidden="1" customHeight="1">
      <c r="A84" s="343" t="str">
        <f>IF(B84&lt;&gt;"",IF(AND(B84='IN-TC'!$S$4,OR(TH!N84="1111",TH!O84="1111")),TH!D84,""),"")</f>
        <v/>
      </c>
      <c r="B84" s="63">
        <f t="shared" si="2"/>
        <v>1</v>
      </c>
      <c r="C84" s="81">
        <f t="shared" si="7"/>
        <v>42395</v>
      </c>
      <c r="D84" s="81" t="s">
        <v>600</v>
      </c>
      <c r="E84" s="81">
        <v>42395</v>
      </c>
      <c r="F84" s="82" t="s">
        <v>454</v>
      </c>
      <c r="G84" s="82"/>
      <c r="H84" s="83" t="s">
        <v>601</v>
      </c>
      <c r="I84" s="445">
        <v>4800</v>
      </c>
      <c r="J84" s="445">
        <v>168506.85547551978</v>
      </c>
      <c r="K84" s="436"/>
      <c r="L84" s="445"/>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8" customFormat="1" ht="15.75" hidden="1" customHeight="1">
      <c r="A85" s="343" t="str">
        <f>IF(B85&lt;&gt;"",IF(AND(B85='IN-TC'!$S$4,OR(TH!N85="1111",TH!O85="1111")),TH!D85,""),"")</f>
        <v/>
      </c>
      <c r="B85" s="63">
        <f t="shared" si="2"/>
        <v>2</v>
      </c>
      <c r="C85" s="81">
        <f t="shared" si="7"/>
        <v>42402</v>
      </c>
      <c r="D85" s="81" t="s">
        <v>599</v>
      </c>
      <c r="E85" s="81">
        <v>42402</v>
      </c>
      <c r="F85" s="82" t="s">
        <v>453</v>
      </c>
      <c r="G85" s="82"/>
      <c r="H85" s="976" t="s">
        <v>602</v>
      </c>
      <c r="I85" s="445">
        <v>12000</v>
      </c>
      <c r="J85" s="445">
        <v>175689.47836217305</v>
      </c>
      <c r="K85" s="436"/>
      <c r="L85" s="445"/>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8" customFormat="1" ht="15.75" hidden="1" customHeight="1">
      <c r="A86" s="343" t="str">
        <f>IF(B86&lt;&gt;"",IF(AND(B86='IN-TC'!$S$4,OR(TH!N86="1111",TH!O86="1111")),TH!D86,""),"")</f>
        <v/>
      </c>
      <c r="B86" s="63">
        <f t="shared" si="2"/>
        <v>2</v>
      </c>
      <c r="C86" s="81">
        <f t="shared" si="7"/>
        <v>42429</v>
      </c>
      <c r="D86" s="81" t="s">
        <v>702</v>
      </c>
      <c r="E86" s="81">
        <v>42429</v>
      </c>
      <c r="F86" s="82" t="s">
        <v>453</v>
      </c>
      <c r="G86" s="82"/>
      <c r="H86" s="83" t="s">
        <v>701</v>
      </c>
      <c r="I86" s="445">
        <v>8000</v>
      </c>
      <c r="J86" s="445">
        <v>179600.94</v>
      </c>
      <c r="K86" s="436"/>
      <c r="L86" s="445"/>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8" customFormat="1" ht="15.75" hidden="1" customHeight="1">
      <c r="A87" s="343" t="str">
        <f>IF(B87&lt;&gt;"",IF(AND(B87='IN-TC'!$S$4,OR(TH!N87="1111",TH!O87="1111")),TH!D87,""),"")</f>
        <v/>
      </c>
      <c r="B87" s="63">
        <f t="shared" ref="B87:B118" si="9">IF(C87&lt;&gt;"",MONTH(C87),"")</f>
        <v>3</v>
      </c>
      <c r="C87" s="81">
        <f t="shared" si="7"/>
        <v>42430</v>
      </c>
      <c r="D87" s="81" t="s">
        <v>599</v>
      </c>
      <c r="E87" s="81">
        <v>42430</v>
      </c>
      <c r="F87" s="82" t="s">
        <v>453</v>
      </c>
      <c r="G87" s="82"/>
      <c r="H87" s="83" t="s">
        <v>700</v>
      </c>
      <c r="I87" s="445">
        <v>8000</v>
      </c>
      <c r="J87" s="445">
        <v>179600.94</v>
      </c>
      <c r="K87" s="436"/>
      <c r="L87" s="445"/>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8" customFormat="1" ht="15.75" hidden="1" customHeight="1">
      <c r="A88" s="343" t="str">
        <f>IF(B88&lt;&gt;"",IF(AND(B88='IN-TC'!$S$4,OR(TH!N88="1111",TH!O88="1111")),TH!D88,""),"")</f>
        <v/>
      </c>
      <c r="B88" s="63">
        <f t="shared" si="9"/>
        <v>3</v>
      </c>
      <c r="C88" s="81">
        <f t="shared" si="7"/>
        <v>42441</v>
      </c>
      <c r="D88" s="81" t="s">
        <v>702</v>
      </c>
      <c r="E88" s="81">
        <v>42441</v>
      </c>
      <c r="F88" s="82" t="s">
        <v>453</v>
      </c>
      <c r="G88" s="82"/>
      <c r="H88" s="83" t="s">
        <v>700</v>
      </c>
      <c r="I88" s="445">
        <v>8000</v>
      </c>
      <c r="J88" s="445">
        <v>181172.47863227222</v>
      </c>
      <c r="K88" s="436"/>
      <c r="L88" s="445"/>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8" customFormat="1" ht="15.75" hidden="1" customHeight="1">
      <c r="A89" s="343" t="str">
        <f>IF(B89&lt;&gt;"",IF(AND(B89='IN-TC'!$S$4,OR(TH!N89="1111",TH!O89="1111")),TH!D89,""),"")</f>
        <v/>
      </c>
      <c r="B89" s="63">
        <f t="shared" si="9"/>
        <v>3</v>
      </c>
      <c r="C89" s="81">
        <f t="shared" si="7"/>
        <v>42441</v>
      </c>
      <c r="D89" s="81" t="s">
        <v>702</v>
      </c>
      <c r="E89" s="81">
        <v>42441</v>
      </c>
      <c r="F89" s="82" t="s">
        <v>453</v>
      </c>
      <c r="G89" s="82"/>
      <c r="H89" s="83" t="s">
        <v>700</v>
      </c>
      <c r="I89" s="445">
        <v>4500</v>
      </c>
      <c r="J89" s="445">
        <v>184232.87147764169</v>
      </c>
      <c r="K89" s="436"/>
      <c r="L89" s="445"/>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8" customFormat="1" ht="15.75" hidden="1" customHeight="1">
      <c r="A90" s="343" t="str">
        <f>IF(B90&lt;&gt;"",IF(AND(B90='IN-TC'!$S$4,OR(TH!N90="1111",TH!O90="1111")),TH!D90,""),"")</f>
        <v/>
      </c>
      <c r="B90" s="63">
        <f>IF(C90&lt;&gt;"",MONTH(C90),"")</f>
        <v>3</v>
      </c>
      <c r="C90" s="81">
        <v>42459</v>
      </c>
      <c r="D90" s="81" t="s">
        <v>703</v>
      </c>
      <c r="E90" s="81">
        <f>C90</f>
        <v>42459</v>
      </c>
      <c r="F90" s="82" t="s">
        <v>454</v>
      </c>
      <c r="G90" s="82"/>
      <c r="H90" s="83" t="s">
        <v>701</v>
      </c>
      <c r="I90" s="445">
        <v>5000</v>
      </c>
      <c r="J90" s="445">
        <v>177883.42945848691</v>
      </c>
      <c r="K90" s="436"/>
      <c r="L90" s="445"/>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8" customFormat="1" ht="15.75" hidden="1" customHeight="1">
      <c r="A91" s="343" t="str">
        <f>IF(B91&lt;&gt;"",IF(AND(B91='IN-TC'!$S$4,OR(TH!N91="1111",TH!O91="1111")),TH!D91,""),"")</f>
        <v/>
      </c>
      <c r="B91" s="63">
        <f>IF(C91&lt;&gt;"",MONTH(C91),"")</f>
        <v>3</v>
      </c>
      <c r="C91" s="81">
        <f>E91</f>
        <v>42443</v>
      </c>
      <c r="D91" s="81" t="s">
        <v>600</v>
      </c>
      <c r="E91" s="81">
        <v>42443</v>
      </c>
      <c r="F91" s="82" t="s">
        <v>453</v>
      </c>
      <c r="G91" s="82"/>
      <c r="H91" s="976" t="s">
        <v>602</v>
      </c>
      <c r="I91" s="445">
        <v>8000</v>
      </c>
      <c r="J91" s="445">
        <v>181172.47863227222</v>
      </c>
      <c r="K91" s="436"/>
      <c r="L91" s="445"/>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8" customFormat="1" ht="15.75" hidden="1" customHeight="1">
      <c r="A92" s="343" t="str">
        <f>IF(B92&lt;&gt;"",IF(AND(B92='IN-TC'!$S$4,OR(TH!N92="1111",TH!O92="1111")),TH!D92,""),"")</f>
        <v/>
      </c>
      <c r="B92" s="63">
        <f t="shared" si="9"/>
        <v>3</v>
      </c>
      <c r="C92" s="81">
        <f t="shared" si="7"/>
        <v>42443</v>
      </c>
      <c r="D92" s="81" t="s">
        <v>600</v>
      </c>
      <c r="E92" s="81">
        <v>42443</v>
      </c>
      <c r="F92" s="82" t="s">
        <v>453</v>
      </c>
      <c r="G92" s="82"/>
      <c r="H92" s="976" t="s">
        <v>602</v>
      </c>
      <c r="I92" s="445">
        <v>4500</v>
      </c>
      <c r="J92" s="445">
        <v>184232.87147764169</v>
      </c>
      <c r="K92" s="436"/>
      <c r="L92" s="445"/>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8" customFormat="1" ht="15.75" hidden="1" customHeight="1">
      <c r="A93" s="343" t="str">
        <f>IF(B93&lt;&gt;"",IF(AND(B93='IN-TC'!$S$4,OR(TH!N93="1111",TH!O93="1111")),TH!D93,""),"")</f>
        <v/>
      </c>
      <c r="B93" s="63">
        <f t="shared" si="9"/>
        <v>1</v>
      </c>
      <c r="C93" s="64">
        <f t="shared" ref="C93:C108" si="11">E93</f>
        <v>42374</v>
      </c>
      <c r="D93" s="64" t="s">
        <v>680</v>
      </c>
      <c r="E93" s="64">
        <v>42374</v>
      </c>
      <c r="F93" s="67" t="s">
        <v>349</v>
      </c>
      <c r="G93" s="996" t="s">
        <v>673</v>
      </c>
      <c r="H93" s="74" t="s">
        <v>678</v>
      </c>
      <c r="I93" s="447">
        <v>1000</v>
      </c>
      <c r="J93" s="447">
        <v>13571.429</v>
      </c>
      <c r="K93" s="438"/>
      <c r="L93" s="447"/>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8" customFormat="1" ht="15.75" hidden="1" customHeight="1">
      <c r="A94" s="343" t="str">
        <f>IF(B94&lt;&gt;"",IF(AND(B94='IN-TC'!$S$4,OR(TH!N94="1111",TH!O94="1111")),TH!D94,""),"")</f>
        <v/>
      </c>
      <c r="B94" s="63">
        <f t="shared" si="9"/>
        <v>1</v>
      </c>
      <c r="C94" s="64">
        <f t="shared" si="11"/>
        <v>42374</v>
      </c>
      <c r="D94" s="64" t="s">
        <v>680</v>
      </c>
      <c r="E94" s="64">
        <v>42374</v>
      </c>
      <c r="F94" s="67" t="s">
        <v>652</v>
      </c>
      <c r="G94" s="996" t="s">
        <v>673</v>
      </c>
      <c r="H94" s="74" t="s">
        <v>678</v>
      </c>
      <c r="I94" s="447"/>
      <c r="J94" s="447"/>
      <c r="K94" s="438"/>
      <c r="L94" s="447"/>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8" customFormat="1" ht="15.75" hidden="1" customHeight="1">
      <c r="A95" s="343" t="str">
        <f>IF(B95&lt;&gt;"",IF(AND(B95='IN-TC'!$S$4,OR(TH!N95="1111",TH!O95="1111")),TH!D95,""),"")</f>
        <v/>
      </c>
      <c r="B95" s="63">
        <f t="shared" si="9"/>
        <v>1</v>
      </c>
      <c r="C95" s="64">
        <f t="shared" si="11"/>
        <v>42374</v>
      </c>
      <c r="D95" s="64" t="s">
        <v>681</v>
      </c>
      <c r="E95" s="64">
        <v>42374</v>
      </c>
      <c r="F95" s="67" t="s">
        <v>364</v>
      </c>
      <c r="G95" s="67" t="s">
        <v>675</v>
      </c>
      <c r="H95" s="74" t="s">
        <v>679</v>
      </c>
      <c r="I95" s="447">
        <v>1000</v>
      </c>
      <c r="J95" s="447">
        <v>33000</v>
      </c>
      <c r="K95" s="438"/>
      <c r="L95" s="447"/>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8" customFormat="1" ht="15.75" hidden="1" customHeight="1">
      <c r="A96" s="343" t="str">
        <f>IF(B96&lt;&gt;"",IF(AND(B96='IN-TC'!$S$4,OR(TH!N96="1111",TH!O96="1111")),TH!D96,""),"")</f>
        <v/>
      </c>
      <c r="B96" s="63">
        <f t="shared" si="9"/>
        <v>1</v>
      </c>
      <c r="C96" s="64">
        <f t="shared" si="11"/>
        <v>42374</v>
      </c>
      <c r="D96" s="64" t="s">
        <v>681</v>
      </c>
      <c r="E96" s="64">
        <v>42374</v>
      </c>
      <c r="F96" s="67" t="s">
        <v>653</v>
      </c>
      <c r="G96" s="67" t="s">
        <v>675</v>
      </c>
      <c r="H96" s="74" t="s">
        <v>679</v>
      </c>
      <c r="I96" s="447"/>
      <c r="J96" s="447"/>
      <c r="K96" s="438"/>
      <c r="L96" s="447"/>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8" customFormat="1" ht="15.75" customHeight="1">
      <c r="A97" s="343" t="str">
        <f>IF(B97&lt;&gt;"",IF(AND(B97='IN-TC'!$S$4,OR(TH!N97="1111",TH!O97="1111")),TH!D97,""),"")</f>
        <v/>
      </c>
      <c r="B97" s="63">
        <f t="shared" si="9"/>
        <v>1</v>
      </c>
      <c r="C97" s="64">
        <f t="shared" si="11"/>
        <v>42375</v>
      </c>
      <c r="D97" s="64" t="s">
        <v>682</v>
      </c>
      <c r="E97" s="64">
        <v>42375</v>
      </c>
      <c r="F97" s="67" t="s">
        <v>357</v>
      </c>
      <c r="G97" s="996" t="s">
        <v>675</v>
      </c>
      <c r="H97" s="74" t="s">
        <v>629</v>
      </c>
      <c r="I97" s="447">
        <v>5400</v>
      </c>
      <c r="J97" s="447">
        <v>14400</v>
      </c>
      <c r="K97" s="438"/>
      <c r="L97" s="447"/>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8" customFormat="1" ht="15.75" customHeight="1">
      <c r="A98" s="343" t="str">
        <f>IF(B98&lt;&gt;"",IF(AND(B98='IN-TC'!$S$4,OR(TH!N98="1111",TH!O98="1111")),TH!D98,""),"")</f>
        <v/>
      </c>
      <c r="B98" s="63">
        <f t="shared" si="9"/>
        <v>1</v>
      </c>
      <c r="C98" s="64">
        <f t="shared" si="11"/>
        <v>42375</v>
      </c>
      <c r="D98" s="64" t="s">
        <v>682</v>
      </c>
      <c r="E98" s="64">
        <v>42375</v>
      </c>
      <c r="F98" s="67" t="s">
        <v>654</v>
      </c>
      <c r="G98" s="996" t="s">
        <v>675</v>
      </c>
      <c r="H98" s="74" t="s">
        <v>629</v>
      </c>
      <c r="I98" s="447"/>
      <c r="J98" s="447"/>
      <c r="K98" s="438"/>
      <c r="L98" s="447"/>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8" customFormat="1" ht="15.75" hidden="1" customHeight="1">
      <c r="A99" s="343" t="str">
        <f>IF(B99&lt;&gt;"",IF(AND(B99='IN-TC'!$S$4,OR(TH!N99="1111",TH!O99="1111")),TH!D99,""),"")</f>
        <v/>
      </c>
      <c r="B99" s="63">
        <f t="shared" si="9"/>
        <v>1</v>
      </c>
      <c r="C99" s="64">
        <f t="shared" si="11"/>
        <v>42383</v>
      </c>
      <c r="D99" s="64" t="s">
        <v>683</v>
      </c>
      <c r="E99" s="64">
        <v>42383</v>
      </c>
      <c r="F99" s="67" t="s">
        <v>391</v>
      </c>
      <c r="G99" s="67" t="s">
        <v>676</v>
      </c>
      <c r="H99" s="74" t="s">
        <v>627</v>
      </c>
      <c r="I99" s="447">
        <v>1150</v>
      </c>
      <c r="J99" s="447">
        <v>12000</v>
      </c>
      <c r="K99" s="438"/>
      <c r="L99" s="447"/>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8" customFormat="1" ht="15.75" hidden="1" customHeight="1">
      <c r="A100" s="343" t="str">
        <f>IF(B100&lt;&gt;"",IF(AND(B100='IN-TC'!$S$4,OR(TH!N100="1111",TH!O100="1111")),TH!D100,""),"")</f>
        <v/>
      </c>
      <c r="B100" s="63">
        <f t="shared" si="9"/>
        <v>1</v>
      </c>
      <c r="C100" s="64">
        <f t="shared" si="11"/>
        <v>42383</v>
      </c>
      <c r="D100" s="64" t="s">
        <v>683</v>
      </c>
      <c r="E100" s="64">
        <v>42383</v>
      </c>
      <c r="F100" s="67" t="s">
        <v>393</v>
      </c>
      <c r="G100" s="67" t="s">
        <v>676</v>
      </c>
      <c r="H100" s="74" t="s">
        <v>627</v>
      </c>
      <c r="I100" s="447">
        <v>150</v>
      </c>
      <c r="J100" s="447">
        <v>9500</v>
      </c>
      <c r="K100" s="438"/>
      <c r="L100" s="447"/>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8" customFormat="1" ht="15.75" hidden="1" customHeight="1">
      <c r="A101" s="343" t="str">
        <f>IF(B101&lt;&gt;"",IF(AND(B101='IN-TC'!$S$4,OR(TH!N101="1111",TH!O101="1111")),TH!D101,""),"")</f>
        <v/>
      </c>
      <c r="B101" s="63">
        <f t="shared" si="9"/>
        <v>1</v>
      </c>
      <c r="C101" s="64">
        <f t="shared" si="11"/>
        <v>42383</v>
      </c>
      <c r="D101" s="64" t="s">
        <v>683</v>
      </c>
      <c r="E101" s="64">
        <v>42383</v>
      </c>
      <c r="F101" s="67" t="s">
        <v>395</v>
      </c>
      <c r="G101" s="67" t="s">
        <v>676</v>
      </c>
      <c r="H101" s="74" t="s">
        <v>627</v>
      </c>
      <c r="I101" s="447">
        <v>400</v>
      </c>
      <c r="J101" s="447">
        <v>17000</v>
      </c>
      <c r="K101" s="438"/>
      <c r="L101" s="447"/>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50" customFormat="1" ht="15.75" hidden="1" customHeight="1">
      <c r="A102" s="343" t="str">
        <f>IF(B102&lt;&gt;"",IF(AND(B102='IN-TC'!$S$4,OR(TH!N102="1111",TH!O102="1111")),TH!D102,""),"")</f>
        <v/>
      </c>
      <c r="B102" s="63">
        <f t="shared" si="9"/>
        <v>1</v>
      </c>
      <c r="C102" s="64">
        <f t="shared" si="11"/>
        <v>42383</v>
      </c>
      <c r="D102" s="64" t="s">
        <v>683</v>
      </c>
      <c r="E102" s="64">
        <v>42383</v>
      </c>
      <c r="F102" s="67" t="s">
        <v>1102</v>
      </c>
      <c r="G102" s="67" t="s">
        <v>676</v>
      </c>
      <c r="H102" s="74" t="s">
        <v>627</v>
      </c>
      <c r="I102" s="447">
        <v>400</v>
      </c>
      <c r="J102" s="447">
        <v>2500</v>
      </c>
      <c r="K102" s="438"/>
      <c r="L102" s="447"/>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50" customFormat="1" ht="15.75" hidden="1" customHeight="1">
      <c r="A103" s="343" t="str">
        <f>IF(B103&lt;&gt;"",IF(AND(B103='IN-TC'!$S$4,OR(TH!N103="1111",TH!O103="1111")),TH!D103,""),"")</f>
        <v/>
      </c>
      <c r="B103" s="63">
        <f t="shared" si="9"/>
        <v>1</v>
      </c>
      <c r="C103" s="64">
        <f t="shared" si="11"/>
        <v>42383</v>
      </c>
      <c r="D103" s="64" t="s">
        <v>683</v>
      </c>
      <c r="E103" s="64">
        <v>42383</v>
      </c>
      <c r="F103" s="67" t="s">
        <v>402</v>
      </c>
      <c r="G103" s="67" t="s">
        <v>676</v>
      </c>
      <c r="H103" s="74" t="s">
        <v>627</v>
      </c>
      <c r="I103" s="447">
        <v>620</v>
      </c>
      <c r="J103" s="447">
        <v>18300</v>
      </c>
      <c r="K103" s="438"/>
      <c r="L103" s="447"/>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8" customFormat="1" ht="15.75" hidden="1" customHeight="1">
      <c r="A104" s="343" t="str">
        <f>IF(B104&lt;&gt;"",IF(AND(B104='IN-TC'!$S$4,OR(TH!N104="1111",TH!O104="1111")),TH!D104,""),"")</f>
        <v/>
      </c>
      <c r="B104" s="63">
        <f t="shared" si="9"/>
        <v>1</v>
      </c>
      <c r="C104" s="64">
        <f t="shared" si="11"/>
        <v>42383</v>
      </c>
      <c r="D104" s="64" t="s">
        <v>683</v>
      </c>
      <c r="E104" s="64">
        <v>42383</v>
      </c>
      <c r="F104" s="67" t="s">
        <v>655</v>
      </c>
      <c r="G104" s="67" t="s">
        <v>676</v>
      </c>
      <c r="H104" s="74" t="s">
        <v>627</v>
      </c>
      <c r="I104" s="447"/>
      <c r="J104" s="447"/>
      <c r="K104" s="438"/>
      <c r="L104" s="447"/>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8" customFormat="1" ht="15.75" hidden="1" customHeight="1">
      <c r="A105" s="343" t="str">
        <f>IF(B105&lt;&gt;"",IF(AND(B105='IN-TC'!$S$4,OR(TH!N105="1111",TH!O105="1111")),TH!D105,""),"")</f>
        <v/>
      </c>
      <c r="B105" s="63">
        <f t="shared" si="9"/>
        <v>1</v>
      </c>
      <c r="C105" s="64">
        <f t="shared" si="11"/>
        <v>42387</v>
      </c>
      <c r="D105" s="64" t="s">
        <v>684</v>
      </c>
      <c r="E105" s="64">
        <v>42387</v>
      </c>
      <c r="F105" s="67" t="s">
        <v>349</v>
      </c>
      <c r="G105" s="996" t="s">
        <v>674</v>
      </c>
      <c r="H105" s="74" t="s">
        <v>678</v>
      </c>
      <c r="I105" s="447">
        <v>1000</v>
      </c>
      <c r="J105" s="447">
        <v>14523.81</v>
      </c>
      <c r="K105" s="438"/>
      <c r="L105" s="447"/>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8" customFormat="1" ht="15.75" hidden="1" customHeight="1">
      <c r="A106" s="343" t="str">
        <f>IF(B106&lt;&gt;"",IF(AND(B106='IN-TC'!$S$4,OR(TH!N106="1111",TH!O106="1111")),TH!D106,""),"")</f>
        <v/>
      </c>
      <c r="B106" s="63">
        <f t="shared" si="9"/>
        <v>1</v>
      </c>
      <c r="C106" s="64">
        <f t="shared" si="11"/>
        <v>42387</v>
      </c>
      <c r="D106" s="64" t="s">
        <v>684</v>
      </c>
      <c r="E106" s="64">
        <v>42387</v>
      </c>
      <c r="F106" s="67" t="s">
        <v>652</v>
      </c>
      <c r="G106" s="67" t="s">
        <v>674</v>
      </c>
      <c r="H106" s="74" t="s">
        <v>678</v>
      </c>
      <c r="I106" s="447"/>
      <c r="J106" s="447"/>
      <c r="K106" s="438"/>
      <c r="L106" s="447"/>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8" customFormat="1" ht="15.75" hidden="1" customHeight="1">
      <c r="A107" s="343" t="str">
        <f>IF(B107&lt;&gt;"",IF(AND(B107='IN-TC'!$S$4,OR(TH!N107="1111",TH!O107="1111")),TH!D107,""),"")</f>
        <v/>
      </c>
      <c r="B107" s="63">
        <f t="shared" si="9"/>
        <v>1</v>
      </c>
      <c r="C107" s="64">
        <f t="shared" si="11"/>
        <v>42391</v>
      </c>
      <c r="D107" s="64" t="s">
        <v>685</v>
      </c>
      <c r="E107" s="64">
        <v>42391</v>
      </c>
      <c r="F107" s="67" t="s">
        <v>656</v>
      </c>
      <c r="G107" s="67" t="s">
        <v>677</v>
      </c>
      <c r="H107" s="74" t="s">
        <v>1441</v>
      </c>
      <c r="I107" s="447">
        <v>2500</v>
      </c>
      <c r="J107" s="447">
        <v>14000</v>
      </c>
      <c r="K107" s="438"/>
      <c r="L107" s="447"/>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8" customFormat="1" ht="15.75" hidden="1" customHeight="1">
      <c r="A108" s="343" t="str">
        <f>IF(B108&lt;&gt;"",IF(AND(B108='IN-TC'!$S$4,OR(TH!N108="1111",TH!O108="1111")),TH!D108,""),"")</f>
        <v/>
      </c>
      <c r="B108" s="63">
        <f t="shared" si="9"/>
        <v>1</v>
      </c>
      <c r="C108" s="64">
        <f t="shared" si="11"/>
        <v>42391</v>
      </c>
      <c r="D108" s="64" t="s">
        <v>685</v>
      </c>
      <c r="E108" s="64">
        <v>42391</v>
      </c>
      <c r="F108" s="67" t="s">
        <v>657</v>
      </c>
      <c r="G108" s="67" t="s">
        <v>677</v>
      </c>
      <c r="H108" s="74" t="s">
        <v>1441</v>
      </c>
      <c r="I108" s="447"/>
      <c r="J108" s="447"/>
      <c r="K108" s="438"/>
      <c r="L108" s="447"/>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8" customFormat="1" ht="15.75" hidden="1" customHeight="1">
      <c r="A109" s="343" t="str">
        <f>IF(B109&lt;&gt;"",IF(AND(B109='IN-TC'!$S$4,OR(TH!N109="1111",TH!O109="1111")),TH!D109,""),"")</f>
        <v/>
      </c>
      <c r="B109" s="63">
        <f t="shared" si="9"/>
        <v>1</v>
      </c>
      <c r="C109" s="64">
        <f t="shared" ref="C109:C122" si="12">E109</f>
        <v>42371</v>
      </c>
      <c r="D109" s="64" t="s">
        <v>689</v>
      </c>
      <c r="E109" s="64">
        <v>42371</v>
      </c>
      <c r="F109" s="67" t="s">
        <v>340</v>
      </c>
      <c r="G109" s="996"/>
      <c r="H109" s="74" t="s">
        <v>450</v>
      </c>
      <c r="I109" s="447">
        <v>100</v>
      </c>
      <c r="J109" s="447">
        <v>35444.444444444445</v>
      </c>
      <c r="K109" s="438"/>
      <c r="L109" s="447"/>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8" customFormat="1" ht="15.75" hidden="1" customHeight="1">
      <c r="A110" s="343" t="str">
        <f>IF(B110&lt;&gt;"",IF(AND(B110='IN-TC'!$S$4,OR(TH!N110="1111",TH!O110="1111")),TH!D110,""),"")</f>
        <v/>
      </c>
      <c r="B110" s="63">
        <f t="shared" si="9"/>
        <v>1</v>
      </c>
      <c r="C110" s="64">
        <f t="shared" si="12"/>
        <v>42371</v>
      </c>
      <c r="D110" s="64" t="s">
        <v>689</v>
      </c>
      <c r="E110" s="64">
        <v>42371</v>
      </c>
      <c r="F110" s="67" t="s">
        <v>346</v>
      </c>
      <c r="G110" s="996"/>
      <c r="H110" s="74" t="s">
        <v>450</v>
      </c>
      <c r="I110" s="447">
        <v>20</v>
      </c>
      <c r="J110" s="447">
        <v>46741.2</v>
      </c>
      <c r="K110" s="438"/>
      <c r="L110" s="447"/>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8" customFormat="1" ht="15.75" hidden="1" customHeight="1">
      <c r="A111" s="343" t="str">
        <f>IF(B111&lt;&gt;"",IF(AND(B111='IN-TC'!$S$4,OR(TH!N111="1111",TH!O111="1111")),TH!D111,""),"")</f>
        <v/>
      </c>
      <c r="B111" s="63">
        <f t="shared" si="9"/>
        <v>1</v>
      </c>
      <c r="C111" s="64">
        <f t="shared" si="12"/>
        <v>42371</v>
      </c>
      <c r="D111" s="64" t="s">
        <v>689</v>
      </c>
      <c r="E111" s="64">
        <v>42371</v>
      </c>
      <c r="F111" s="67" t="s">
        <v>349</v>
      </c>
      <c r="G111" s="67"/>
      <c r="H111" s="74" t="s">
        <v>450</v>
      </c>
      <c r="I111" s="447">
        <v>150</v>
      </c>
      <c r="J111" s="447">
        <v>11666.673333333334</v>
      </c>
      <c r="K111" s="438"/>
      <c r="L111" s="447"/>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8" customFormat="1" ht="15.75" hidden="1" customHeight="1">
      <c r="A112" s="343" t="str">
        <f>IF(B112&lt;&gt;"",IF(AND(B112='IN-TC'!$S$4,OR(TH!N112="1111",TH!O112="1111")),TH!D112,""),"")</f>
        <v/>
      </c>
      <c r="B112" s="63">
        <f t="shared" si="9"/>
        <v>1</v>
      </c>
      <c r="C112" s="64">
        <f t="shared" si="12"/>
        <v>42376</v>
      </c>
      <c r="D112" s="64" t="s">
        <v>690</v>
      </c>
      <c r="E112" s="64">
        <v>42376</v>
      </c>
      <c r="F112" s="67" t="s">
        <v>225</v>
      </c>
      <c r="G112" s="67"/>
      <c r="H112" s="74" t="s">
        <v>450</v>
      </c>
      <c r="I112" s="447">
        <v>100</v>
      </c>
      <c r="J112" s="447">
        <v>21979.791919191921</v>
      </c>
      <c r="K112" s="438"/>
      <c r="L112" s="447"/>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8" customFormat="1" ht="15.75" hidden="1" customHeight="1">
      <c r="A113" s="343" t="str">
        <f>IF(B113&lt;&gt;"",IF(AND(B113='IN-TC'!$S$4,OR(TH!N113="1111",TH!O113="1111")),TH!D113,""),"")</f>
        <v/>
      </c>
      <c r="B113" s="63">
        <f t="shared" si="9"/>
        <v>1</v>
      </c>
      <c r="C113" s="64">
        <f t="shared" si="12"/>
        <v>42376</v>
      </c>
      <c r="D113" s="64" t="s">
        <v>690</v>
      </c>
      <c r="E113" s="64">
        <v>42376</v>
      </c>
      <c r="F113" s="67" t="s">
        <v>357</v>
      </c>
      <c r="G113" s="67"/>
      <c r="H113" s="74" t="s">
        <v>450</v>
      </c>
      <c r="I113" s="447">
        <v>2700</v>
      </c>
      <c r="J113" s="447">
        <v>14899.99962962963</v>
      </c>
      <c r="K113" s="438"/>
      <c r="L113" s="447"/>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8" customFormat="1" ht="15.75" hidden="1" customHeight="1">
      <c r="A114" s="343" t="str">
        <f>IF(B114&lt;&gt;"",IF(AND(B114='IN-TC'!$S$4,OR(TH!N114="1111",TH!O114="1111")),TH!D114,""),"")</f>
        <v/>
      </c>
      <c r="B114" s="63">
        <f t="shared" si="9"/>
        <v>1</v>
      </c>
      <c r="C114" s="64">
        <f t="shared" si="12"/>
        <v>42384</v>
      </c>
      <c r="D114" s="64" t="s">
        <v>691</v>
      </c>
      <c r="E114" s="64">
        <v>42384</v>
      </c>
      <c r="F114" s="67" t="s">
        <v>360</v>
      </c>
      <c r="G114" s="67"/>
      <c r="H114" s="74" t="s">
        <v>450</v>
      </c>
      <c r="I114" s="447">
        <v>400</v>
      </c>
      <c r="J114" s="447">
        <v>8500</v>
      </c>
      <c r="K114" s="438"/>
      <c r="L114" s="447"/>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8" customFormat="1" ht="15.75" hidden="1" customHeight="1">
      <c r="A115" s="343" t="str">
        <f>IF(B115&lt;&gt;"",IF(AND(B115='IN-TC'!$S$4,OR(TH!N115="1111",TH!O115="1111")),TH!D115,""),"")</f>
        <v/>
      </c>
      <c r="B115" s="63">
        <f t="shared" si="9"/>
        <v>1</v>
      </c>
      <c r="C115" s="64">
        <f t="shared" si="12"/>
        <v>42384</v>
      </c>
      <c r="D115" s="64" t="s">
        <v>691</v>
      </c>
      <c r="E115" s="64">
        <v>42384</v>
      </c>
      <c r="F115" s="67" t="s">
        <v>364</v>
      </c>
      <c r="G115" s="67"/>
      <c r="H115" s="76" t="s">
        <v>450</v>
      </c>
      <c r="I115" s="449">
        <v>1647</v>
      </c>
      <c r="J115" s="449">
        <f>M115/I115</f>
        <v>322.9927140255009</v>
      </c>
      <c r="K115" s="440"/>
      <c r="L115" s="449"/>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8" customFormat="1" ht="15.75" hidden="1" customHeight="1">
      <c r="A116" s="343" t="str">
        <f>IF(B116&lt;&gt;"",IF(AND(B116='IN-TC'!$S$4,OR(TH!N116="1111",TH!O116="1111")),TH!D116,""),"")</f>
        <v/>
      </c>
      <c r="B116" s="63">
        <f t="shared" si="9"/>
        <v>1</v>
      </c>
      <c r="C116" s="64">
        <f t="shared" si="12"/>
        <v>42388</v>
      </c>
      <c r="D116" s="64" t="s">
        <v>692</v>
      </c>
      <c r="E116" s="64">
        <v>42388</v>
      </c>
      <c r="F116" s="67" t="s">
        <v>395</v>
      </c>
      <c r="G116" s="67"/>
      <c r="H116" s="76" t="s">
        <v>450</v>
      </c>
      <c r="I116" s="449">
        <v>400</v>
      </c>
      <c r="J116" s="449">
        <v>17000</v>
      </c>
      <c r="K116" s="440"/>
      <c r="L116" s="449"/>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8" customFormat="1" ht="15.75" hidden="1" customHeight="1">
      <c r="A117" s="343" t="str">
        <f>IF(B117&lt;&gt;"",IF(AND(B117='IN-TC'!$S$4,OR(TH!N117="1111",TH!O117="1111")),TH!D117,""),"")</f>
        <v/>
      </c>
      <c r="B117" s="63">
        <f t="shared" si="9"/>
        <v>1</v>
      </c>
      <c r="C117" s="64">
        <f t="shared" si="12"/>
        <v>42388</v>
      </c>
      <c r="D117" s="64" t="s">
        <v>692</v>
      </c>
      <c r="E117" s="64">
        <v>42388</v>
      </c>
      <c r="F117" s="67" t="s">
        <v>1102</v>
      </c>
      <c r="G117" s="67"/>
      <c r="H117" s="74" t="s">
        <v>450</v>
      </c>
      <c r="I117" s="447">
        <v>400</v>
      </c>
      <c r="J117" s="447">
        <v>2500</v>
      </c>
      <c r="K117" s="438"/>
      <c r="L117" s="447"/>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8" customFormat="1" ht="15.75" hidden="1" customHeight="1">
      <c r="A118" s="343" t="str">
        <f>IF(B118&lt;&gt;"",IF(AND(B118='IN-TC'!$S$4,OR(TH!N118="1111",TH!O118="1111")),TH!D118,""),"")</f>
        <v/>
      </c>
      <c r="B118" s="63">
        <f t="shared" si="9"/>
        <v>1</v>
      </c>
      <c r="C118" s="64">
        <f t="shared" si="12"/>
        <v>42391</v>
      </c>
      <c r="D118" s="64" t="s">
        <v>693</v>
      </c>
      <c r="E118" s="64">
        <v>42391</v>
      </c>
      <c r="F118" s="67" t="s">
        <v>402</v>
      </c>
      <c r="G118" s="67"/>
      <c r="H118" s="76" t="s">
        <v>450</v>
      </c>
      <c r="I118" s="449">
        <v>620</v>
      </c>
      <c r="J118" s="449">
        <v>18300</v>
      </c>
      <c r="K118" s="440"/>
      <c r="L118" s="449"/>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8" customFormat="1" ht="15.75" hidden="1" customHeight="1">
      <c r="A119" s="343" t="str">
        <f>IF(B119&lt;&gt;"",IF(AND(B119='IN-TC'!$S$4,OR(TH!N119="1111",TH!O119="1111")),TH!D119,""),"")</f>
        <v/>
      </c>
      <c r="B119" s="63">
        <f t="shared" ref="B119:B186" si="15">IF(C119&lt;&gt;"",MONTH(C119),"")</f>
        <v>1</v>
      </c>
      <c r="C119" s="64">
        <f t="shared" si="12"/>
        <v>42391</v>
      </c>
      <c r="D119" s="64" t="s">
        <v>693</v>
      </c>
      <c r="E119" s="64">
        <v>42391</v>
      </c>
      <c r="F119" s="67" t="s">
        <v>656</v>
      </c>
      <c r="G119" s="67"/>
      <c r="H119" s="76" t="s">
        <v>450</v>
      </c>
      <c r="I119" s="447">
        <v>2500</v>
      </c>
      <c r="J119" s="447">
        <v>14000</v>
      </c>
      <c r="K119" s="440"/>
      <c r="L119" s="449"/>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8" customFormat="1" ht="15.75" hidden="1" customHeight="1">
      <c r="A120" s="343" t="str">
        <f>IF(B120&lt;&gt;"",IF(AND(B120='IN-TC'!$S$4,OR(TH!N120="1111",TH!O120="1111")),TH!D120,""),"")</f>
        <v/>
      </c>
      <c r="B120" s="63">
        <f t="shared" si="15"/>
        <v>1</v>
      </c>
      <c r="C120" s="64">
        <f t="shared" si="12"/>
        <v>42398</v>
      </c>
      <c r="D120" s="64" t="s">
        <v>694</v>
      </c>
      <c r="E120" s="64">
        <v>42398</v>
      </c>
      <c r="F120" s="67" t="s">
        <v>391</v>
      </c>
      <c r="G120" s="67"/>
      <c r="H120" s="74" t="s">
        <v>450</v>
      </c>
      <c r="I120" s="447">
        <v>1150</v>
      </c>
      <c r="J120" s="447">
        <v>12000</v>
      </c>
      <c r="K120" s="438"/>
      <c r="L120" s="447"/>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8" customFormat="1" ht="15.75" hidden="1" customHeight="1">
      <c r="A121" s="343" t="str">
        <f>IF(B121&lt;&gt;"",IF(AND(B121='IN-TC'!$S$4,OR(TH!N121="1111",TH!O121="1111")),TH!D121,""),"")</f>
        <v/>
      </c>
      <c r="B121" s="63">
        <f t="shared" si="15"/>
        <v>1</v>
      </c>
      <c r="C121" s="64">
        <f t="shared" si="12"/>
        <v>42398</v>
      </c>
      <c r="D121" s="64" t="s">
        <v>694</v>
      </c>
      <c r="E121" s="64">
        <v>42398</v>
      </c>
      <c r="F121" s="67" t="s">
        <v>393</v>
      </c>
      <c r="G121" s="67"/>
      <c r="H121" s="74" t="s">
        <v>450</v>
      </c>
      <c r="I121" s="447">
        <v>150</v>
      </c>
      <c r="J121" s="447">
        <v>9500</v>
      </c>
      <c r="K121" s="438"/>
      <c r="L121" s="447"/>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8" customFormat="1" ht="15.75" hidden="1" customHeight="1">
      <c r="A122" s="343" t="str">
        <f>IF(B122&lt;&gt;"",IF(AND(B122='IN-TC'!$S$4,OR(TH!N122="1111",TH!O122="1111")),TH!D122,""),"")</f>
        <v/>
      </c>
      <c r="B122" s="63">
        <f t="shared" si="15"/>
        <v>2</v>
      </c>
      <c r="C122" s="64">
        <f t="shared" si="12"/>
        <v>42415</v>
      </c>
      <c r="D122" s="64" t="s">
        <v>690</v>
      </c>
      <c r="E122" s="64">
        <v>42415</v>
      </c>
      <c r="F122" s="67" t="s">
        <v>340</v>
      </c>
      <c r="G122" s="996"/>
      <c r="H122" s="74" t="s">
        <v>450</v>
      </c>
      <c r="I122" s="447">
        <v>20</v>
      </c>
      <c r="J122" s="447">
        <v>35444.444444444445</v>
      </c>
      <c r="K122" s="438"/>
      <c r="L122" s="447"/>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8" customFormat="1" ht="15.75" hidden="1" customHeight="1">
      <c r="A123" s="343" t="str">
        <f>IF(B123&lt;&gt;"",IF(AND(B123='IN-TC'!$S$4,OR(TH!N123="1111",TH!O123="1111")),TH!D123,""),"")</f>
        <v/>
      </c>
      <c r="B123" s="63">
        <f t="shared" si="15"/>
        <v>2</v>
      </c>
      <c r="C123" s="64">
        <f t="shared" ref="C123:C129" si="16">E123</f>
        <v>42415</v>
      </c>
      <c r="D123" s="64" t="s">
        <v>690</v>
      </c>
      <c r="E123" s="64">
        <v>42415</v>
      </c>
      <c r="F123" s="67" t="s">
        <v>346</v>
      </c>
      <c r="G123" s="996"/>
      <c r="H123" s="74" t="s">
        <v>450</v>
      </c>
      <c r="I123" s="447">
        <v>5</v>
      </c>
      <c r="J123" s="447">
        <v>46741.2</v>
      </c>
      <c r="K123" s="438"/>
      <c r="L123" s="447"/>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8" customFormat="1" ht="15.75" hidden="1" customHeight="1">
      <c r="A124" s="343" t="str">
        <f>IF(B124&lt;&gt;"",IF(AND(B124='IN-TC'!$S$4,OR(TH!N124="1111",TH!O124="1111")),TH!D124,""),"")</f>
        <v/>
      </c>
      <c r="B124" s="63">
        <f t="shared" si="15"/>
        <v>2</v>
      </c>
      <c r="C124" s="64">
        <f t="shared" si="16"/>
        <v>42415</v>
      </c>
      <c r="D124" s="64" t="s">
        <v>690</v>
      </c>
      <c r="E124" s="64">
        <v>42415</v>
      </c>
      <c r="F124" s="67" t="s">
        <v>349</v>
      </c>
      <c r="G124" s="67"/>
      <c r="H124" s="74" t="s">
        <v>450</v>
      </c>
      <c r="I124" s="447">
        <v>150</v>
      </c>
      <c r="J124" s="447">
        <v>11666.673333333334</v>
      </c>
      <c r="K124" s="438"/>
      <c r="L124" s="447"/>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8" customFormat="1" ht="15.75" hidden="1" customHeight="1">
      <c r="A125" s="343" t="str">
        <f>IF(B125&lt;&gt;"",IF(AND(B125='IN-TC'!$S$4,OR(TH!N125="1111",TH!O125="1111")),TH!D125,""),"")</f>
        <v/>
      </c>
      <c r="B125" s="63">
        <f t="shared" si="15"/>
        <v>2</v>
      </c>
      <c r="C125" s="64">
        <f t="shared" si="16"/>
        <v>42415</v>
      </c>
      <c r="D125" s="64" t="s">
        <v>690</v>
      </c>
      <c r="E125" s="64">
        <v>42415</v>
      </c>
      <c r="F125" s="67" t="s">
        <v>225</v>
      </c>
      <c r="G125" s="67"/>
      <c r="H125" s="74" t="s">
        <v>450</v>
      </c>
      <c r="I125" s="447">
        <v>45</v>
      </c>
      <c r="J125" s="447">
        <v>21979.791919191921</v>
      </c>
      <c r="K125" s="438"/>
      <c r="L125" s="447"/>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8" customFormat="1" ht="15.75" hidden="1" customHeight="1">
      <c r="A126" s="343" t="str">
        <f>IF(B126&lt;&gt;"",IF(AND(B126='IN-TC'!$S$4,OR(TH!N126="1111",TH!O126="1111")),TH!D126,""),"")</f>
        <v/>
      </c>
      <c r="B126" s="63">
        <f t="shared" si="15"/>
        <v>2</v>
      </c>
      <c r="C126" s="64">
        <f t="shared" si="16"/>
        <v>42415</v>
      </c>
      <c r="D126" s="64" t="s">
        <v>690</v>
      </c>
      <c r="E126" s="64">
        <v>42415</v>
      </c>
      <c r="F126" s="67" t="s">
        <v>357</v>
      </c>
      <c r="G126" s="67"/>
      <c r="H126" s="74" t="s">
        <v>450</v>
      </c>
      <c r="I126" s="447">
        <v>540</v>
      </c>
      <c r="J126" s="447">
        <v>14900</v>
      </c>
      <c r="K126" s="438"/>
      <c r="L126" s="447"/>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8" customFormat="1" ht="15.75" hidden="1" customHeight="1">
      <c r="A127" s="343" t="str">
        <f>IF(B127&lt;&gt;"",IF(AND(B127='IN-TC'!$S$4,OR(TH!N127="1111",TH!O127="1111")),TH!D127,""),"")</f>
        <v/>
      </c>
      <c r="B127" s="63">
        <f t="shared" si="15"/>
        <v>2</v>
      </c>
      <c r="C127" s="64">
        <f t="shared" si="16"/>
        <v>42425</v>
      </c>
      <c r="D127" s="64" t="s">
        <v>691</v>
      </c>
      <c r="E127" s="64">
        <v>42425</v>
      </c>
      <c r="F127" s="67" t="s">
        <v>360</v>
      </c>
      <c r="G127" s="67"/>
      <c r="H127" s="74" t="s">
        <v>450</v>
      </c>
      <c r="I127" s="447">
        <v>150</v>
      </c>
      <c r="J127" s="447">
        <v>8500</v>
      </c>
      <c r="K127" s="438"/>
      <c r="L127" s="447"/>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8" customFormat="1" ht="15.75" hidden="1" customHeight="1">
      <c r="A128" s="343" t="str">
        <f>IF(B128&lt;&gt;"",IF(AND(B128='IN-TC'!$S$4,OR(TH!N128="1111",TH!O128="1111")),TH!D128,""),"")</f>
        <v/>
      </c>
      <c r="B128" s="63">
        <f t="shared" si="15"/>
        <v>2</v>
      </c>
      <c r="C128" s="64">
        <f t="shared" si="16"/>
        <v>42425</v>
      </c>
      <c r="D128" s="64" t="s">
        <v>691</v>
      </c>
      <c r="E128" s="64">
        <v>42425</v>
      </c>
      <c r="F128" s="67" t="s">
        <v>364</v>
      </c>
      <c r="G128" s="67"/>
      <c r="H128" s="74" t="s">
        <v>450</v>
      </c>
      <c r="I128" s="449">
        <v>150</v>
      </c>
      <c r="J128" s="449">
        <v>33000</v>
      </c>
      <c r="K128" s="440"/>
      <c r="L128" s="449"/>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8" customFormat="1" ht="15.75" hidden="1" customHeight="1">
      <c r="A129" s="343" t="str">
        <f>IF(B129&lt;&gt;"",IF(AND(B129='IN-TC'!$S$4,OR(TH!N129="1111",TH!O129="1111")),TH!D129,""),"")</f>
        <v/>
      </c>
      <c r="B129" s="63">
        <f t="shared" si="15"/>
        <v>2</v>
      </c>
      <c r="C129" s="64">
        <f t="shared" si="16"/>
        <v>42401</v>
      </c>
      <c r="D129" s="64" t="s">
        <v>689</v>
      </c>
      <c r="E129" s="64">
        <v>42401</v>
      </c>
      <c r="F129" s="67" t="s">
        <v>382</v>
      </c>
      <c r="G129" s="67"/>
      <c r="H129" s="74" t="s">
        <v>450</v>
      </c>
      <c r="I129" s="449">
        <v>2100</v>
      </c>
      <c r="J129" s="449">
        <v>5780.8622078968574</v>
      </c>
      <c r="K129" s="440"/>
      <c r="L129" s="449"/>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hidden="1" customHeight="1">
      <c r="A130" s="343" t="str">
        <f>IF(B130&lt;&gt;"",IF(AND(B130='IN-TC'!$S$4,OR(TH!N130="1111",TH!O130="1111")),TH!D130,""),"")</f>
        <v/>
      </c>
      <c r="B130" s="63">
        <f t="shared" ref="B130:B136" si="17">IF(C130&lt;&gt;"",MONTH(C130),"")</f>
        <v>3</v>
      </c>
      <c r="C130" s="320">
        <v>42431</v>
      </c>
      <c r="D130" s="320" t="s">
        <v>680</v>
      </c>
      <c r="E130" s="320">
        <v>42431</v>
      </c>
      <c r="F130" s="523" t="s">
        <v>391</v>
      </c>
      <c r="G130" s="1000" t="s">
        <v>1191</v>
      </c>
      <c r="H130" s="7" t="s">
        <v>626</v>
      </c>
      <c r="I130" s="447">
        <v>1015</v>
      </c>
      <c r="J130" s="447">
        <v>12000</v>
      </c>
      <c r="K130" s="438"/>
      <c r="L130" s="447"/>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4" customFormat="1" ht="15.75" hidden="1" customHeight="1">
      <c r="A131" s="343" t="str">
        <f>IF(B131&lt;&gt;"",IF(AND(B131='IN-TC'!$S$4,OR(TH!N131="1111",TH!O131="1111")),TH!D131,""),"")</f>
        <v/>
      </c>
      <c r="B131" s="63">
        <f t="shared" si="17"/>
        <v>3</v>
      </c>
      <c r="C131" s="320">
        <v>42431</v>
      </c>
      <c r="D131" s="320" t="s">
        <v>680</v>
      </c>
      <c r="E131" s="320">
        <v>42431</v>
      </c>
      <c r="F131" s="523" t="s">
        <v>393</v>
      </c>
      <c r="G131" s="1000" t="s">
        <v>1191</v>
      </c>
      <c r="H131" s="7" t="s">
        <v>626</v>
      </c>
      <c r="I131" s="447">
        <v>375</v>
      </c>
      <c r="J131" s="447">
        <v>9500</v>
      </c>
      <c r="K131" s="438"/>
      <c r="L131" s="447"/>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hidden="1" customHeight="1">
      <c r="A132" s="343" t="str">
        <f>IF(B132&lt;&gt;"",IF(AND(B132='IN-TC'!$S$4,OR(TH!N132="1111",TH!O132="1111")),TH!D132,""),"")</f>
        <v/>
      </c>
      <c r="B132" s="63">
        <f t="shared" si="17"/>
        <v>3</v>
      </c>
      <c r="C132" s="320">
        <v>42431</v>
      </c>
      <c r="D132" s="320" t="s">
        <v>680</v>
      </c>
      <c r="E132" s="320">
        <v>42431</v>
      </c>
      <c r="F132" s="321" t="s">
        <v>655</v>
      </c>
      <c r="G132" s="1000" t="s">
        <v>1191</v>
      </c>
      <c r="H132" s="7" t="s">
        <v>626</v>
      </c>
      <c r="I132" s="447"/>
      <c r="J132" s="447"/>
      <c r="K132" s="438"/>
      <c r="L132" s="447"/>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hidden="1" customHeight="1">
      <c r="A133" s="343" t="str">
        <f>IF(B133&lt;&gt;"",IF(AND(B133='IN-TC'!$S$4,OR(TH!N133="1111",TH!O133="1111")),TH!D133,""),"")</f>
        <v/>
      </c>
      <c r="B133" s="63">
        <f t="shared" si="17"/>
        <v>3</v>
      </c>
      <c r="C133" s="320">
        <v>42437</v>
      </c>
      <c r="D133" s="320" t="s">
        <v>681</v>
      </c>
      <c r="E133" s="320">
        <v>42437</v>
      </c>
      <c r="F133" s="321" t="s">
        <v>349</v>
      </c>
      <c r="G133" s="1000" t="s">
        <v>661</v>
      </c>
      <c r="H133" s="7" t="s">
        <v>678</v>
      </c>
      <c r="I133" s="447">
        <v>1000</v>
      </c>
      <c r="J133" s="447">
        <v>14095.237999999999</v>
      </c>
      <c r="K133" s="438"/>
      <c r="L133" s="447"/>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hidden="1" customHeight="1">
      <c r="A134" s="343" t="str">
        <f>IF(B134&lt;&gt;"",IF(AND(B134='IN-TC'!$S$4,OR(TH!N134="1111",TH!O134="1111")),TH!D134,""),"")</f>
        <v/>
      </c>
      <c r="B134" s="63">
        <f t="shared" si="17"/>
        <v>3</v>
      </c>
      <c r="C134" s="320">
        <v>42437</v>
      </c>
      <c r="D134" s="320" t="s">
        <v>681</v>
      </c>
      <c r="E134" s="320">
        <v>42437</v>
      </c>
      <c r="F134" s="321" t="s">
        <v>652</v>
      </c>
      <c r="G134" s="1000" t="s">
        <v>661</v>
      </c>
      <c r="H134" s="7" t="s">
        <v>678</v>
      </c>
      <c r="I134" s="447"/>
      <c r="J134" s="447"/>
      <c r="K134" s="438"/>
      <c r="L134" s="447"/>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hidden="1" customHeight="1">
      <c r="A135" s="343" t="str">
        <f>IF(B135&lt;&gt;"",IF(AND(B135='IN-TC'!$S$4,OR(TH!N135="1111",TH!O135="1111")),TH!D135,""),"")</f>
        <v/>
      </c>
      <c r="B135" s="63">
        <f t="shared" si="17"/>
        <v>3</v>
      </c>
      <c r="C135" s="320">
        <v>42446</v>
      </c>
      <c r="D135" s="320" t="s">
        <v>682</v>
      </c>
      <c r="E135" s="320">
        <v>42446</v>
      </c>
      <c r="F135" s="321" t="s">
        <v>360</v>
      </c>
      <c r="G135" s="1000" t="s">
        <v>1152</v>
      </c>
      <c r="H135" s="7" t="s">
        <v>622</v>
      </c>
      <c r="I135" s="447">
        <v>600</v>
      </c>
      <c r="J135" s="447">
        <v>8500</v>
      </c>
      <c r="K135" s="438"/>
      <c r="L135" s="447"/>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hidden="1" customHeight="1">
      <c r="A136" s="343" t="str">
        <f>IF(B136&lt;&gt;"",IF(AND(B136='IN-TC'!$S$4,OR(TH!N136="1111",TH!O136="1111")),TH!D136,""),"")</f>
        <v/>
      </c>
      <c r="B136" s="63">
        <f t="shared" si="17"/>
        <v>3</v>
      </c>
      <c r="C136" s="320">
        <v>42446</v>
      </c>
      <c r="D136" s="320" t="s">
        <v>682</v>
      </c>
      <c r="E136" s="320">
        <v>42446</v>
      </c>
      <c r="F136" s="321" t="s">
        <v>1192</v>
      </c>
      <c r="G136" s="1000" t="s">
        <v>1152</v>
      </c>
      <c r="H136" s="7" t="s">
        <v>622</v>
      </c>
      <c r="I136" s="447"/>
      <c r="J136" s="447"/>
      <c r="K136" s="438"/>
      <c r="L136" s="447"/>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hidden="1" customHeight="1">
      <c r="A137" s="343" t="str">
        <f>IF(B137&lt;&gt;"",IF(AND(B137='IN-TC'!$S$4,OR(TH!N137="1111",TH!O137="1111")),TH!D137,""),"")</f>
        <v/>
      </c>
      <c r="B137" s="63">
        <f t="shared" ref="B137:B149" si="18">IF(C137&lt;&gt;"",MONTH(C137),"")</f>
        <v>3</v>
      </c>
      <c r="C137" s="320">
        <v>42457</v>
      </c>
      <c r="D137" s="320" t="s">
        <v>683</v>
      </c>
      <c r="E137" s="320">
        <v>42457</v>
      </c>
      <c r="F137" s="321" t="s">
        <v>349</v>
      </c>
      <c r="G137" s="1000" t="s">
        <v>1365</v>
      </c>
      <c r="H137" s="7" t="s">
        <v>678</v>
      </c>
      <c r="I137" s="447">
        <v>1000</v>
      </c>
      <c r="J137" s="447">
        <v>14095.237999999999</v>
      </c>
      <c r="K137" s="438"/>
      <c r="L137" s="447"/>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hidden="1" customHeight="1">
      <c r="A138" s="343" t="str">
        <f>IF(B138&lt;&gt;"",IF(AND(B138='IN-TC'!$S$4,OR(TH!N138="1111",TH!O138="1111")),TH!D138,""),"")</f>
        <v/>
      </c>
      <c r="B138" s="63">
        <f t="shared" si="18"/>
        <v>3</v>
      </c>
      <c r="C138" s="320">
        <v>42457</v>
      </c>
      <c r="D138" s="320" t="s">
        <v>683</v>
      </c>
      <c r="E138" s="320">
        <v>42457</v>
      </c>
      <c r="F138" s="321" t="s">
        <v>652</v>
      </c>
      <c r="G138" s="1000" t="s">
        <v>1365</v>
      </c>
      <c r="H138" s="7" t="s">
        <v>678</v>
      </c>
      <c r="I138" s="447"/>
      <c r="J138" s="447"/>
      <c r="K138" s="438"/>
      <c r="L138" s="447"/>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hidden="1" customHeight="1">
      <c r="A139" s="343" t="str">
        <f>IF(B139&lt;&gt;"",IF(AND(B139='IN-TC'!$S$4,OR(TH!N139="1111",TH!O139="1111")),TH!D139,""),"")</f>
        <v/>
      </c>
      <c r="B139" s="63">
        <f>IF(C139&lt;&gt;"",MONTH(C139),"")</f>
        <v>3</v>
      </c>
      <c r="C139" s="64">
        <v>42459</v>
      </c>
      <c r="D139" s="320" t="s">
        <v>684</v>
      </c>
      <c r="E139" s="64">
        <f>C139</f>
        <v>42459</v>
      </c>
      <c r="F139" s="67" t="s">
        <v>225</v>
      </c>
      <c r="G139" s="996" t="s">
        <v>1369</v>
      </c>
      <c r="H139" s="7" t="s">
        <v>624</v>
      </c>
      <c r="I139" s="447">
        <v>450</v>
      </c>
      <c r="J139" s="447">
        <v>18414.14</v>
      </c>
      <c r="K139" s="438"/>
      <c r="L139" s="447"/>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hidden="1" customHeight="1">
      <c r="A140" s="343" t="str">
        <f>IF(B140&lt;&gt;"",IF(AND(B140='IN-TC'!$S$4,OR(TH!N140="1111",TH!O140="1111")),TH!D140,""),"")</f>
        <v/>
      </c>
      <c r="B140" s="63">
        <f>IF(C140&lt;&gt;"",MONTH(C140),"")</f>
        <v>3</v>
      </c>
      <c r="C140" s="64">
        <v>42459</v>
      </c>
      <c r="D140" s="320" t="s">
        <v>684</v>
      </c>
      <c r="E140" s="64">
        <f>C140</f>
        <v>42459</v>
      </c>
      <c r="F140" s="67" t="s">
        <v>1370</v>
      </c>
      <c r="G140" s="996" t="s">
        <v>1369</v>
      </c>
      <c r="H140" s="7" t="s">
        <v>624</v>
      </c>
      <c r="I140" s="447"/>
      <c r="J140" s="447"/>
      <c r="K140" s="438"/>
      <c r="L140" s="447"/>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8" customFormat="1" ht="15.75" hidden="1" customHeight="1">
      <c r="A141" s="343" t="str">
        <f>IF(B141&lt;&gt;"",IF(AND(B141='IN-TC'!$S$4,OR(TH!N141="1111",TH!O141="1111")),TH!D141,""),"")</f>
        <v/>
      </c>
      <c r="B141" s="63">
        <f t="shared" si="18"/>
        <v>3</v>
      </c>
      <c r="C141" s="64">
        <v>42431</v>
      </c>
      <c r="D141" s="64" t="s">
        <v>689</v>
      </c>
      <c r="E141" s="64">
        <f>C141</f>
        <v>42431</v>
      </c>
      <c r="F141" s="67" t="s">
        <v>340</v>
      </c>
      <c r="G141" s="996"/>
      <c r="H141" s="74" t="s">
        <v>450</v>
      </c>
      <c r="I141" s="447">
        <v>50</v>
      </c>
      <c r="J141" s="447">
        <v>35444.444444444445</v>
      </c>
      <c r="K141" s="438"/>
      <c r="L141" s="447"/>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8" customFormat="1" ht="15.75" hidden="1" customHeight="1">
      <c r="A142" s="343" t="str">
        <f>IF(B142&lt;&gt;"",IF(AND(B142='IN-TC'!$S$4,OR(TH!N142="1111",TH!O142="1111")),TH!D142,""),"")</f>
        <v/>
      </c>
      <c r="B142" s="63">
        <f t="shared" si="18"/>
        <v>3</v>
      </c>
      <c r="C142" s="64">
        <v>42431</v>
      </c>
      <c r="D142" s="64" t="s">
        <v>689</v>
      </c>
      <c r="E142" s="64">
        <f t="shared" ref="E142:E149" si="20">C142</f>
        <v>42431</v>
      </c>
      <c r="F142" s="67" t="s">
        <v>346</v>
      </c>
      <c r="G142" s="996"/>
      <c r="H142" s="74" t="s">
        <v>450</v>
      </c>
      <c r="I142" s="447">
        <v>20</v>
      </c>
      <c r="J142" s="447">
        <v>46741.2</v>
      </c>
      <c r="K142" s="438"/>
      <c r="L142" s="447"/>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8" customFormat="1" ht="15.75" hidden="1" customHeight="1">
      <c r="A143" s="343" t="str">
        <f>IF(B143&lt;&gt;"",IF(AND(B143='IN-TC'!$S$4,OR(TH!N143="1111",TH!O143="1111")),TH!D143,""),"")</f>
        <v/>
      </c>
      <c r="B143" s="63">
        <f t="shared" si="18"/>
        <v>3</v>
      </c>
      <c r="C143" s="64">
        <v>42431</v>
      </c>
      <c r="D143" s="64" t="s">
        <v>689</v>
      </c>
      <c r="E143" s="64">
        <f t="shared" si="20"/>
        <v>42431</v>
      </c>
      <c r="F143" s="67" t="s">
        <v>349</v>
      </c>
      <c r="G143" s="67"/>
      <c r="H143" s="74" t="s">
        <v>450</v>
      </c>
      <c r="I143" s="447">
        <v>150</v>
      </c>
      <c r="J143" s="447">
        <v>13571.429</v>
      </c>
      <c r="K143" s="438"/>
      <c r="L143" s="447"/>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8" customFormat="1" ht="15.75" hidden="1" customHeight="1">
      <c r="A144" s="343" t="str">
        <f>IF(B144&lt;&gt;"",IF(AND(B144='IN-TC'!$S$4,OR(TH!N144="1111",TH!O144="1111")),TH!D144,""),"")</f>
        <v/>
      </c>
      <c r="B144" s="63">
        <f t="shared" si="18"/>
        <v>3</v>
      </c>
      <c r="C144" s="64">
        <v>42431</v>
      </c>
      <c r="D144" s="64" t="s">
        <v>689</v>
      </c>
      <c r="E144" s="64">
        <f t="shared" si="20"/>
        <v>42431</v>
      </c>
      <c r="F144" s="67" t="s">
        <v>225</v>
      </c>
      <c r="G144" s="67"/>
      <c r="H144" s="74" t="s">
        <v>450</v>
      </c>
      <c r="I144" s="447">
        <v>200</v>
      </c>
      <c r="J144" s="447">
        <v>21979.791919191921</v>
      </c>
      <c r="K144" s="438"/>
      <c r="L144" s="447"/>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8" customFormat="1" ht="15.75" hidden="1" customHeight="1">
      <c r="A145" s="343" t="str">
        <f>IF(B145&lt;&gt;"",IF(AND(B145='IN-TC'!$S$4,OR(TH!N145="1111",TH!O145="1111")),TH!D145,""),"")</f>
        <v/>
      </c>
      <c r="B145" s="63">
        <f t="shared" si="18"/>
        <v>3</v>
      </c>
      <c r="C145" s="64">
        <v>42434</v>
      </c>
      <c r="D145" s="64" t="s">
        <v>690</v>
      </c>
      <c r="E145" s="64">
        <f t="shared" si="20"/>
        <v>42434</v>
      </c>
      <c r="F145" s="67" t="s">
        <v>357</v>
      </c>
      <c r="G145" s="67"/>
      <c r="H145" s="74" t="s">
        <v>450</v>
      </c>
      <c r="I145" s="447">
        <v>2160</v>
      </c>
      <c r="J145" s="447">
        <v>14900</v>
      </c>
      <c r="K145" s="438"/>
      <c r="L145" s="447"/>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8" customFormat="1" ht="15.75" hidden="1" customHeight="1">
      <c r="A146" s="343" t="str">
        <f>IF(B146&lt;&gt;"",IF(AND(B146='IN-TC'!$S$4,OR(TH!N146="1111",TH!O146="1111")),TH!D146,""),"")</f>
        <v/>
      </c>
      <c r="B146" s="63">
        <f t="shared" si="18"/>
        <v>3</v>
      </c>
      <c r="C146" s="64">
        <v>42434</v>
      </c>
      <c r="D146" s="64" t="s">
        <v>690</v>
      </c>
      <c r="E146" s="64">
        <f t="shared" si="20"/>
        <v>42434</v>
      </c>
      <c r="F146" s="67" t="s">
        <v>360</v>
      </c>
      <c r="G146" s="67"/>
      <c r="H146" s="74" t="s">
        <v>450</v>
      </c>
      <c r="I146" s="447">
        <v>250</v>
      </c>
      <c r="J146" s="447">
        <v>8500</v>
      </c>
      <c r="K146" s="438"/>
      <c r="L146" s="447"/>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8" customFormat="1" ht="15.75" hidden="1" customHeight="1">
      <c r="A147" s="343" t="str">
        <f>IF(B147&lt;&gt;"",IF(AND(B147='IN-TC'!$S$4,OR(TH!N147="1111",TH!O147="1111")),TH!D147,""),"")</f>
        <v/>
      </c>
      <c r="B147" s="63">
        <f t="shared" si="18"/>
        <v>3</v>
      </c>
      <c r="C147" s="64">
        <v>42434</v>
      </c>
      <c r="D147" s="64" t="s">
        <v>690</v>
      </c>
      <c r="E147" s="64">
        <f t="shared" si="20"/>
        <v>42434</v>
      </c>
      <c r="F147" s="67" t="s">
        <v>364</v>
      </c>
      <c r="G147" s="67"/>
      <c r="H147" s="74" t="s">
        <v>450</v>
      </c>
      <c r="I147" s="449">
        <v>150</v>
      </c>
      <c r="J147" s="449">
        <v>33000</v>
      </c>
      <c r="K147" s="440"/>
      <c r="L147" s="449"/>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8" customFormat="1" ht="15.75" hidden="1" customHeight="1">
      <c r="A148" s="343" t="str">
        <f>IF(B148&lt;&gt;"",IF(AND(B148='IN-TC'!$S$4,OR(TH!N148="1111",TH!O148="1111")),TH!D148,""),"")</f>
        <v/>
      </c>
      <c r="B148" s="63">
        <f>IF(C148&lt;&gt;"",MONTH(C148),"")</f>
        <v>3</v>
      </c>
      <c r="C148" s="64">
        <v>42439</v>
      </c>
      <c r="D148" s="64" t="s">
        <v>691</v>
      </c>
      <c r="E148" s="64">
        <f>C148</f>
        <v>42439</v>
      </c>
      <c r="F148" s="67" t="s">
        <v>391</v>
      </c>
      <c r="G148" s="67"/>
      <c r="H148" s="74" t="s">
        <v>450</v>
      </c>
      <c r="I148" s="449">
        <v>1015</v>
      </c>
      <c r="J148" s="449">
        <v>12000</v>
      </c>
      <c r="K148" s="440"/>
      <c r="L148" s="449"/>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8" customFormat="1" ht="15.75" hidden="1" customHeight="1">
      <c r="A149" s="343" t="str">
        <f>IF(B149&lt;&gt;"",IF(AND(B149='IN-TC'!$S$4,OR(TH!N149="1111",TH!O149="1111")),TH!D149,""),"")</f>
        <v/>
      </c>
      <c r="B149" s="63">
        <f t="shared" si="18"/>
        <v>3</v>
      </c>
      <c r="C149" s="64">
        <v>42439</v>
      </c>
      <c r="D149" s="64" t="s">
        <v>691</v>
      </c>
      <c r="E149" s="64">
        <f t="shared" si="20"/>
        <v>42439</v>
      </c>
      <c r="F149" s="67" t="s">
        <v>393</v>
      </c>
      <c r="G149" s="67"/>
      <c r="H149" s="74" t="s">
        <v>450</v>
      </c>
      <c r="I149" s="449">
        <v>375</v>
      </c>
      <c r="J149" s="449">
        <v>9500</v>
      </c>
      <c r="K149" s="440"/>
      <c r="L149" s="449"/>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8" customFormat="1" ht="15.75" hidden="1" customHeight="1">
      <c r="A150" s="343" t="str">
        <f>IF(B150&lt;&gt;"",IF(AND(B150='IN-TC'!$S$4,OR(TH!N150="1111",TH!O150="1111")),TH!D150,""),"")</f>
        <v/>
      </c>
      <c r="B150" s="63">
        <f>IF(C150&lt;&gt;"",MONTH(C150),"")</f>
        <v>3</v>
      </c>
      <c r="C150" s="64">
        <v>42459</v>
      </c>
      <c r="D150" s="64" t="s">
        <v>692</v>
      </c>
      <c r="E150" s="64">
        <f>C150</f>
        <v>42459</v>
      </c>
      <c r="F150" s="67" t="s">
        <v>385</v>
      </c>
      <c r="G150" s="67"/>
      <c r="H150" s="74" t="s">
        <v>450</v>
      </c>
      <c r="I150" s="449">
        <v>2700</v>
      </c>
      <c r="J150" s="449">
        <v>4466.322284402353</v>
      </c>
      <c r="K150" s="440"/>
      <c r="L150" s="449"/>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hidden="1" customHeight="1">
      <c r="A151" s="343" t="str">
        <f>IF(B151&lt;&gt;"",IF(AND(B151='IN-TC'!$S$4,OR(TH!N151="1111",TH!O151="1111")),TH!D151,""),"")</f>
        <v/>
      </c>
      <c r="B151" s="63">
        <f t="shared" si="15"/>
        <v>1</v>
      </c>
      <c r="C151" s="64">
        <f>E151</f>
        <v>42374</v>
      </c>
      <c r="D151" s="64" t="s">
        <v>944</v>
      </c>
      <c r="E151" s="64">
        <v>42374</v>
      </c>
      <c r="F151" s="67" t="s">
        <v>687</v>
      </c>
      <c r="G151" s="67"/>
      <c r="H151" s="75" t="s">
        <v>429</v>
      </c>
      <c r="I151" s="450">
        <v>7150</v>
      </c>
      <c r="J151" s="450">
        <v>16000</v>
      </c>
      <c r="K151" s="441"/>
      <c r="L151" s="450"/>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hidden="1" customHeight="1">
      <c r="A152" s="343" t="str">
        <f>IF(B152&lt;&gt;"",IF(AND(B152='IN-TC'!$S$4,OR(TH!N152="1111",TH!O152="1111")),TH!D152,""),"")</f>
        <v/>
      </c>
      <c r="B152" s="63">
        <f t="shared" si="15"/>
        <v>1</v>
      </c>
      <c r="C152" s="64">
        <f t="shared" ref="C152:C165" si="21">E152</f>
        <v>42374</v>
      </c>
      <c r="D152" s="64" t="s">
        <v>945</v>
      </c>
      <c r="E152" s="64">
        <v>42374</v>
      </c>
      <c r="F152" s="67" t="s">
        <v>687</v>
      </c>
      <c r="G152" s="67"/>
      <c r="H152" s="74" t="s">
        <v>432</v>
      </c>
      <c r="I152" s="447">
        <v>6870</v>
      </c>
      <c r="J152" s="450">
        <v>16000</v>
      </c>
      <c r="K152" s="438"/>
      <c r="L152" s="447"/>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hidden="1" customHeight="1">
      <c r="A153" s="343" t="str">
        <f>IF(B153&lt;&gt;"",IF(AND(B153='IN-TC'!$S$4,OR(TH!N153="1111",TH!O153="1111")),TH!D153,""),"")</f>
        <v/>
      </c>
      <c r="B153" s="63">
        <f t="shared" si="15"/>
        <v>1</v>
      </c>
      <c r="C153" s="64">
        <f t="shared" si="21"/>
        <v>42374</v>
      </c>
      <c r="D153" s="64" t="s">
        <v>946</v>
      </c>
      <c r="E153" s="64">
        <v>42374</v>
      </c>
      <c r="F153" s="67" t="s">
        <v>687</v>
      </c>
      <c r="G153" s="67"/>
      <c r="H153" s="74" t="s">
        <v>434</v>
      </c>
      <c r="I153" s="447">
        <v>7120</v>
      </c>
      <c r="J153" s="450">
        <v>16000</v>
      </c>
      <c r="K153" s="438"/>
      <c r="L153" s="447"/>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hidden="1" customHeight="1">
      <c r="A154" s="343" t="str">
        <f>IF(B154&lt;&gt;"",IF(AND(B154='IN-TC'!$S$4,OR(TH!N154="1111",TH!O154="1111")),TH!D154,""),"")</f>
        <v/>
      </c>
      <c r="B154" s="63">
        <f t="shared" si="15"/>
        <v>1</v>
      </c>
      <c r="C154" s="64">
        <f t="shared" si="21"/>
        <v>42380</v>
      </c>
      <c r="D154" s="64" t="s">
        <v>947</v>
      </c>
      <c r="E154" s="64">
        <v>42380</v>
      </c>
      <c r="F154" s="67" t="s">
        <v>687</v>
      </c>
      <c r="G154" s="67"/>
      <c r="H154" s="74" t="s">
        <v>432</v>
      </c>
      <c r="I154" s="447">
        <v>6854</v>
      </c>
      <c r="J154" s="450">
        <v>16000</v>
      </c>
      <c r="K154" s="438"/>
      <c r="L154" s="447"/>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hidden="1" customHeight="1">
      <c r="A155" s="343" t="str">
        <f>IF(B155&lt;&gt;"",IF(AND(B155='IN-TC'!$S$4,OR(TH!N155="1111",TH!O155="1111")),TH!D155,""),"")</f>
        <v/>
      </c>
      <c r="B155" s="63">
        <f t="shared" si="15"/>
        <v>1</v>
      </c>
      <c r="C155" s="64">
        <f t="shared" si="21"/>
        <v>42380</v>
      </c>
      <c r="D155" s="64" t="s">
        <v>948</v>
      </c>
      <c r="E155" s="64">
        <v>42380</v>
      </c>
      <c r="F155" s="67" t="s">
        <v>687</v>
      </c>
      <c r="G155" s="67"/>
      <c r="H155" s="74" t="s">
        <v>436</v>
      </c>
      <c r="I155" s="447">
        <v>7460</v>
      </c>
      <c r="J155" s="450">
        <v>16000</v>
      </c>
      <c r="K155" s="438"/>
      <c r="L155" s="447"/>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hidden="1" customHeight="1">
      <c r="A156" s="343" t="str">
        <f>IF(B156&lt;&gt;"",IF(AND(B156='IN-TC'!$S$4,OR(TH!N156="1111",TH!O156="1111")),TH!D156,""),"")</f>
        <v/>
      </c>
      <c r="B156" s="63">
        <f t="shared" si="15"/>
        <v>1</v>
      </c>
      <c r="C156" s="64">
        <f t="shared" si="21"/>
        <v>42380</v>
      </c>
      <c r="D156" s="64" t="s">
        <v>949</v>
      </c>
      <c r="E156" s="64">
        <v>42380</v>
      </c>
      <c r="F156" s="67" t="s">
        <v>687</v>
      </c>
      <c r="G156" s="67"/>
      <c r="H156" s="74" t="s">
        <v>438</v>
      </c>
      <c r="I156" s="447">
        <v>7780</v>
      </c>
      <c r="J156" s="450">
        <v>16000</v>
      </c>
      <c r="K156" s="438"/>
      <c r="L156" s="447"/>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hidden="1" customHeight="1">
      <c r="A157" s="343" t="str">
        <f>IF(B157&lt;&gt;"",IF(AND(B157='IN-TC'!$S$4,OR(TH!N157="1111",TH!O157="1111")),TH!D157,""),"")</f>
        <v/>
      </c>
      <c r="B157" s="63">
        <f t="shared" si="15"/>
        <v>1</v>
      </c>
      <c r="C157" s="64">
        <f t="shared" si="21"/>
        <v>42384</v>
      </c>
      <c r="D157" s="64" t="s">
        <v>950</v>
      </c>
      <c r="E157" s="64">
        <v>42384</v>
      </c>
      <c r="F157" s="67" t="s">
        <v>687</v>
      </c>
      <c r="G157" s="67"/>
      <c r="H157" s="74" t="s">
        <v>439</v>
      </c>
      <c r="I157" s="447">
        <v>7013</v>
      </c>
      <c r="J157" s="450">
        <v>16000</v>
      </c>
      <c r="K157" s="438"/>
      <c r="L157" s="447"/>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hidden="1" customHeight="1">
      <c r="A158" s="343" t="str">
        <f>IF(B158&lt;&gt;"",IF(AND(B158='IN-TC'!$S$4,OR(TH!N158="1111",TH!O158="1111")),TH!D158,""),"")</f>
        <v/>
      </c>
      <c r="B158" s="63">
        <f t="shared" si="15"/>
        <v>1</v>
      </c>
      <c r="C158" s="64">
        <f t="shared" si="21"/>
        <v>42384</v>
      </c>
      <c r="D158" s="64" t="s">
        <v>951</v>
      </c>
      <c r="E158" s="64">
        <v>42384</v>
      </c>
      <c r="F158" s="67" t="s">
        <v>687</v>
      </c>
      <c r="G158" s="67"/>
      <c r="H158" s="74" t="s">
        <v>434</v>
      </c>
      <c r="I158" s="447">
        <v>7480</v>
      </c>
      <c r="J158" s="450">
        <v>16000</v>
      </c>
      <c r="K158" s="438"/>
      <c r="L158" s="447"/>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hidden="1" customHeight="1">
      <c r="A159" s="343" t="str">
        <f>IF(B159&lt;&gt;"",IF(AND(B159='IN-TC'!$S$4,OR(TH!N159="1111",TH!O159="1111")),TH!D159,""),"")</f>
        <v/>
      </c>
      <c r="B159" s="63">
        <f t="shared" si="15"/>
        <v>1</v>
      </c>
      <c r="C159" s="64">
        <f t="shared" si="21"/>
        <v>42384</v>
      </c>
      <c r="D159" s="64" t="s">
        <v>952</v>
      </c>
      <c r="E159" s="64">
        <v>42384</v>
      </c>
      <c r="F159" s="67" t="s">
        <v>687</v>
      </c>
      <c r="G159" s="67"/>
      <c r="H159" s="74" t="s">
        <v>436</v>
      </c>
      <c r="I159" s="447">
        <v>6820</v>
      </c>
      <c r="J159" s="450">
        <v>16000</v>
      </c>
      <c r="K159" s="438"/>
      <c r="L159" s="447"/>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hidden="1" customHeight="1">
      <c r="A160" s="343" t="str">
        <f>IF(B160&lt;&gt;"",IF(AND(B160='IN-TC'!$S$4,OR(TH!N160="1111",TH!O160="1111")),TH!D160,""),"")</f>
        <v/>
      </c>
      <c r="B160" s="63">
        <f t="shared" si="15"/>
        <v>1</v>
      </c>
      <c r="C160" s="64">
        <f t="shared" si="21"/>
        <v>42390</v>
      </c>
      <c r="D160" s="64" t="s">
        <v>953</v>
      </c>
      <c r="E160" s="64">
        <v>42390</v>
      </c>
      <c r="F160" s="67" t="s">
        <v>687</v>
      </c>
      <c r="G160" s="67"/>
      <c r="H160" s="74" t="s">
        <v>445</v>
      </c>
      <c r="I160" s="447">
        <v>7120</v>
      </c>
      <c r="J160" s="450">
        <v>16000</v>
      </c>
      <c r="K160" s="438"/>
      <c r="L160" s="447"/>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hidden="1" customHeight="1">
      <c r="A161" s="343" t="str">
        <f>IF(B161&lt;&gt;"",IF(AND(B161='IN-TC'!$S$4,OR(TH!N161="1111",TH!O161="1111")),TH!D161,""),"")</f>
        <v/>
      </c>
      <c r="B161" s="63">
        <f t="shared" si="15"/>
        <v>1</v>
      </c>
      <c r="C161" s="64">
        <f t="shared" si="21"/>
        <v>42390</v>
      </c>
      <c r="D161" s="64" t="s">
        <v>954</v>
      </c>
      <c r="E161" s="64">
        <v>42390</v>
      </c>
      <c r="F161" s="67" t="s">
        <v>687</v>
      </c>
      <c r="G161" s="67"/>
      <c r="H161" s="74" t="s">
        <v>447</v>
      </c>
      <c r="I161" s="447">
        <v>6433</v>
      </c>
      <c r="J161" s="450">
        <v>16000</v>
      </c>
      <c r="K161" s="438"/>
      <c r="L161" s="447"/>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hidden="1" customHeight="1">
      <c r="A162" s="343" t="str">
        <f>IF(B162&lt;&gt;"",IF(AND(B162='IN-TC'!$S$4,OR(TH!N162="1111",TH!O162="1111")),TH!D162,""),"")</f>
        <v/>
      </c>
      <c r="B162" s="63">
        <f t="shared" si="15"/>
        <v>1</v>
      </c>
      <c r="C162" s="64">
        <f t="shared" si="21"/>
        <v>42376</v>
      </c>
      <c r="D162" s="64" t="s">
        <v>696</v>
      </c>
      <c r="E162" s="64">
        <v>42376</v>
      </c>
      <c r="F162" s="67" t="s">
        <v>687</v>
      </c>
      <c r="G162" s="67"/>
      <c r="H162" s="74" t="s">
        <v>450</v>
      </c>
      <c r="I162" s="447">
        <v>21140</v>
      </c>
      <c r="J162" s="450">
        <v>16000</v>
      </c>
      <c r="K162" s="438"/>
      <c r="L162" s="447"/>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hidden="1" customHeight="1">
      <c r="A163" s="343" t="str">
        <f>IF(B163&lt;&gt;"",IF(AND(B163='IN-TC'!$S$4,OR(TH!N163="1111",TH!O163="1111")),TH!D163,""),"")</f>
        <v/>
      </c>
      <c r="B163" s="63">
        <f t="shared" si="15"/>
        <v>1</v>
      </c>
      <c r="C163" s="64">
        <f t="shared" si="21"/>
        <v>42380</v>
      </c>
      <c r="D163" s="64" t="s">
        <v>697</v>
      </c>
      <c r="E163" s="64">
        <v>42380</v>
      </c>
      <c r="F163" s="67" t="s">
        <v>687</v>
      </c>
      <c r="G163" s="67"/>
      <c r="H163" s="74" t="s">
        <v>450</v>
      </c>
      <c r="I163" s="447">
        <v>22094</v>
      </c>
      <c r="J163" s="450">
        <v>16000</v>
      </c>
      <c r="K163" s="438"/>
      <c r="L163" s="447"/>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hidden="1" customHeight="1">
      <c r="A164" s="343" t="str">
        <f>IF(B164&lt;&gt;"",IF(AND(B164='IN-TC'!$S$4,OR(TH!N164="1111",TH!O164="1111")),TH!D164,""),"")</f>
        <v/>
      </c>
      <c r="B164" s="63">
        <f t="shared" si="15"/>
        <v>1</v>
      </c>
      <c r="C164" s="64">
        <f t="shared" si="21"/>
        <v>42384</v>
      </c>
      <c r="D164" s="64" t="s">
        <v>699</v>
      </c>
      <c r="E164" s="64">
        <v>42384</v>
      </c>
      <c r="F164" s="67" t="s">
        <v>687</v>
      </c>
      <c r="G164" s="67"/>
      <c r="H164" s="74" t="s">
        <v>450</v>
      </c>
      <c r="I164" s="449">
        <v>21313</v>
      </c>
      <c r="J164" s="450">
        <v>16000</v>
      </c>
      <c r="K164" s="440"/>
      <c r="L164" s="449"/>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hidden="1" customHeight="1">
      <c r="A165" s="343" t="str">
        <f>IF(B165&lt;&gt;"",IF(AND(B165='IN-TC'!$S$4,OR(TH!N165="1111",TH!O165="1111")),TH!D165,""),"")</f>
        <v/>
      </c>
      <c r="B165" s="63">
        <f t="shared" si="15"/>
        <v>1</v>
      </c>
      <c r="C165" s="64">
        <f t="shared" si="21"/>
        <v>42388</v>
      </c>
      <c r="D165" s="64" t="s">
        <v>956</v>
      </c>
      <c r="E165" s="64">
        <v>42388</v>
      </c>
      <c r="F165" s="67" t="s">
        <v>687</v>
      </c>
      <c r="G165" s="67"/>
      <c r="H165" s="74" t="s">
        <v>450</v>
      </c>
      <c r="I165" s="447">
        <v>13553</v>
      </c>
      <c r="J165" s="450">
        <v>16000</v>
      </c>
      <c r="K165" s="438"/>
      <c r="L165" s="447"/>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8" customFormat="1" ht="15.75" hidden="1" customHeight="1">
      <c r="A166" s="343" t="str">
        <f>IF(B166&lt;&gt;"",IF(AND(B166='IN-TC'!$S$4,OR(TH!N166="1111",TH!O166="1111")),TH!D166,""),"")</f>
        <v/>
      </c>
      <c r="B166" s="63">
        <f t="shared" si="15"/>
        <v>1</v>
      </c>
      <c r="C166" s="64">
        <f t="shared" ref="C166:C172" si="23">E166</f>
        <v>42371</v>
      </c>
      <c r="D166" s="64" t="s">
        <v>688</v>
      </c>
      <c r="E166" s="64">
        <v>42371</v>
      </c>
      <c r="F166" s="67" t="s">
        <v>686</v>
      </c>
      <c r="G166" s="67"/>
      <c r="H166" s="74" t="s">
        <v>450</v>
      </c>
      <c r="I166" s="449">
        <v>38400</v>
      </c>
      <c r="J166" s="449">
        <v>18500</v>
      </c>
      <c r="K166" s="440"/>
      <c r="L166" s="449"/>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8" customFormat="1" ht="15.75" hidden="1" customHeight="1">
      <c r="A167" s="343" t="str">
        <f>IF(B167&lt;&gt;"",IF(AND(B167='IN-TC'!$S$4,OR(TH!N167="1111",TH!O167="1111")),TH!D167,""),"")</f>
        <v/>
      </c>
      <c r="B167" s="63">
        <f t="shared" si="15"/>
        <v>1</v>
      </c>
      <c r="C167" s="64">
        <f t="shared" si="23"/>
        <v>42374</v>
      </c>
      <c r="D167" s="64" t="s">
        <v>695</v>
      </c>
      <c r="E167" s="64">
        <v>42374</v>
      </c>
      <c r="F167" s="67" t="s">
        <v>687</v>
      </c>
      <c r="G167" s="67"/>
      <c r="H167" s="74" t="s">
        <v>450</v>
      </c>
      <c r="I167" s="449">
        <v>26500</v>
      </c>
      <c r="J167" s="449">
        <v>14500</v>
      </c>
      <c r="K167" s="440"/>
      <c r="L167" s="449"/>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8" customFormat="1" ht="15.75" hidden="1" customHeight="1">
      <c r="A168" s="343" t="str">
        <f>IF(B168&lt;&gt;"",IF(AND(B168='IN-TC'!$S$4,OR(TH!N168="1111",TH!O168="1111")),TH!D168,""),"")</f>
        <v/>
      </c>
      <c r="B168" s="63">
        <f t="shared" si="15"/>
        <v>1</v>
      </c>
      <c r="C168" s="64">
        <f t="shared" si="23"/>
        <v>42382</v>
      </c>
      <c r="D168" s="64" t="s">
        <v>698</v>
      </c>
      <c r="E168" s="64">
        <v>42382</v>
      </c>
      <c r="F168" s="67" t="s">
        <v>687</v>
      </c>
      <c r="G168" s="67"/>
      <c r="H168" s="74" t="s">
        <v>450</v>
      </c>
      <c r="I168" s="449">
        <v>26500</v>
      </c>
      <c r="J168" s="449">
        <v>14500</v>
      </c>
      <c r="K168" s="440"/>
      <c r="L168" s="449"/>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8" customFormat="1" ht="15.75" hidden="1" customHeight="1">
      <c r="A169" s="343" t="str">
        <f>IF(B169&lt;&gt;"",IF(AND(B169='IN-TC'!$S$4,OR(TH!N169="1111",TH!O169="1111")),TH!D169,""),"")</f>
        <v/>
      </c>
      <c r="B169" s="63">
        <f t="shared" si="15"/>
        <v>1</v>
      </c>
      <c r="C169" s="64">
        <f t="shared" si="23"/>
        <v>42386</v>
      </c>
      <c r="D169" s="64" t="s">
        <v>955</v>
      </c>
      <c r="E169" s="64">
        <v>42386</v>
      </c>
      <c r="F169" s="67" t="s">
        <v>687</v>
      </c>
      <c r="G169" s="996"/>
      <c r="H169" s="74" t="s">
        <v>450</v>
      </c>
      <c r="I169" s="449">
        <v>26500</v>
      </c>
      <c r="J169" s="449">
        <v>14500</v>
      </c>
      <c r="K169" s="440"/>
      <c r="L169" s="449"/>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8" customFormat="1" ht="15.75" hidden="1" customHeight="1">
      <c r="A170" s="343" t="str">
        <f>IF(B170&lt;&gt;"",IF(AND(B170='IN-TC'!$S$4,OR(TH!N170="1111",TH!O170="1111")),TH!D170,""),"")</f>
        <v/>
      </c>
      <c r="B170" s="63">
        <f t="shared" si="15"/>
        <v>1</v>
      </c>
      <c r="C170" s="64">
        <f t="shared" si="23"/>
        <v>42390</v>
      </c>
      <c r="D170" s="64" t="s">
        <v>957</v>
      </c>
      <c r="E170" s="64">
        <v>42390</v>
      </c>
      <c r="F170" s="67" t="s">
        <v>687</v>
      </c>
      <c r="G170" s="67"/>
      <c r="H170" s="74" t="s">
        <v>450</v>
      </c>
      <c r="I170" s="447">
        <v>26500</v>
      </c>
      <c r="J170" s="447">
        <v>14500</v>
      </c>
      <c r="K170" s="438"/>
      <c r="L170" s="447"/>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8" customFormat="1" ht="15.75" hidden="1" customHeight="1">
      <c r="A171" s="343" t="str">
        <f>IF(B171&lt;&gt;"",IF(AND(B171='IN-TC'!$S$4,OR(TH!N171="1111",TH!O171="1111")),TH!D171,""),"")</f>
        <v/>
      </c>
      <c r="B171" s="63">
        <f t="shared" si="15"/>
        <v>1</v>
      </c>
      <c r="C171" s="64">
        <f t="shared" si="23"/>
        <v>42394</v>
      </c>
      <c r="D171" s="64" t="s">
        <v>958</v>
      </c>
      <c r="E171" s="64">
        <v>42394</v>
      </c>
      <c r="F171" s="67" t="s">
        <v>687</v>
      </c>
      <c r="G171" s="67"/>
      <c r="H171" s="74" t="s">
        <v>450</v>
      </c>
      <c r="I171" s="447">
        <v>26000</v>
      </c>
      <c r="J171" s="447">
        <v>14500</v>
      </c>
      <c r="K171" s="438"/>
      <c r="L171" s="447"/>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hidden="1" customHeight="1">
      <c r="A172" s="343" t="str">
        <f>IF(B172&lt;&gt;"",IF(AND(B172='IN-TC'!$S$4,OR(TH!N172="1111",TH!O172="1111")),TH!D172,""),"")</f>
        <v/>
      </c>
      <c r="B172" s="63">
        <f t="shared" si="15"/>
        <v>1</v>
      </c>
      <c r="C172" s="64">
        <f t="shared" si="23"/>
        <v>42392</v>
      </c>
      <c r="D172" s="64" t="s">
        <v>960</v>
      </c>
      <c r="E172" s="64">
        <v>42392</v>
      </c>
      <c r="F172" s="67" t="s">
        <v>687</v>
      </c>
      <c r="G172" s="67"/>
      <c r="H172" s="75" t="s">
        <v>429</v>
      </c>
      <c r="I172" s="450">
        <v>7580</v>
      </c>
      <c r="J172" s="450">
        <v>13200</v>
      </c>
      <c r="K172" s="441"/>
      <c r="L172" s="450"/>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hidden="1" customHeight="1">
      <c r="A173" s="343" t="str">
        <f>IF(B173&lt;&gt;"",IF(AND(B173='IN-TC'!$S$4,OR(TH!N173="1111",TH!O173="1111")),TH!D173,""),"")</f>
        <v/>
      </c>
      <c r="B173" s="63">
        <f t="shared" si="15"/>
        <v>1</v>
      </c>
      <c r="C173" s="64">
        <f t="shared" ref="C173:C186" si="25">E173</f>
        <v>42392</v>
      </c>
      <c r="D173" s="64" t="s">
        <v>961</v>
      </c>
      <c r="E173" s="64">
        <v>42392</v>
      </c>
      <c r="F173" s="67" t="s">
        <v>687</v>
      </c>
      <c r="G173" s="67"/>
      <c r="H173" s="74" t="s">
        <v>432</v>
      </c>
      <c r="I173" s="447">
        <v>7840</v>
      </c>
      <c r="J173" s="450">
        <v>13200</v>
      </c>
      <c r="K173" s="438"/>
      <c r="L173" s="447"/>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hidden="1" customHeight="1">
      <c r="A174" s="343" t="str">
        <f>IF(B174&lt;&gt;"",IF(AND(B174='IN-TC'!$S$4,OR(TH!N174="1111",TH!O174="1111")),TH!D174,""),"")</f>
        <v/>
      </c>
      <c r="B174" s="63">
        <f t="shared" si="15"/>
        <v>1</v>
      </c>
      <c r="C174" s="64">
        <f t="shared" si="25"/>
        <v>42392</v>
      </c>
      <c r="D174" s="64" t="s">
        <v>962</v>
      </c>
      <c r="E174" s="64">
        <v>42392</v>
      </c>
      <c r="F174" s="67" t="s">
        <v>687</v>
      </c>
      <c r="G174" s="67"/>
      <c r="H174" s="74" t="s">
        <v>434</v>
      </c>
      <c r="I174" s="447">
        <v>7460</v>
      </c>
      <c r="J174" s="450">
        <v>13200</v>
      </c>
      <c r="K174" s="438"/>
      <c r="L174" s="447"/>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hidden="1" customHeight="1">
      <c r="A175" s="343" t="str">
        <f>IF(B175&lt;&gt;"",IF(AND(B175='IN-TC'!$S$4,OR(TH!N175="1111",TH!O175="1111")),TH!D175,""),"")</f>
        <v/>
      </c>
      <c r="B175" s="63">
        <f t="shared" si="15"/>
        <v>1</v>
      </c>
      <c r="C175" s="64">
        <f t="shared" si="25"/>
        <v>42392</v>
      </c>
      <c r="D175" s="64" t="s">
        <v>963</v>
      </c>
      <c r="E175" s="64">
        <v>42392</v>
      </c>
      <c r="F175" s="67" t="s">
        <v>687</v>
      </c>
      <c r="G175" s="67"/>
      <c r="H175" s="74" t="s">
        <v>445</v>
      </c>
      <c r="I175" s="447">
        <v>7740</v>
      </c>
      <c r="J175" s="450">
        <v>13200</v>
      </c>
      <c r="K175" s="438"/>
      <c r="L175" s="447"/>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hidden="1" customHeight="1">
      <c r="A176" s="343" t="str">
        <f>IF(B176&lt;&gt;"",IF(AND(B176='IN-TC'!$S$4,OR(TH!N176="1111",TH!O176="1111")),TH!D176,""),"")</f>
        <v/>
      </c>
      <c r="B176" s="63">
        <f t="shared" si="15"/>
        <v>1</v>
      </c>
      <c r="C176" s="64">
        <f t="shared" si="25"/>
        <v>42396</v>
      </c>
      <c r="D176" s="64" t="s">
        <v>964</v>
      </c>
      <c r="E176" s="64">
        <v>42396</v>
      </c>
      <c r="F176" s="67" t="s">
        <v>687</v>
      </c>
      <c r="G176" s="67"/>
      <c r="H176" s="74" t="s">
        <v>436</v>
      </c>
      <c r="I176" s="447">
        <v>7456</v>
      </c>
      <c r="J176" s="450">
        <v>13200</v>
      </c>
      <c r="K176" s="438"/>
      <c r="L176" s="447"/>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hidden="1" customHeight="1">
      <c r="A177" s="343" t="str">
        <f>IF(B177&lt;&gt;"",IF(AND(B177='IN-TC'!$S$4,OR(TH!N177="1111",TH!O177="1111")),TH!D177,""),"")</f>
        <v/>
      </c>
      <c r="B177" s="63">
        <f t="shared" si="15"/>
        <v>1</v>
      </c>
      <c r="C177" s="64">
        <f t="shared" si="25"/>
        <v>42396</v>
      </c>
      <c r="D177" s="64" t="s">
        <v>965</v>
      </c>
      <c r="E177" s="64">
        <v>42396</v>
      </c>
      <c r="F177" s="67" t="s">
        <v>687</v>
      </c>
      <c r="G177" s="67"/>
      <c r="H177" s="74" t="s">
        <v>438</v>
      </c>
      <c r="I177" s="447">
        <v>7016</v>
      </c>
      <c r="J177" s="450">
        <v>13200</v>
      </c>
      <c r="K177" s="438"/>
      <c r="L177" s="447"/>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hidden="1" customHeight="1">
      <c r="A178" s="343" t="str">
        <f>IF(B178&lt;&gt;"",IF(AND(B178='IN-TC'!$S$4,OR(TH!N178="1111",TH!O178="1111")),TH!D178,""),"")</f>
        <v/>
      </c>
      <c r="B178" s="63">
        <f t="shared" si="15"/>
        <v>1</v>
      </c>
      <c r="C178" s="64">
        <f t="shared" si="25"/>
        <v>42396</v>
      </c>
      <c r="D178" s="64" t="s">
        <v>966</v>
      </c>
      <c r="E178" s="64">
        <v>42396</v>
      </c>
      <c r="F178" s="67" t="s">
        <v>687</v>
      </c>
      <c r="G178" s="67"/>
      <c r="H178" s="74" t="s">
        <v>439</v>
      </c>
      <c r="I178" s="447">
        <v>6980</v>
      </c>
      <c r="J178" s="450">
        <v>13200</v>
      </c>
      <c r="K178" s="438"/>
      <c r="L178" s="447"/>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hidden="1" customHeight="1">
      <c r="A179" s="343" t="str">
        <f>IF(B179&lt;&gt;"",IF(AND(B179='IN-TC'!$S$4,OR(TH!N179="1111",TH!O179="1111")),TH!D179,""),"")</f>
        <v/>
      </c>
      <c r="B179" s="63">
        <f t="shared" si="15"/>
        <v>1</v>
      </c>
      <c r="C179" s="64">
        <f t="shared" si="25"/>
        <v>42396</v>
      </c>
      <c r="D179" s="64" t="s">
        <v>967</v>
      </c>
      <c r="E179" s="64">
        <v>42396</v>
      </c>
      <c r="F179" s="67" t="s">
        <v>687</v>
      </c>
      <c r="G179" s="67"/>
      <c r="H179" s="74" t="s">
        <v>434</v>
      </c>
      <c r="I179" s="447">
        <v>7125</v>
      </c>
      <c r="J179" s="450">
        <v>13200</v>
      </c>
      <c r="K179" s="438"/>
      <c r="L179" s="447"/>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hidden="1" customHeight="1">
      <c r="A180" s="343" t="str">
        <f>IF(B180&lt;&gt;"",IF(AND(B180='IN-TC'!$S$4,OR(TH!N180="1111",TH!O180="1111")),TH!D180,""),"")</f>
        <v/>
      </c>
      <c r="B180" s="63">
        <f t="shared" si="15"/>
        <v>1</v>
      </c>
      <c r="C180" s="64">
        <f t="shared" si="25"/>
        <v>42400</v>
      </c>
      <c r="D180" s="64" t="s">
        <v>968</v>
      </c>
      <c r="E180" s="64">
        <v>42400</v>
      </c>
      <c r="F180" s="67" t="s">
        <v>687</v>
      </c>
      <c r="G180" s="67"/>
      <c r="H180" s="74" t="s">
        <v>432</v>
      </c>
      <c r="I180" s="447">
        <v>7041</v>
      </c>
      <c r="J180" s="450">
        <v>13200</v>
      </c>
      <c r="K180" s="438"/>
      <c r="L180" s="447"/>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hidden="1" customHeight="1">
      <c r="A181" s="343" t="str">
        <f>IF(B181&lt;&gt;"",IF(AND(B181='IN-TC'!$S$4,OR(TH!N181="1111",TH!O181="1111")),TH!D181,""),"")</f>
        <v/>
      </c>
      <c r="B181" s="63">
        <f t="shared" si="15"/>
        <v>1</v>
      </c>
      <c r="C181" s="64">
        <f t="shared" si="25"/>
        <v>42400</v>
      </c>
      <c r="D181" s="64" t="s">
        <v>969</v>
      </c>
      <c r="E181" s="64">
        <v>42400</v>
      </c>
      <c r="F181" s="67" t="s">
        <v>687</v>
      </c>
      <c r="G181" s="67"/>
      <c r="H181" s="74" t="s">
        <v>434</v>
      </c>
      <c r="I181" s="447">
        <v>7046</v>
      </c>
      <c r="J181" s="450">
        <v>13200</v>
      </c>
      <c r="K181" s="438"/>
      <c r="L181" s="447"/>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hidden="1" customHeight="1">
      <c r="A182" s="343" t="str">
        <f>IF(B182&lt;&gt;"",IF(AND(B182='IN-TC'!$S$4,OR(TH!N182="1111",TH!O182="1111")),TH!D182,""),"")</f>
        <v/>
      </c>
      <c r="B182" s="63">
        <f t="shared" si="15"/>
        <v>1</v>
      </c>
      <c r="C182" s="64">
        <f>E182</f>
        <v>42400</v>
      </c>
      <c r="D182" s="64" t="s">
        <v>970</v>
      </c>
      <c r="E182" s="64">
        <v>42400</v>
      </c>
      <c r="F182" s="67" t="s">
        <v>687</v>
      </c>
      <c r="G182" s="67"/>
      <c r="H182" s="74" t="s">
        <v>439</v>
      </c>
      <c r="I182" s="447">
        <v>7049</v>
      </c>
      <c r="J182" s="450">
        <v>13200</v>
      </c>
      <c r="K182" s="438"/>
      <c r="L182" s="447"/>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hidden="1" customHeight="1">
      <c r="A183" s="343" t="str">
        <f>IF(B183&lt;&gt;"",IF(AND(B183='IN-TC'!$S$4,OR(TH!N183="1111",TH!O183="1111")),TH!D183,""),"")</f>
        <v/>
      </c>
      <c r="B183" s="63">
        <f t="shared" si="15"/>
        <v>1</v>
      </c>
      <c r="C183" s="64">
        <f t="shared" si="25"/>
        <v>42400</v>
      </c>
      <c r="D183" s="64" t="s">
        <v>971</v>
      </c>
      <c r="E183" s="64">
        <v>42400</v>
      </c>
      <c r="F183" s="67" t="s">
        <v>687</v>
      </c>
      <c r="G183" s="67"/>
      <c r="H183" s="74" t="s">
        <v>443</v>
      </c>
      <c r="I183" s="447">
        <v>7667</v>
      </c>
      <c r="J183" s="450">
        <v>13200</v>
      </c>
      <c r="K183" s="438"/>
      <c r="L183" s="447"/>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8" customFormat="1" ht="15.75" hidden="1" customHeight="1">
      <c r="A184" s="343" t="str">
        <f>IF(B184&lt;&gt;"",IF(AND(B184='IN-TC'!$S$4,OR(TH!N184="1111",TH!O184="1111")),TH!D184,""),"")</f>
        <v/>
      </c>
      <c r="B184" s="63">
        <f t="shared" si="15"/>
        <v>2</v>
      </c>
      <c r="C184" s="64">
        <f t="shared" si="25"/>
        <v>42415</v>
      </c>
      <c r="D184" s="64" t="s">
        <v>688</v>
      </c>
      <c r="E184" s="64">
        <v>42415</v>
      </c>
      <c r="F184" s="67" t="s">
        <v>687</v>
      </c>
      <c r="G184" s="67"/>
      <c r="H184" s="74" t="s">
        <v>450</v>
      </c>
      <c r="I184" s="449">
        <v>30620</v>
      </c>
      <c r="J184" s="450">
        <v>13200</v>
      </c>
      <c r="K184" s="440"/>
      <c r="L184" s="449"/>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8" customFormat="1" ht="15.75" hidden="1" customHeight="1">
      <c r="A185" s="343" t="str">
        <f>IF(B185&lt;&gt;"",IF(AND(B185='IN-TC'!$S$4,OR(TH!N185="1111",TH!O185="1111")),TH!D185,""),"")</f>
        <v/>
      </c>
      <c r="B185" s="63">
        <f t="shared" si="15"/>
        <v>2</v>
      </c>
      <c r="C185" s="64">
        <f t="shared" si="25"/>
        <v>42418</v>
      </c>
      <c r="D185" s="64" t="s">
        <v>695</v>
      </c>
      <c r="E185" s="64">
        <v>42418</v>
      </c>
      <c r="F185" s="67" t="s">
        <v>687</v>
      </c>
      <c r="G185" s="996"/>
      <c r="H185" s="74" t="s">
        <v>450</v>
      </c>
      <c r="I185" s="449">
        <v>28577</v>
      </c>
      <c r="J185" s="450">
        <v>13200</v>
      </c>
      <c r="K185" s="440"/>
      <c r="L185" s="449"/>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8" customFormat="1" ht="15.75" hidden="1" customHeight="1">
      <c r="A186" s="343" t="str">
        <f>IF(B186&lt;&gt;"",IF(AND(B186='IN-TC'!$S$4,OR(TH!N186="1111",TH!O186="1111")),TH!D186,""),"")</f>
        <v/>
      </c>
      <c r="B186" s="63">
        <f t="shared" si="15"/>
        <v>2</v>
      </c>
      <c r="C186" s="64">
        <f t="shared" si="25"/>
        <v>42423</v>
      </c>
      <c r="D186" s="64" t="s">
        <v>696</v>
      </c>
      <c r="E186" s="64">
        <v>42423</v>
      </c>
      <c r="F186" s="67" t="s">
        <v>687</v>
      </c>
      <c r="G186" s="67"/>
      <c r="H186" s="74" t="s">
        <v>450</v>
      </c>
      <c r="I186" s="447">
        <v>28803</v>
      </c>
      <c r="J186" s="450">
        <v>13200</v>
      </c>
      <c r="K186" s="438"/>
      <c r="L186" s="447"/>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hidden="1" customHeight="1">
      <c r="A187" s="343" t="str">
        <f>IF(B187&lt;&gt;"",IF(AND(B187='IN-TC'!$S$4,OR(TH!N187="1111",TH!O187="1111")),TH!D187,""),"")</f>
        <v/>
      </c>
      <c r="B187" s="63">
        <f t="shared" ref="B187:B193" si="27">IF(C187&lt;&gt;"",MONTH(C187),"")</f>
        <v>2</v>
      </c>
      <c r="C187" s="64">
        <f>E187</f>
        <v>42417</v>
      </c>
      <c r="D187" s="64" t="s">
        <v>960</v>
      </c>
      <c r="E187" s="64">
        <v>42417</v>
      </c>
      <c r="F187" s="67" t="s">
        <v>687</v>
      </c>
      <c r="G187" s="67"/>
      <c r="H187" s="75" t="s">
        <v>429</v>
      </c>
      <c r="I187" s="450">
        <v>7043</v>
      </c>
      <c r="J187" s="450">
        <v>13200</v>
      </c>
      <c r="K187" s="441"/>
      <c r="L187" s="450"/>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hidden="1" customHeight="1">
      <c r="A188" s="343" t="str">
        <f>IF(B188&lt;&gt;"",IF(AND(B188='IN-TC'!$S$4,OR(TH!N188="1111",TH!O188="1111")),TH!D188,""),"")</f>
        <v/>
      </c>
      <c r="B188" s="63">
        <f t="shared" si="27"/>
        <v>2</v>
      </c>
      <c r="C188" s="64">
        <f t="shared" ref="C188:C193" si="28">E188</f>
        <v>42417</v>
      </c>
      <c r="D188" s="64" t="s">
        <v>961</v>
      </c>
      <c r="E188" s="64">
        <v>42417</v>
      </c>
      <c r="F188" s="67" t="s">
        <v>687</v>
      </c>
      <c r="G188" s="67"/>
      <c r="H188" s="74" t="s">
        <v>436</v>
      </c>
      <c r="I188" s="447">
        <v>7150</v>
      </c>
      <c r="J188" s="450">
        <v>13200</v>
      </c>
      <c r="K188" s="438"/>
      <c r="L188" s="447"/>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hidden="1" customHeight="1">
      <c r="A189" s="343" t="str">
        <f>IF(B189&lt;&gt;"",IF(AND(B189='IN-TC'!$S$4,OR(TH!N189="1111",TH!O189="1111")),TH!D189,""),"")</f>
        <v/>
      </c>
      <c r="B189" s="63">
        <f t="shared" si="27"/>
        <v>2</v>
      </c>
      <c r="C189" s="64">
        <f t="shared" si="28"/>
        <v>42417</v>
      </c>
      <c r="D189" s="64" t="s">
        <v>962</v>
      </c>
      <c r="E189" s="64">
        <v>42417</v>
      </c>
      <c r="F189" s="67" t="s">
        <v>687</v>
      </c>
      <c r="G189" s="67"/>
      <c r="H189" s="74" t="s">
        <v>438</v>
      </c>
      <c r="I189" s="447">
        <v>6970</v>
      </c>
      <c r="J189" s="450">
        <v>13200</v>
      </c>
      <c r="K189" s="438"/>
      <c r="L189" s="447"/>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hidden="1" customHeight="1">
      <c r="A190" s="343" t="str">
        <f>IF(B190&lt;&gt;"",IF(AND(B190='IN-TC'!$S$4,OR(TH!N190="1111",TH!O190="1111")),TH!D190,""),"")</f>
        <v/>
      </c>
      <c r="B190" s="63">
        <f t="shared" si="27"/>
        <v>2</v>
      </c>
      <c r="C190" s="64">
        <f t="shared" si="28"/>
        <v>42417</v>
      </c>
      <c r="D190" s="64" t="s">
        <v>963</v>
      </c>
      <c r="E190" s="64">
        <v>42417</v>
      </c>
      <c r="F190" s="67" t="s">
        <v>687</v>
      </c>
      <c r="G190" s="67"/>
      <c r="H190" s="74" t="s">
        <v>445</v>
      </c>
      <c r="I190" s="447">
        <v>7450</v>
      </c>
      <c r="J190" s="450">
        <v>13200</v>
      </c>
      <c r="K190" s="438"/>
      <c r="L190" s="447"/>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hidden="1" customHeight="1">
      <c r="A191" s="343" t="str">
        <f>IF(B191&lt;&gt;"",IF(AND(B191='IN-TC'!$S$4,OR(TH!N191="1111",TH!O191="1111")),TH!D191,""),"")</f>
        <v/>
      </c>
      <c r="B191" s="63">
        <f t="shared" si="27"/>
        <v>2</v>
      </c>
      <c r="C191" s="64">
        <f t="shared" si="28"/>
        <v>42424</v>
      </c>
      <c r="D191" s="64" t="s">
        <v>964</v>
      </c>
      <c r="E191" s="64">
        <v>42424</v>
      </c>
      <c r="F191" s="67" t="s">
        <v>687</v>
      </c>
      <c r="G191" s="67"/>
      <c r="H191" s="74" t="s">
        <v>436</v>
      </c>
      <c r="I191" s="447">
        <v>7460</v>
      </c>
      <c r="J191" s="450">
        <v>13200</v>
      </c>
      <c r="K191" s="438"/>
      <c r="L191" s="447"/>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hidden="1" customHeight="1">
      <c r="A192" s="343" t="str">
        <f>IF(B192&lt;&gt;"",IF(AND(B192='IN-TC'!$S$4,OR(TH!N192="1111",TH!O192="1111")),TH!D192,""),"")</f>
        <v/>
      </c>
      <c r="B192" s="63">
        <f t="shared" si="27"/>
        <v>2</v>
      </c>
      <c r="C192" s="64">
        <f t="shared" si="28"/>
        <v>42424</v>
      </c>
      <c r="D192" s="64" t="s">
        <v>965</v>
      </c>
      <c r="E192" s="64">
        <v>42424</v>
      </c>
      <c r="F192" s="67" t="s">
        <v>687</v>
      </c>
      <c r="G192" s="67"/>
      <c r="H192" s="74" t="s">
        <v>438</v>
      </c>
      <c r="I192" s="447">
        <v>7328</v>
      </c>
      <c r="J192" s="450">
        <v>13200</v>
      </c>
      <c r="K192" s="438"/>
      <c r="L192" s="447"/>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hidden="1" customHeight="1">
      <c r="A193" s="343" t="str">
        <f>IF(B193&lt;&gt;"",IF(AND(B193='IN-TC'!$S$4,OR(TH!N193="1111",TH!O193="1111")),TH!D193,""),"")</f>
        <v/>
      </c>
      <c r="B193" s="63">
        <f t="shared" si="27"/>
        <v>2</v>
      </c>
      <c r="C193" s="64">
        <f t="shared" si="28"/>
        <v>42424</v>
      </c>
      <c r="D193" s="64" t="s">
        <v>966</v>
      </c>
      <c r="E193" s="64">
        <v>42424</v>
      </c>
      <c r="F193" s="67" t="s">
        <v>687</v>
      </c>
      <c r="G193" s="67"/>
      <c r="H193" s="74" t="s">
        <v>439</v>
      </c>
      <c r="I193" s="447">
        <f>7046-947</f>
        <v>6099</v>
      </c>
      <c r="J193" s="450">
        <v>13200</v>
      </c>
      <c r="K193" s="438"/>
      <c r="L193" s="447"/>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8" customFormat="1" ht="15.75" hidden="1" customHeight="1">
      <c r="A194" s="343" t="str">
        <f>IF(B194&lt;&gt;"",IF(AND(B194='IN-TC'!$S$4,OR(TH!N194="1111",TH!O194="1111")),TH!D194,""),"")</f>
        <v/>
      </c>
      <c r="B194" s="63">
        <f t="shared" ref="B194:B202" si="29">IF(C194&lt;&gt;"",MONTH(C194),"")</f>
        <v>3</v>
      </c>
      <c r="C194" s="64">
        <f t="shared" ref="C194:C202" si="30">E194</f>
        <v>42430</v>
      </c>
      <c r="D194" s="64" t="s">
        <v>688</v>
      </c>
      <c r="E194" s="64">
        <v>42430</v>
      </c>
      <c r="F194" s="67" t="s">
        <v>687</v>
      </c>
      <c r="G194" s="67"/>
      <c r="H194" s="74" t="s">
        <v>450</v>
      </c>
      <c r="I194" s="449">
        <v>28613</v>
      </c>
      <c r="J194" s="450">
        <v>13200</v>
      </c>
      <c r="K194" s="440"/>
      <c r="L194" s="449"/>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8" customFormat="1" ht="15.75" hidden="1" customHeight="1">
      <c r="A195" s="343" t="str">
        <f>IF(B195&lt;&gt;"",IF(AND(B195='IN-TC'!$S$4,OR(TH!N195="1111",TH!O195="1111")),TH!D195,""),"")</f>
        <v/>
      </c>
      <c r="B195" s="63">
        <f t="shared" si="29"/>
        <v>3</v>
      </c>
      <c r="C195" s="64">
        <f t="shared" si="30"/>
        <v>42436</v>
      </c>
      <c r="D195" s="64" t="s">
        <v>695</v>
      </c>
      <c r="E195" s="64">
        <v>42436</v>
      </c>
      <c r="F195" s="67" t="s">
        <v>687</v>
      </c>
      <c r="G195" s="996"/>
      <c r="H195" s="74" t="s">
        <v>450</v>
      </c>
      <c r="I195" s="449">
        <v>20887</v>
      </c>
      <c r="J195" s="450">
        <v>13200</v>
      </c>
      <c r="K195" s="440"/>
      <c r="L195" s="449"/>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8" customFormat="1" ht="15.75" hidden="1" customHeight="1">
      <c r="A196" s="343" t="str">
        <f>IF(B196&lt;&gt;"",IF(AND(B196='IN-TC'!$S$4,OR(TH!N196="1111",TH!O196="1111")),TH!D196,""),"")</f>
        <v/>
      </c>
      <c r="B196" s="63">
        <f t="shared" si="29"/>
        <v>3</v>
      </c>
      <c r="C196" s="64">
        <f t="shared" si="30"/>
        <v>42437</v>
      </c>
      <c r="D196" s="64" t="s">
        <v>944</v>
      </c>
      <c r="E196" s="64">
        <v>42437</v>
      </c>
      <c r="F196" s="67" t="s">
        <v>686</v>
      </c>
      <c r="G196" s="67"/>
      <c r="H196" s="74" t="s">
        <v>365</v>
      </c>
      <c r="I196" s="447">
        <v>4502</v>
      </c>
      <c r="J196" s="450">
        <v>18500</v>
      </c>
      <c r="K196" s="438"/>
      <c r="L196" s="447"/>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hidden="1" customHeight="1">
      <c r="A197" s="343" t="str">
        <f>IF(B197&lt;&gt;"",IF(AND(B197='IN-TC'!$S$4,OR(TH!N197="1111",TH!O197="1111")),TH!D197,""),"")</f>
        <v/>
      </c>
      <c r="B197" s="63">
        <f t="shared" si="29"/>
        <v>3</v>
      </c>
      <c r="C197" s="64">
        <f t="shared" si="30"/>
        <v>42437</v>
      </c>
      <c r="D197" s="64" t="s">
        <v>945</v>
      </c>
      <c r="E197" s="64">
        <v>42437</v>
      </c>
      <c r="F197" s="67" t="s">
        <v>686</v>
      </c>
      <c r="G197" s="67"/>
      <c r="H197" s="75" t="s">
        <v>347</v>
      </c>
      <c r="I197" s="450">
        <v>5630</v>
      </c>
      <c r="J197" s="450">
        <v>18500</v>
      </c>
      <c r="K197" s="441"/>
      <c r="L197" s="450"/>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hidden="1" customHeight="1">
      <c r="A198" s="343" t="str">
        <f>IF(B198&lt;&gt;"",IF(AND(B198='IN-TC'!$S$4,OR(TH!N198="1111",TH!O198="1111")),TH!D198,""),"")</f>
        <v/>
      </c>
      <c r="B198" s="63">
        <f t="shared" si="29"/>
        <v>3</v>
      </c>
      <c r="C198" s="64">
        <f t="shared" si="30"/>
        <v>42437</v>
      </c>
      <c r="D198" s="64" t="s">
        <v>946</v>
      </c>
      <c r="E198" s="64">
        <v>42437</v>
      </c>
      <c r="F198" s="67" t="s">
        <v>686</v>
      </c>
      <c r="G198" s="67"/>
      <c r="H198" s="74" t="s">
        <v>350</v>
      </c>
      <c r="I198" s="447">
        <v>5480</v>
      </c>
      <c r="J198" s="450">
        <v>18500</v>
      </c>
      <c r="K198" s="438"/>
      <c r="L198" s="447"/>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hidden="1" customHeight="1">
      <c r="A199" s="343" t="str">
        <f>IF(B199&lt;&gt;"",IF(AND(B199='IN-TC'!$S$4,OR(TH!N199="1111",TH!O199="1111")),TH!D199,""),"")</f>
        <v/>
      </c>
      <c r="B199" s="63">
        <f t="shared" si="29"/>
        <v>3</v>
      </c>
      <c r="C199" s="64">
        <f t="shared" si="30"/>
        <v>42437</v>
      </c>
      <c r="D199" s="64" t="s">
        <v>947</v>
      </c>
      <c r="E199" s="64">
        <v>42437</v>
      </c>
      <c r="F199" s="67" t="s">
        <v>686</v>
      </c>
      <c r="G199" s="67"/>
      <c r="H199" s="74" t="s">
        <v>362</v>
      </c>
      <c r="I199" s="447">
        <v>4460</v>
      </c>
      <c r="J199" s="450">
        <v>18500</v>
      </c>
      <c r="K199" s="438"/>
      <c r="L199" s="447"/>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hidden="1" customHeight="1">
      <c r="A200" s="343" t="str">
        <f>IF(B200&lt;&gt;"",IF(AND(B200='IN-TC'!$S$4,OR(TH!N200="1111",TH!O200="1111")),TH!D200,""),"")</f>
        <v/>
      </c>
      <c r="B200" s="63">
        <f t="shared" si="29"/>
        <v>3</v>
      </c>
      <c r="C200" s="64">
        <f t="shared" si="30"/>
        <v>42448</v>
      </c>
      <c r="D200" s="64" t="s">
        <v>948</v>
      </c>
      <c r="E200" s="64">
        <v>42448</v>
      </c>
      <c r="F200" s="67" t="s">
        <v>686</v>
      </c>
      <c r="G200" s="67"/>
      <c r="H200" s="74" t="s">
        <v>365</v>
      </c>
      <c r="I200" s="447">
        <v>4780</v>
      </c>
      <c r="J200" s="450">
        <v>18500</v>
      </c>
      <c r="K200" s="438"/>
      <c r="L200" s="447"/>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hidden="1" customHeight="1">
      <c r="A201" s="343" t="str">
        <f>IF(B201&lt;&gt;"",IF(AND(B201='IN-TC'!$S$4,OR(TH!N201="1111",TH!O201="1111")),TH!D201,""),"")</f>
        <v/>
      </c>
      <c r="B201" s="63">
        <f t="shared" si="29"/>
        <v>3</v>
      </c>
      <c r="C201" s="64">
        <f t="shared" si="30"/>
        <v>42448</v>
      </c>
      <c r="D201" s="64" t="s">
        <v>949</v>
      </c>
      <c r="E201" s="64">
        <v>42448</v>
      </c>
      <c r="F201" s="67" t="s">
        <v>686</v>
      </c>
      <c r="G201" s="67"/>
      <c r="H201" s="74" t="s">
        <v>368</v>
      </c>
      <c r="I201" s="447">
        <v>3940</v>
      </c>
      <c r="J201" s="450">
        <v>18500</v>
      </c>
      <c r="K201" s="438"/>
      <c r="L201" s="447"/>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hidden="1" customHeight="1">
      <c r="A202" s="343" t="str">
        <f>IF(B202&lt;&gt;"",IF(AND(B202='IN-TC'!$S$4,OR(TH!N202="1111",TH!O202="1111")),TH!D202,""),"")</f>
        <v/>
      </c>
      <c r="B202" s="63">
        <f t="shared" si="29"/>
        <v>3</v>
      </c>
      <c r="C202" s="64">
        <f t="shared" si="30"/>
        <v>42448</v>
      </c>
      <c r="D202" s="64" t="s">
        <v>950</v>
      </c>
      <c r="E202" s="64">
        <v>42448</v>
      </c>
      <c r="F202" s="67" t="s">
        <v>686</v>
      </c>
      <c r="G202" s="67"/>
      <c r="H202" s="74" t="s">
        <v>362</v>
      </c>
      <c r="I202" s="447">
        <v>3208</v>
      </c>
      <c r="J202" s="450">
        <v>18500</v>
      </c>
      <c r="K202" s="438"/>
      <c r="L202" s="447"/>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8" customFormat="1" ht="15.75" hidden="1" customHeight="1">
      <c r="A203" s="343" t="str">
        <f>IF(B203&lt;&gt;"",IF(AND(B203='IN-TC'!$S$4,OR(TH!N203="1111",TH!O203="1111")),TH!D203,""),"")</f>
        <v/>
      </c>
      <c r="B203" s="63">
        <f t="shared" ref="B203:B266" si="32">IF(C203&lt;&gt;"",MONTH(C203),"")</f>
        <v>3</v>
      </c>
      <c r="C203" s="64">
        <f>E203</f>
        <v>42446</v>
      </c>
      <c r="D203" s="64" t="s">
        <v>696</v>
      </c>
      <c r="E203" s="64">
        <v>42446</v>
      </c>
      <c r="F203" s="67" t="s">
        <v>686</v>
      </c>
      <c r="G203" s="67"/>
      <c r="H203" s="74" t="s">
        <v>450</v>
      </c>
      <c r="I203" s="449">
        <v>18132</v>
      </c>
      <c r="J203" s="450">
        <v>18500</v>
      </c>
      <c r="K203" s="440"/>
      <c r="L203" s="449"/>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8" customFormat="1" ht="15.75" hidden="1" customHeight="1">
      <c r="A204" s="343" t="str">
        <f>IF(B204&lt;&gt;"",IF(AND(B204='IN-TC'!$S$4,OR(TH!N204="1111",TH!O204="1111")),TH!D204,""),"")</f>
        <v/>
      </c>
      <c r="B204" s="63">
        <f t="shared" si="32"/>
        <v>3</v>
      </c>
      <c r="C204" s="64">
        <f>E204</f>
        <v>42454</v>
      </c>
      <c r="D204" s="64" t="s">
        <v>697</v>
      </c>
      <c r="E204" s="64">
        <v>42454</v>
      </c>
      <c r="F204" s="67" t="s">
        <v>686</v>
      </c>
      <c r="G204" s="67"/>
      <c r="H204" s="74" t="s">
        <v>450</v>
      </c>
      <c r="I204" s="447">
        <v>21868</v>
      </c>
      <c r="J204" s="450">
        <v>18500</v>
      </c>
      <c r="K204" s="438"/>
      <c r="L204" s="447"/>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1" customFormat="1" ht="15.75" hidden="1" customHeight="1">
      <c r="A205" s="343" t="str">
        <f>IF(B205&lt;&gt;"",IF(AND(B205='IN-TC'!$S$4,OR(TH!N205="1111",TH!O205="1111")),TH!D205,""),"")</f>
        <v/>
      </c>
      <c r="B205" s="63">
        <f t="shared" si="32"/>
        <v>1</v>
      </c>
      <c r="C205" s="64">
        <v>42371</v>
      </c>
      <c r="D205" s="64" t="s">
        <v>878</v>
      </c>
      <c r="E205" s="64">
        <v>42368</v>
      </c>
      <c r="F205" s="67" t="s">
        <v>774</v>
      </c>
      <c r="G205" s="996" t="s">
        <v>809</v>
      </c>
      <c r="H205" s="74" t="s">
        <v>810</v>
      </c>
      <c r="I205" s="447"/>
      <c r="J205" s="447"/>
      <c r="K205" s="438"/>
      <c r="L205" s="447"/>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1" customFormat="1" ht="15.75" hidden="1" customHeight="1">
      <c r="A206" s="343" t="str">
        <f>IF(B206&lt;&gt;"",IF(AND(B206='IN-TC'!$S$4,OR(TH!N206="1111",TH!O206="1111")),TH!D206,""),"")</f>
        <v/>
      </c>
      <c r="B206" s="63">
        <f t="shared" si="32"/>
        <v>1</v>
      </c>
      <c r="C206" s="64">
        <v>42371</v>
      </c>
      <c r="D206" s="64" t="s">
        <v>878</v>
      </c>
      <c r="E206" s="64">
        <v>42368</v>
      </c>
      <c r="F206" s="67" t="s">
        <v>775</v>
      </c>
      <c r="G206" s="996" t="s">
        <v>809</v>
      </c>
      <c r="H206" s="74" t="s">
        <v>810</v>
      </c>
      <c r="I206" s="447"/>
      <c r="J206" s="447"/>
      <c r="K206" s="438"/>
      <c r="L206" s="447"/>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1" customFormat="1" ht="15.75" hidden="1" customHeight="1">
      <c r="A207" s="343" t="str">
        <f>IF(B207&lt;&gt;"",IF(AND(B207='IN-TC'!$S$4,OR(TH!N207="1111",TH!O207="1111")),TH!D207,""),"")</f>
        <v/>
      </c>
      <c r="B207" s="63">
        <f t="shared" si="32"/>
        <v>1</v>
      </c>
      <c r="C207" s="64">
        <v>42371</v>
      </c>
      <c r="D207" s="64" t="s">
        <v>879</v>
      </c>
      <c r="E207" s="64">
        <v>42369</v>
      </c>
      <c r="F207" s="67" t="s">
        <v>776</v>
      </c>
      <c r="G207" s="67" t="s">
        <v>811</v>
      </c>
      <c r="H207" s="351" t="s">
        <v>812</v>
      </c>
      <c r="I207" s="449"/>
      <c r="J207" s="449"/>
      <c r="K207" s="440"/>
      <c r="L207" s="449"/>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1" customFormat="1" ht="15.75" hidden="1" customHeight="1">
      <c r="A208" s="343" t="str">
        <f>IF(B208&lt;&gt;"",IF(AND(B208='IN-TC'!$S$4,OR(TH!N208="1111",TH!O208="1111")),TH!D208,""),"")</f>
        <v/>
      </c>
      <c r="B208" s="63">
        <f t="shared" si="32"/>
        <v>1</v>
      </c>
      <c r="C208" s="64">
        <v>42371</v>
      </c>
      <c r="D208" s="64" t="s">
        <v>879</v>
      </c>
      <c r="E208" s="64">
        <v>42369</v>
      </c>
      <c r="F208" s="67" t="s">
        <v>777</v>
      </c>
      <c r="G208" s="67" t="s">
        <v>811</v>
      </c>
      <c r="H208" s="74" t="s">
        <v>812</v>
      </c>
      <c r="I208" s="447"/>
      <c r="J208" s="447"/>
      <c r="K208" s="438"/>
      <c r="L208" s="447"/>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1" customFormat="1" ht="15.75" hidden="1" customHeight="1">
      <c r="A209" s="343" t="str">
        <f>IF(B209&lt;&gt;"",IF(AND(B209='IN-TC'!$S$4,OR(TH!N209="1111",TH!O209="1111")),TH!D209,""),"")</f>
        <v/>
      </c>
      <c r="B209" s="63">
        <f t="shared" si="32"/>
        <v>1</v>
      </c>
      <c r="C209" s="64">
        <v>42371</v>
      </c>
      <c r="D209" s="64" t="s">
        <v>880</v>
      </c>
      <c r="E209" s="64">
        <v>42367</v>
      </c>
      <c r="F209" s="67" t="s">
        <v>774</v>
      </c>
      <c r="G209" s="67" t="s">
        <v>813</v>
      </c>
      <c r="H209" s="74" t="s">
        <v>814</v>
      </c>
      <c r="I209" s="447"/>
      <c r="J209" s="447"/>
      <c r="K209" s="438"/>
      <c r="L209" s="447"/>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1" customFormat="1" ht="15.75" hidden="1" customHeight="1">
      <c r="A210" s="343" t="str">
        <f>IF(B210&lt;&gt;"",IF(AND(B210='IN-TC'!$S$4,OR(TH!N210="1111",TH!O210="1111")),TH!D210,""),"")</f>
        <v/>
      </c>
      <c r="B210" s="63">
        <f t="shared" si="32"/>
        <v>1</v>
      </c>
      <c r="C210" s="64">
        <v>42371</v>
      </c>
      <c r="D210" s="64" t="s">
        <v>880</v>
      </c>
      <c r="E210" s="64">
        <v>42367</v>
      </c>
      <c r="F210" s="67" t="s">
        <v>775</v>
      </c>
      <c r="G210" s="67" t="s">
        <v>813</v>
      </c>
      <c r="H210" s="351" t="s">
        <v>814</v>
      </c>
      <c r="I210" s="449"/>
      <c r="J210" s="449"/>
      <c r="K210" s="440"/>
      <c r="L210" s="449"/>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8" customFormat="1" ht="15.75" hidden="1" customHeight="1">
      <c r="A211" s="343" t="str">
        <f>IF(B211&lt;&gt;"",IF(AND(B211='IN-TC'!$S$4,OR(TH!N211="1111",TH!O211="1111")),TH!D211,""),"")</f>
        <v/>
      </c>
      <c r="B211" s="63">
        <f t="shared" si="32"/>
        <v>1</v>
      </c>
      <c r="C211" s="64">
        <v>42371</v>
      </c>
      <c r="D211" s="64" t="s">
        <v>881</v>
      </c>
      <c r="E211" s="64">
        <v>42367</v>
      </c>
      <c r="F211" s="67" t="s">
        <v>778</v>
      </c>
      <c r="G211" s="67" t="s">
        <v>815</v>
      </c>
      <c r="H211" s="74" t="s">
        <v>816</v>
      </c>
      <c r="I211" s="447"/>
      <c r="J211" s="447"/>
      <c r="K211" s="438"/>
      <c r="L211" s="447"/>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8" customFormat="1" ht="15.75" hidden="1" customHeight="1">
      <c r="A212" s="343" t="str">
        <f>IF(B212&lt;&gt;"",IF(AND(B212='IN-TC'!$S$4,OR(TH!N212="1111",TH!O212="1111")),TH!D212,""),"")</f>
        <v/>
      </c>
      <c r="B212" s="63">
        <f t="shared" si="32"/>
        <v>1</v>
      </c>
      <c r="C212" s="64">
        <v>42371</v>
      </c>
      <c r="D212" s="64" t="s">
        <v>881</v>
      </c>
      <c r="E212" s="64">
        <v>42367</v>
      </c>
      <c r="F212" s="67" t="s">
        <v>779</v>
      </c>
      <c r="G212" s="67" t="s">
        <v>815</v>
      </c>
      <c r="H212" s="74" t="s">
        <v>816</v>
      </c>
      <c r="I212" s="447"/>
      <c r="J212" s="447"/>
      <c r="K212" s="438"/>
      <c r="L212" s="447"/>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1" customFormat="1" ht="15.75" hidden="1" customHeight="1">
      <c r="A213" s="343" t="str">
        <f>IF(B213&lt;&gt;"",IF(AND(B213='IN-TC'!$S$4,OR(TH!N213="1111",TH!O213="1111")),TH!D213,""),"")</f>
        <v/>
      </c>
      <c r="B213" s="63">
        <f t="shared" si="32"/>
        <v>1</v>
      </c>
      <c r="C213" s="64">
        <v>42371</v>
      </c>
      <c r="D213" s="64" t="s">
        <v>882</v>
      </c>
      <c r="E213" s="64">
        <v>42370</v>
      </c>
      <c r="F213" s="149" t="s">
        <v>780</v>
      </c>
      <c r="G213" s="997" t="s">
        <v>817</v>
      </c>
      <c r="H213" s="74" t="s">
        <v>818</v>
      </c>
      <c r="I213" s="447"/>
      <c r="J213" s="447"/>
      <c r="K213" s="438"/>
      <c r="L213" s="447"/>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1" customFormat="1" ht="15.75" hidden="1" customHeight="1">
      <c r="A214" s="343" t="str">
        <f>IF(B214&lt;&gt;"",IF(AND(B214='IN-TC'!$S$4,OR(TH!N214="1111",TH!O214="1111")),TH!D214,""),"")</f>
        <v/>
      </c>
      <c r="B214" s="63">
        <f t="shared" si="32"/>
        <v>1</v>
      </c>
      <c r="C214" s="64">
        <v>42371</v>
      </c>
      <c r="D214" s="64" t="s">
        <v>882</v>
      </c>
      <c r="E214" s="64">
        <v>42370</v>
      </c>
      <c r="F214" s="67" t="s">
        <v>781</v>
      </c>
      <c r="G214" s="996" t="s">
        <v>817</v>
      </c>
      <c r="H214" s="74" t="s">
        <v>818</v>
      </c>
      <c r="I214" s="447"/>
      <c r="J214" s="447"/>
      <c r="K214" s="438"/>
      <c r="L214" s="447"/>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1" customFormat="1" ht="15.75" hidden="1" customHeight="1">
      <c r="A215" s="343" t="str">
        <f>IF(B215&lt;&gt;"",IF(AND(B215='IN-TC'!$S$4,OR(TH!N215="1111",TH!O215="1111")),TH!D215,""),"")</f>
        <v/>
      </c>
      <c r="B215" s="63">
        <f t="shared" si="32"/>
        <v>1</v>
      </c>
      <c r="C215" s="64">
        <v>42371</v>
      </c>
      <c r="D215" s="64" t="s">
        <v>883</v>
      </c>
      <c r="E215" s="64">
        <v>42370</v>
      </c>
      <c r="F215" s="67" t="s">
        <v>782</v>
      </c>
      <c r="G215" s="996"/>
      <c r="H215" s="74" t="s">
        <v>630</v>
      </c>
      <c r="I215" s="447"/>
      <c r="J215" s="447"/>
      <c r="K215" s="438"/>
      <c r="L215" s="447"/>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1" customFormat="1" ht="15.75" hidden="1" customHeight="1">
      <c r="A216" s="343" t="str">
        <f>IF(B216&lt;&gt;"",IF(AND(B216='IN-TC'!$S$4,OR(TH!N216="1111",TH!O216="1111")),TH!D216,""),"")</f>
        <v/>
      </c>
      <c r="B216" s="63">
        <f t="shared" si="32"/>
        <v>1</v>
      </c>
      <c r="C216" s="64">
        <v>42373</v>
      </c>
      <c r="D216" s="64" t="s">
        <v>708</v>
      </c>
      <c r="E216" s="64">
        <v>42373</v>
      </c>
      <c r="F216" s="67" t="s">
        <v>716</v>
      </c>
      <c r="G216" s="67" t="s">
        <v>928</v>
      </c>
      <c r="H216" s="74"/>
      <c r="I216" s="447"/>
      <c r="J216" s="447"/>
      <c r="K216" s="438">
        <v>97800</v>
      </c>
      <c r="L216" s="447">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1" customFormat="1" ht="15.75" hidden="1" customHeight="1">
      <c r="A217" s="343" t="str">
        <f>IF(B217&lt;&gt;"",IF(AND(B217='IN-TC'!$S$4,OR(TH!N217="1111",TH!O217="1111")),TH!D217,""),"")</f>
        <v/>
      </c>
      <c r="B217" s="63">
        <f t="shared" si="32"/>
        <v>1</v>
      </c>
      <c r="C217" s="64">
        <v>42373</v>
      </c>
      <c r="D217" s="64" t="s">
        <v>884</v>
      </c>
      <c r="E217" s="64">
        <v>42373</v>
      </c>
      <c r="F217" s="67" t="s">
        <v>764</v>
      </c>
      <c r="G217" s="67" t="s">
        <v>928</v>
      </c>
      <c r="H217" s="75" t="s">
        <v>772</v>
      </c>
      <c r="I217" s="447"/>
      <c r="J217" s="447"/>
      <c r="K217" s="438"/>
      <c r="L217" s="447"/>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1" customFormat="1" ht="15.75" hidden="1" customHeight="1">
      <c r="A218" s="343" t="str">
        <f>IF(B218&lt;&gt;"",IF(AND(B218='IN-TC'!$S$4,OR(TH!N218="1111",TH!O218="1111")),TH!D218,""),"")</f>
        <v/>
      </c>
      <c r="B218" s="63">
        <f t="shared" si="32"/>
        <v>1</v>
      </c>
      <c r="C218" s="64">
        <v>42373</v>
      </c>
      <c r="D218" s="64" t="s">
        <v>885</v>
      </c>
      <c r="E218" s="64">
        <v>42373</v>
      </c>
      <c r="F218" s="67" t="s">
        <v>783</v>
      </c>
      <c r="G218" s="996" t="s">
        <v>819</v>
      </c>
      <c r="H218" s="74" t="s">
        <v>820</v>
      </c>
      <c r="I218" s="447"/>
      <c r="J218" s="447"/>
      <c r="K218" s="438"/>
      <c r="L218" s="447"/>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1" customFormat="1" ht="15.75" hidden="1" customHeight="1">
      <c r="A219" s="343" t="str">
        <f>IF(B219&lt;&gt;"",IF(AND(B219='IN-TC'!$S$4,OR(TH!N219="1111",TH!O219="1111")),TH!D219,""),"")</f>
        <v/>
      </c>
      <c r="B219" s="63">
        <f t="shared" si="32"/>
        <v>1</v>
      </c>
      <c r="C219" s="64">
        <v>42373</v>
      </c>
      <c r="D219" s="64" t="s">
        <v>885</v>
      </c>
      <c r="E219" s="64">
        <v>42373</v>
      </c>
      <c r="F219" s="67" t="s">
        <v>784</v>
      </c>
      <c r="G219" s="998" t="s">
        <v>819</v>
      </c>
      <c r="H219" s="351" t="s">
        <v>820</v>
      </c>
      <c r="I219" s="449"/>
      <c r="J219" s="449"/>
      <c r="K219" s="440"/>
      <c r="L219" s="449"/>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1" customFormat="1" ht="15.75" hidden="1" customHeight="1">
      <c r="A220" s="343" t="str">
        <f>IF(B220&lt;&gt;"",IF(AND(B220='IN-TC'!$S$4,OR(TH!N220="1111",TH!O220="1111")),TH!D220,""),"")</f>
        <v/>
      </c>
      <c r="B220" s="63">
        <f t="shared" si="32"/>
        <v>1</v>
      </c>
      <c r="C220" s="64">
        <v>42373</v>
      </c>
      <c r="D220" s="64" t="s">
        <v>886</v>
      </c>
      <c r="E220" s="64">
        <v>42336</v>
      </c>
      <c r="F220" s="67" t="s">
        <v>778</v>
      </c>
      <c r="G220" s="998" t="s">
        <v>821</v>
      </c>
      <c r="H220" s="351" t="s">
        <v>816</v>
      </c>
      <c r="I220" s="449"/>
      <c r="J220" s="449"/>
      <c r="K220" s="440"/>
      <c r="L220" s="449"/>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1" customFormat="1" ht="15.75" hidden="1" customHeight="1">
      <c r="A221" s="343" t="str">
        <f>IF(B221&lt;&gt;"",IF(AND(B221='IN-TC'!$S$4,OR(TH!N221="1111",TH!O221="1111")),TH!D221,""),"")</f>
        <v/>
      </c>
      <c r="B221" s="63">
        <f t="shared" si="32"/>
        <v>1</v>
      </c>
      <c r="C221" s="64">
        <v>42373</v>
      </c>
      <c r="D221" s="64" t="s">
        <v>886</v>
      </c>
      <c r="E221" s="64">
        <v>42336</v>
      </c>
      <c r="F221" s="67" t="s">
        <v>779</v>
      </c>
      <c r="G221" s="67" t="s">
        <v>821</v>
      </c>
      <c r="H221" s="74" t="s">
        <v>816</v>
      </c>
      <c r="I221" s="447"/>
      <c r="J221" s="447"/>
      <c r="K221" s="438"/>
      <c r="L221" s="447"/>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1" customFormat="1" ht="15.75" hidden="1" customHeight="1">
      <c r="A222" s="343" t="str">
        <f>IF(B222&lt;&gt;"",IF(AND(B222='IN-TC'!$S$4,OR(TH!N222="1111",TH!O222="1111")),TH!D222,""),"")</f>
        <v/>
      </c>
      <c r="B222" s="63">
        <f t="shared" si="32"/>
        <v>1</v>
      </c>
      <c r="C222" s="64">
        <v>42373</v>
      </c>
      <c r="D222" s="64" t="s">
        <v>887</v>
      </c>
      <c r="E222" s="64">
        <v>42373</v>
      </c>
      <c r="F222" s="67" t="s">
        <v>785</v>
      </c>
      <c r="G222" s="996" t="s">
        <v>822</v>
      </c>
      <c r="H222" s="74" t="s">
        <v>818</v>
      </c>
      <c r="I222" s="447"/>
      <c r="J222" s="447"/>
      <c r="K222" s="438"/>
      <c r="L222" s="447"/>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1" customFormat="1" ht="15.75" hidden="1" customHeight="1">
      <c r="A223" s="343" t="str">
        <f>IF(B223&lt;&gt;"",IF(AND(B223='IN-TC'!$S$4,OR(TH!N223="1111",TH!O223="1111")),TH!D223,""),"")</f>
        <v/>
      </c>
      <c r="B223" s="63">
        <f t="shared" si="32"/>
        <v>1</v>
      </c>
      <c r="C223" s="64">
        <v>42373</v>
      </c>
      <c r="D223" s="64" t="s">
        <v>887</v>
      </c>
      <c r="E223" s="64">
        <v>42373</v>
      </c>
      <c r="F223" s="67" t="s">
        <v>786</v>
      </c>
      <c r="G223" s="996" t="s">
        <v>822</v>
      </c>
      <c r="H223" s="74" t="s">
        <v>818</v>
      </c>
      <c r="I223" s="447"/>
      <c r="J223" s="447"/>
      <c r="K223" s="438"/>
      <c r="L223" s="447"/>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1" customFormat="1" ht="15.75" hidden="1" customHeight="1">
      <c r="A224" s="343" t="str">
        <f>IF(B224&lt;&gt;"",IF(AND(B224='IN-TC'!$S$4,OR(TH!N224="1111",TH!O224="1111")),TH!D224,""),"")</f>
        <v/>
      </c>
      <c r="B224" s="63">
        <f t="shared" si="32"/>
        <v>1</v>
      </c>
      <c r="C224" s="64">
        <v>42373</v>
      </c>
      <c r="D224" s="64" t="s">
        <v>888</v>
      </c>
      <c r="E224" s="64">
        <v>42373</v>
      </c>
      <c r="F224" s="67" t="s">
        <v>785</v>
      </c>
      <c r="G224" s="996" t="s">
        <v>823</v>
      </c>
      <c r="H224" s="74" t="s">
        <v>824</v>
      </c>
      <c r="I224" s="447"/>
      <c r="J224" s="447"/>
      <c r="K224" s="438"/>
      <c r="L224" s="447"/>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1" customFormat="1" ht="15.75" hidden="1" customHeight="1">
      <c r="A225" s="343" t="str">
        <f>IF(B225&lt;&gt;"",IF(AND(B225='IN-TC'!$S$4,OR(TH!N225="1111",TH!O225="1111")),TH!D225,""),"")</f>
        <v/>
      </c>
      <c r="B225" s="63">
        <f t="shared" si="32"/>
        <v>1</v>
      </c>
      <c r="C225" s="64">
        <v>42373</v>
      </c>
      <c r="D225" s="64" t="s">
        <v>888</v>
      </c>
      <c r="E225" s="64">
        <v>42373</v>
      </c>
      <c r="F225" s="67" t="s">
        <v>786</v>
      </c>
      <c r="G225" s="996" t="s">
        <v>823</v>
      </c>
      <c r="H225" s="74" t="s">
        <v>824</v>
      </c>
      <c r="I225" s="447"/>
      <c r="J225" s="447"/>
      <c r="K225" s="438"/>
      <c r="L225" s="447"/>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8" customFormat="1" ht="15.75" hidden="1" customHeight="1">
      <c r="A226" s="343" t="str">
        <f>IF(B226&lt;&gt;"",IF(AND(B226='IN-TC'!$S$4,OR(TH!N226="1111",TH!O226="1111")),TH!D226,""),"")</f>
        <v/>
      </c>
      <c r="B226" s="63">
        <f t="shared" si="32"/>
        <v>1</v>
      </c>
      <c r="C226" s="64">
        <v>42374</v>
      </c>
      <c r="D226" s="64" t="s">
        <v>889</v>
      </c>
      <c r="E226" s="64">
        <v>42374</v>
      </c>
      <c r="F226" s="67" t="s">
        <v>787</v>
      </c>
      <c r="G226" s="67" t="s">
        <v>825</v>
      </c>
      <c r="H226" s="74" t="s">
        <v>820</v>
      </c>
      <c r="I226" s="447"/>
      <c r="J226" s="447"/>
      <c r="K226" s="438"/>
      <c r="L226" s="447"/>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8" customFormat="1" ht="15.75" hidden="1" customHeight="1">
      <c r="A227" s="343" t="str">
        <f>IF(B227&lt;&gt;"",IF(AND(B227='IN-TC'!$S$4,OR(TH!N227="1111",TH!O227="1111")),TH!D227,""),"")</f>
        <v/>
      </c>
      <c r="B227" s="63">
        <f t="shared" si="32"/>
        <v>1</v>
      </c>
      <c r="C227" s="64">
        <v>42374</v>
      </c>
      <c r="D227" s="64" t="s">
        <v>889</v>
      </c>
      <c r="E227" s="64">
        <v>42374</v>
      </c>
      <c r="F227" s="67" t="s">
        <v>788</v>
      </c>
      <c r="G227" s="67" t="s">
        <v>825</v>
      </c>
      <c r="H227" s="353" t="s">
        <v>820</v>
      </c>
      <c r="I227" s="451"/>
      <c r="J227" s="451"/>
      <c r="K227" s="442"/>
      <c r="L227" s="451"/>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8" customFormat="1" ht="15.75" hidden="1" customHeight="1">
      <c r="A228" s="343" t="str">
        <f>IF(B228&lt;&gt;"",IF(AND(B228='IN-TC'!$S$4,OR(TH!N228="1111",TH!O228="1111")),TH!D228,""),"")</f>
        <v/>
      </c>
      <c r="B228" s="63">
        <f t="shared" si="32"/>
        <v>1</v>
      </c>
      <c r="C228" s="64">
        <v>42374</v>
      </c>
      <c r="D228" s="64" t="s">
        <v>890</v>
      </c>
      <c r="E228" s="64">
        <v>42350</v>
      </c>
      <c r="F228" s="67" t="s">
        <v>778</v>
      </c>
      <c r="G228" s="67" t="s">
        <v>826</v>
      </c>
      <c r="H228" s="74" t="s">
        <v>816</v>
      </c>
      <c r="I228" s="447"/>
      <c r="J228" s="447"/>
      <c r="K228" s="438"/>
      <c r="L228" s="447"/>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hidden="1" customHeight="1">
      <c r="A229" s="343" t="str">
        <f>IF(B229&lt;&gt;"",IF(AND(B229='IN-TC'!$S$4,OR(TH!N229="1111",TH!O229="1111")),TH!D229,""),"")</f>
        <v/>
      </c>
      <c r="B229" s="63">
        <f t="shared" si="32"/>
        <v>1</v>
      </c>
      <c r="C229" s="64">
        <v>42374</v>
      </c>
      <c r="D229" s="64" t="s">
        <v>890</v>
      </c>
      <c r="E229" s="64">
        <v>42350</v>
      </c>
      <c r="F229" s="67" t="s">
        <v>779</v>
      </c>
      <c r="G229" s="67" t="s">
        <v>826</v>
      </c>
      <c r="H229" s="74" t="s">
        <v>816</v>
      </c>
      <c r="I229" s="447"/>
      <c r="J229" s="447"/>
      <c r="K229" s="438"/>
      <c r="L229" s="447"/>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8" customFormat="1" ht="15.75" hidden="1" customHeight="1">
      <c r="A230" s="343" t="str">
        <f>IF(B230&lt;&gt;"",IF(AND(B230='IN-TC'!$S$4,OR(TH!N230="1111",TH!O230="1111")),TH!D230,""),"")</f>
        <v/>
      </c>
      <c r="B230" s="63">
        <f t="shared" si="32"/>
        <v>1</v>
      </c>
      <c r="C230" s="64">
        <v>42374</v>
      </c>
      <c r="D230" s="64" t="s">
        <v>891</v>
      </c>
      <c r="E230" s="64">
        <v>42374</v>
      </c>
      <c r="F230" s="67" t="s">
        <v>785</v>
      </c>
      <c r="G230" s="67" t="s">
        <v>827</v>
      </c>
      <c r="H230" s="74" t="s">
        <v>818</v>
      </c>
      <c r="I230" s="447"/>
      <c r="J230" s="447"/>
      <c r="K230" s="438"/>
      <c r="L230" s="447"/>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8" customFormat="1" ht="15.75" hidden="1" customHeight="1">
      <c r="A231" s="343" t="str">
        <f>IF(B231&lt;&gt;"",IF(AND(B231='IN-TC'!$S$4,OR(TH!N231="1111",TH!O231="1111")),TH!D231,""),"")</f>
        <v/>
      </c>
      <c r="B231" s="63">
        <f t="shared" si="32"/>
        <v>1</v>
      </c>
      <c r="C231" s="64">
        <v>42374</v>
      </c>
      <c r="D231" s="64" t="s">
        <v>891</v>
      </c>
      <c r="E231" s="64">
        <v>42374</v>
      </c>
      <c r="F231" s="67" t="s">
        <v>786</v>
      </c>
      <c r="G231" s="67" t="s">
        <v>827</v>
      </c>
      <c r="H231" s="74" t="s">
        <v>818</v>
      </c>
      <c r="I231" s="447"/>
      <c r="J231" s="447"/>
      <c r="K231" s="438"/>
      <c r="L231" s="447"/>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8" customFormat="1" ht="15.75" hidden="1" customHeight="1">
      <c r="A232" s="343" t="str">
        <f>IF(B232&lt;&gt;"",IF(AND(B232='IN-TC'!$S$4,OR(TH!N232="1111",TH!O232="1111")),TH!D232,""),"")</f>
        <v/>
      </c>
      <c r="B232" s="63">
        <f t="shared" si="32"/>
        <v>1</v>
      </c>
      <c r="C232" s="64">
        <v>42374</v>
      </c>
      <c r="D232" s="64" t="s">
        <v>892</v>
      </c>
      <c r="E232" s="64">
        <v>42374</v>
      </c>
      <c r="F232" s="67" t="s">
        <v>789</v>
      </c>
      <c r="G232" s="67" t="s">
        <v>673</v>
      </c>
      <c r="H232" s="74" t="s">
        <v>678</v>
      </c>
      <c r="I232" s="447"/>
      <c r="J232" s="447"/>
      <c r="K232" s="438"/>
      <c r="L232" s="447"/>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50" customFormat="1" ht="15.75" hidden="1" customHeight="1">
      <c r="A233" s="343" t="str">
        <f>IF(B233&lt;&gt;"",IF(AND(B233='IN-TC'!$S$4,OR(TH!N233="1111",TH!O233="1111")),TH!D233,""),"")</f>
        <v/>
      </c>
      <c r="B233" s="63">
        <f t="shared" si="32"/>
        <v>1</v>
      </c>
      <c r="C233" s="64">
        <v>42375</v>
      </c>
      <c r="D233" s="64" t="s">
        <v>708</v>
      </c>
      <c r="E233" s="64">
        <v>42375</v>
      </c>
      <c r="F233" s="67" t="s">
        <v>718</v>
      </c>
      <c r="G233" s="67" t="s">
        <v>929</v>
      </c>
      <c r="H233" s="74" t="s">
        <v>719</v>
      </c>
      <c r="I233" s="447"/>
      <c r="J233" s="447"/>
      <c r="K233" s="438">
        <v>53.92</v>
      </c>
      <c r="L233" s="447">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8" customFormat="1" ht="15.75" hidden="1" customHeight="1">
      <c r="A234" s="343" t="str">
        <f>IF(B234&lt;&gt;"",IF(AND(B234='IN-TC'!$S$4,OR(TH!N234="1111",TH!O234="1111")),TH!D234,""),"")</f>
        <v/>
      </c>
      <c r="B234" s="63">
        <f t="shared" si="32"/>
        <v>1</v>
      </c>
      <c r="C234" s="64">
        <v>42375</v>
      </c>
      <c r="D234" s="64" t="s">
        <v>708</v>
      </c>
      <c r="E234" s="64">
        <v>42375</v>
      </c>
      <c r="F234" s="67" t="s">
        <v>718</v>
      </c>
      <c r="G234" s="67" t="s">
        <v>929</v>
      </c>
      <c r="H234" s="74" t="s">
        <v>720</v>
      </c>
      <c r="I234" s="447"/>
      <c r="J234" s="447"/>
      <c r="K234" s="438">
        <v>129.11000000000001</v>
      </c>
      <c r="L234" s="447">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8" customFormat="1" ht="15.75" hidden="1" customHeight="1">
      <c r="A235" s="343" t="str">
        <f>IF(B235&lt;&gt;"",IF(AND(B235='IN-TC'!$S$4,OR(TH!N235="1111",TH!O235="1111")),TH!D235,""),"")</f>
        <v/>
      </c>
      <c r="B235" s="63">
        <f t="shared" si="32"/>
        <v>1</v>
      </c>
      <c r="C235" s="64">
        <v>42375</v>
      </c>
      <c r="D235" s="64" t="s">
        <v>708</v>
      </c>
      <c r="E235" s="64">
        <v>42375</v>
      </c>
      <c r="F235" s="67" t="s">
        <v>718</v>
      </c>
      <c r="G235" s="67" t="s">
        <v>929</v>
      </c>
      <c r="H235" s="75" t="s">
        <v>721</v>
      </c>
      <c r="I235" s="450"/>
      <c r="J235" s="450"/>
      <c r="K235" s="441">
        <v>79.5</v>
      </c>
      <c r="L235" s="450">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8" customFormat="1" ht="15.75" hidden="1" customHeight="1">
      <c r="A236" s="343" t="str">
        <f>IF(B236&lt;&gt;"",IF(AND(B236='IN-TC'!$S$4,OR(TH!N236="1111",TH!O236="1111")),TH!D236,""),"")</f>
        <v/>
      </c>
      <c r="B236" s="63">
        <f t="shared" si="32"/>
        <v>1</v>
      </c>
      <c r="C236" s="64">
        <v>42375</v>
      </c>
      <c r="D236" s="64" t="s">
        <v>708</v>
      </c>
      <c r="E236" s="64">
        <v>42375</v>
      </c>
      <c r="F236" s="67" t="s">
        <v>718</v>
      </c>
      <c r="G236" s="67" t="s">
        <v>929</v>
      </c>
      <c r="H236" s="74" t="s">
        <v>722</v>
      </c>
      <c r="I236" s="447"/>
      <c r="J236" s="447"/>
      <c r="K236" s="438">
        <v>111.29</v>
      </c>
      <c r="L236" s="447">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8" customFormat="1" ht="15.75" hidden="1" customHeight="1">
      <c r="A237" s="343" t="str">
        <f>IF(B237&lt;&gt;"",IF(AND(B237='IN-TC'!$S$4,OR(TH!N237="1111",TH!O237="1111")),TH!D237,""),"")</f>
        <v/>
      </c>
      <c r="B237" s="63">
        <f t="shared" si="32"/>
        <v>1</v>
      </c>
      <c r="C237" s="64">
        <v>42376</v>
      </c>
      <c r="D237" s="64" t="s">
        <v>893</v>
      </c>
      <c r="E237" s="64">
        <v>42376</v>
      </c>
      <c r="F237" s="67" t="s">
        <v>745</v>
      </c>
      <c r="G237" s="67" t="s">
        <v>929</v>
      </c>
      <c r="H237" s="74" t="s">
        <v>773</v>
      </c>
      <c r="I237" s="447"/>
      <c r="J237" s="447"/>
      <c r="K237" s="438"/>
      <c r="L237" s="447"/>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x</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8" customFormat="1" ht="15.75" hidden="1" customHeight="1">
      <c r="A238" s="343" t="str">
        <f>IF(B238&lt;&gt;"",IF(AND(B238='IN-TC'!$S$4,OR(TH!N238="1111",TH!O238="1111")),TH!D238,""),"")</f>
        <v/>
      </c>
      <c r="B238" s="63">
        <f t="shared" si="32"/>
        <v>1</v>
      </c>
      <c r="C238" s="64">
        <v>42376</v>
      </c>
      <c r="D238" s="64" t="s">
        <v>708</v>
      </c>
      <c r="E238" s="64">
        <v>42376</v>
      </c>
      <c r="F238" s="67" t="s">
        <v>1105</v>
      </c>
      <c r="G238" s="67" t="s">
        <v>929</v>
      </c>
      <c r="H238" s="67" t="s">
        <v>629</v>
      </c>
      <c r="I238" s="447"/>
      <c r="J238" s="447"/>
      <c r="K238" s="438"/>
      <c r="L238" s="447"/>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x</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8" customFormat="1" ht="15.75" hidden="1" customHeight="1">
      <c r="A239" s="343" t="str">
        <f>IF(B239&lt;&gt;"",IF(AND(B239='IN-TC'!$S$4,OR(TH!N239="1111",TH!O239="1111")),TH!D239,""),"")</f>
        <v/>
      </c>
      <c r="B239" s="63">
        <f t="shared" si="32"/>
        <v>1</v>
      </c>
      <c r="C239" s="64">
        <v>42376</v>
      </c>
      <c r="D239" s="64" t="s">
        <v>708</v>
      </c>
      <c r="E239" s="64">
        <v>42376</v>
      </c>
      <c r="F239" s="67" t="s">
        <v>751</v>
      </c>
      <c r="G239" s="67" t="s">
        <v>929</v>
      </c>
      <c r="H239" s="67"/>
      <c r="I239" s="447"/>
      <c r="J239" s="447"/>
      <c r="K239" s="438"/>
      <c r="L239" s="447"/>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x</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8" customFormat="1" ht="15.75" hidden="1" customHeight="1">
      <c r="A240" s="343" t="str">
        <f>IF(B240&lt;&gt;"",IF(AND(B240='IN-TC'!$S$4,OR(TH!N240="1111",TH!O240="1111")),TH!D240,""),"")</f>
        <v/>
      </c>
      <c r="B240" s="63">
        <f t="shared" si="32"/>
        <v>1</v>
      </c>
      <c r="C240" s="64">
        <v>42376</v>
      </c>
      <c r="D240" s="64" t="s">
        <v>894</v>
      </c>
      <c r="E240" s="64">
        <v>42376</v>
      </c>
      <c r="F240" s="67" t="s">
        <v>790</v>
      </c>
      <c r="G240" s="996" t="s">
        <v>828</v>
      </c>
      <c r="H240" s="74" t="s">
        <v>829</v>
      </c>
      <c r="I240" s="447"/>
      <c r="J240" s="447"/>
      <c r="K240" s="438"/>
      <c r="L240" s="447"/>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8" customFormat="1" ht="15.75" hidden="1" customHeight="1">
      <c r="A241" s="343" t="str">
        <f>IF(B241&lt;&gt;"",IF(AND(B241='IN-TC'!$S$4,OR(TH!N241="1111",TH!O241="1111")),TH!D241,""),"")</f>
        <v/>
      </c>
      <c r="B241" s="63">
        <f t="shared" si="32"/>
        <v>1</v>
      </c>
      <c r="C241" s="64">
        <v>42376</v>
      </c>
      <c r="D241" s="64" t="s">
        <v>894</v>
      </c>
      <c r="E241" s="64">
        <v>42376</v>
      </c>
      <c r="F241" s="67" t="s">
        <v>791</v>
      </c>
      <c r="G241" s="996" t="s">
        <v>828</v>
      </c>
      <c r="H241" s="74" t="s">
        <v>829</v>
      </c>
      <c r="I241" s="447"/>
      <c r="J241" s="447"/>
      <c r="K241" s="438"/>
      <c r="L241" s="447"/>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8" customFormat="1" ht="15.75" hidden="1" customHeight="1">
      <c r="A242" s="343" t="str">
        <f>IF(B242&lt;&gt;"",IF(AND(B242='IN-TC'!$S$4,OR(TH!N242="1111",TH!O242="1111")),TH!D242,""),"")</f>
        <v/>
      </c>
      <c r="B242" s="63">
        <f t="shared" si="32"/>
        <v>1</v>
      </c>
      <c r="C242" s="64">
        <v>42377</v>
      </c>
      <c r="D242" s="64" t="s">
        <v>705</v>
      </c>
      <c r="E242" s="64">
        <v>42377</v>
      </c>
      <c r="F242" s="69" t="s">
        <v>712</v>
      </c>
      <c r="G242" s="67" t="s">
        <v>928</v>
      </c>
      <c r="H242" s="7" t="s">
        <v>602</v>
      </c>
      <c r="I242" s="447"/>
      <c r="J242" s="447"/>
      <c r="K242" s="438">
        <v>4819.12</v>
      </c>
      <c r="L242" s="447">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x</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hidden="1" customHeight="1">
      <c r="A243" s="343" t="str">
        <f>IF(B243&lt;&gt;"",IF(AND(B243='IN-TC'!$S$4,OR(TH!N243="1111",TH!O243="1111")),TH!D243,""),"")</f>
        <v/>
      </c>
      <c r="B243" s="63">
        <f t="shared" si="32"/>
        <v>1</v>
      </c>
      <c r="C243" s="64">
        <v>42377</v>
      </c>
      <c r="D243" s="64" t="s">
        <v>585</v>
      </c>
      <c r="E243" s="64">
        <v>42377</v>
      </c>
      <c r="F243" s="67" t="s">
        <v>1084</v>
      </c>
      <c r="G243" s="67" t="s">
        <v>928</v>
      </c>
      <c r="H243" s="7" t="s">
        <v>602</v>
      </c>
      <c r="I243" s="447"/>
      <c r="J243" s="447"/>
      <c r="K243" s="438">
        <v>169.88</v>
      </c>
      <c r="L243" s="447">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x</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hidden="1" customHeight="1">
      <c r="A244" s="343" t="str">
        <f>IF(B244&lt;&gt;"",IF(AND(B244='IN-TC'!$S$4,OR(TH!N244="1111",TH!O244="1111")),TH!D244,""),"")</f>
        <v/>
      </c>
      <c r="B244" s="63">
        <f t="shared" si="32"/>
        <v>1</v>
      </c>
      <c r="C244" s="64">
        <v>42377</v>
      </c>
      <c r="D244" s="64" t="s">
        <v>585</v>
      </c>
      <c r="E244" s="64">
        <v>42377</v>
      </c>
      <c r="F244" s="67" t="s">
        <v>1085</v>
      </c>
      <c r="G244" s="67" t="s">
        <v>928</v>
      </c>
      <c r="H244" s="7" t="s">
        <v>602</v>
      </c>
      <c r="I244" s="447"/>
      <c r="J244" s="447"/>
      <c r="K244" s="438">
        <v>230.64</v>
      </c>
      <c r="L244" s="447">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x</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hidden="1" customHeight="1">
      <c r="A245" s="343" t="str">
        <f>IF(B245&lt;&gt;"",IF(AND(B245='IN-TC'!$S$4,OR(TH!N245="1111",TH!O245="1111")),TH!D245,""),"")</f>
        <v/>
      </c>
      <c r="B245" s="63">
        <f t="shared" si="32"/>
        <v>1</v>
      </c>
      <c r="C245" s="64">
        <v>42377</v>
      </c>
      <c r="D245" s="64" t="s">
        <v>585</v>
      </c>
      <c r="E245" s="64">
        <v>42377</v>
      </c>
      <c r="F245" s="67" t="s">
        <v>1079</v>
      </c>
      <c r="G245" s="67" t="s">
        <v>928</v>
      </c>
      <c r="H245" s="7" t="s">
        <v>602</v>
      </c>
      <c r="I245" s="447"/>
      <c r="J245" s="447"/>
      <c r="K245" s="438"/>
      <c r="L245" s="447"/>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x</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8" customFormat="1" ht="15.75" hidden="1" customHeight="1">
      <c r="A246" s="343" t="str">
        <f>IF(B246&lt;&gt;"",IF(AND(B246='IN-TC'!$S$4,OR(TH!N246="1111",TH!O246="1111")),TH!D246,""),"")</f>
        <v/>
      </c>
      <c r="B246" s="63">
        <f t="shared" si="32"/>
        <v>1</v>
      </c>
      <c r="C246" s="81">
        <v>42377</v>
      </c>
      <c r="D246" s="81" t="s">
        <v>708</v>
      </c>
      <c r="E246" s="81">
        <v>42377</v>
      </c>
      <c r="F246" s="82" t="s">
        <v>717</v>
      </c>
      <c r="G246" s="67" t="s">
        <v>928</v>
      </c>
      <c r="H246" s="83"/>
      <c r="I246" s="445"/>
      <c r="J246" s="445"/>
      <c r="K246" s="436">
        <v>76.069999999999993</v>
      </c>
      <c r="L246" s="445">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8" customFormat="1" ht="15.75" hidden="1" customHeight="1">
      <c r="A247" s="343" t="str">
        <f>IF(B247&lt;&gt;"",IF(AND(B247='IN-TC'!$S$4,OR(TH!N247="1111",TH!O247="1111")),TH!D247,""),"")</f>
        <v/>
      </c>
      <c r="B247" s="63">
        <f t="shared" si="32"/>
        <v>1</v>
      </c>
      <c r="C247" s="64">
        <v>42377</v>
      </c>
      <c r="D247" s="64" t="s">
        <v>895</v>
      </c>
      <c r="E247" s="64">
        <v>42377</v>
      </c>
      <c r="F247" s="67" t="s">
        <v>792</v>
      </c>
      <c r="G247" s="67" t="s">
        <v>830</v>
      </c>
      <c r="H247" s="353" t="s">
        <v>831</v>
      </c>
      <c r="I247" s="451"/>
      <c r="J247" s="451"/>
      <c r="K247" s="442"/>
      <c r="L247" s="451"/>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8" customFormat="1" ht="15.75" hidden="1" customHeight="1">
      <c r="A248" s="343" t="str">
        <f>IF(B248&lt;&gt;"",IF(AND(B248='IN-TC'!$S$4,OR(TH!N248="1111",TH!O248="1111")),TH!D248,""),"")</f>
        <v/>
      </c>
      <c r="B248" s="63">
        <f t="shared" si="32"/>
        <v>1</v>
      </c>
      <c r="C248" s="64">
        <v>42377</v>
      </c>
      <c r="D248" s="64" t="s">
        <v>895</v>
      </c>
      <c r="E248" s="64">
        <v>42377</v>
      </c>
      <c r="F248" s="67" t="s">
        <v>793</v>
      </c>
      <c r="G248" s="67" t="s">
        <v>830</v>
      </c>
      <c r="H248" s="74" t="s">
        <v>831</v>
      </c>
      <c r="I248" s="447"/>
      <c r="J248" s="447"/>
      <c r="K248" s="438"/>
      <c r="L248" s="447"/>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8" customFormat="1" ht="15.75" hidden="1" customHeight="1">
      <c r="A249" s="343" t="str">
        <f>IF(B249&lt;&gt;"",IF(AND(B249='IN-TC'!$S$4,OR(TH!N249="1111",TH!O249="1111")),TH!D249,""),"")</f>
        <v/>
      </c>
      <c r="B249" s="63">
        <f t="shared" si="32"/>
        <v>1</v>
      </c>
      <c r="C249" s="64">
        <v>42377</v>
      </c>
      <c r="D249" s="64" t="s">
        <v>896</v>
      </c>
      <c r="E249" s="64">
        <v>42377</v>
      </c>
      <c r="F249" s="67" t="s">
        <v>794</v>
      </c>
      <c r="G249" s="67" t="s">
        <v>832</v>
      </c>
      <c r="H249" s="74" t="s">
        <v>818</v>
      </c>
      <c r="I249" s="447"/>
      <c r="J249" s="447"/>
      <c r="K249" s="438"/>
      <c r="L249" s="447"/>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8" customFormat="1" ht="15.75" hidden="1" customHeight="1">
      <c r="A250" s="343" t="str">
        <f>IF(B250&lt;&gt;"",IF(AND(B250='IN-TC'!$S$4,OR(TH!N250="1111",TH!O250="1111")),TH!D250,""),"")</f>
        <v/>
      </c>
      <c r="B250" s="63">
        <f t="shared" si="32"/>
        <v>1</v>
      </c>
      <c r="C250" s="64">
        <v>42377</v>
      </c>
      <c r="D250" s="64" t="s">
        <v>896</v>
      </c>
      <c r="E250" s="64">
        <v>42377</v>
      </c>
      <c r="F250" s="67" t="s">
        <v>795</v>
      </c>
      <c r="G250" s="67" t="s">
        <v>832</v>
      </c>
      <c r="H250" s="353" t="s">
        <v>818</v>
      </c>
      <c r="I250" s="451"/>
      <c r="J250" s="451"/>
      <c r="K250" s="442"/>
      <c r="L250" s="451"/>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8" customFormat="1" ht="15.75" hidden="1" customHeight="1">
      <c r="A251" s="343" t="str">
        <f>IF(B251&lt;&gt;"",IF(AND(B251='IN-TC'!$S$4,OR(TH!N251="1111",TH!O251="1111")),TH!D251,""),"")</f>
        <v/>
      </c>
      <c r="B251" s="63">
        <f t="shared" si="32"/>
        <v>1</v>
      </c>
      <c r="C251" s="64">
        <v>42380</v>
      </c>
      <c r="D251" s="64" t="s">
        <v>708</v>
      </c>
      <c r="E251" s="64">
        <v>42380</v>
      </c>
      <c r="F251" s="67" t="s">
        <v>713</v>
      </c>
      <c r="G251" s="67" t="s">
        <v>929</v>
      </c>
      <c r="H251" s="74"/>
      <c r="I251" s="447"/>
      <c r="J251" s="447"/>
      <c r="K251" s="438">
        <v>15</v>
      </c>
      <c r="L251" s="447">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8" customFormat="1" ht="15.75" hidden="1" customHeight="1">
      <c r="A252" s="343" t="str">
        <f>IF(B252&lt;&gt;"",IF(AND(B252='IN-TC'!$S$4,OR(TH!N252="1111",TH!O252="1111")),TH!D252,""),"")</f>
        <v/>
      </c>
      <c r="B252" s="63">
        <f t="shared" si="32"/>
        <v>1</v>
      </c>
      <c r="C252" s="64">
        <v>42380</v>
      </c>
      <c r="D252" s="64" t="s">
        <v>708</v>
      </c>
      <c r="E252" s="64">
        <v>42380</v>
      </c>
      <c r="F252" s="67" t="s">
        <v>714</v>
      </c>
      <c r="G252" s="67" t="s">
        <v>929</v>
      </c>
      <c r="H252" s="74"/>
      <c r="I252" s="447"/>
      <c r="J252" s="447"/>
      <c r="K252" s="438">
        <v>1.5</v>
      </c>
      <c r="L252" s="447">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8" customFormat="1" ht="15.75" hidden="1" customHeight="1">
      <c r="A253" s="343" t="str">
        <f>IF(B253&lt;&gt;"",IF(AND(B253='IN-TC'!$S$4,OR(TH!N253="1111",TH!O253="1111")),TH!D253,""),"")</f>
        <v/>
      </c>
      <c r="B253" s="63">
        <f t="shared" si="32"/>
        <v>1</v>
      </c>
      <c r="C253" s="64">
        <v>42380</v>
      </c>
      <c r="D253" s="64" t="s">
        <v>897</v>
      </c>
      <c r="E253" s="64">
        <v>42380</v>
      </c>
      <c r="F253" s="69" t="s">
        <v>780</v>
      </c>
      <c r="G253" s="67" t="s">
        <v>833</v>
      </c>
      <c r="H253" s="74" t="s">
        <v>818</v>
      </c>
      <c r="I253" s="447"/>
      <c r="J253" s="447"/>
      <c r="K253" s="438"/>
      <c r="L253" s="447"/>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8" customFormat="1" ht="15.75" hidden="1" customHeight="1">
      <c r="A254" s="343" t="str">
        <f>IF(B254&lt;&gt;"",IF(AND(B254='IN-TC'!$S$4,OR(TH!N254="1111",TH!O254="1111")),TH!D254,""),"")</f>
        <v/>
      </c>
      <c r="B254" s="63">
        <f t="shared" si="32"/>
        <v>1</v>
      </c>
      <c r="C254" s="64">
        <v>42380</v>
      </c>
      <c r="D254" s="64" t="s">
        <v>897</v>
      </c>
      <c r="E254" s="64">
        <v>42380</v>
      </c>
      <c r="F254" s="67" t="s">
        <v>781</v>
      </c>
      <c r="G254" s="996" t="s">
        <v>833</v>
      </c>
      <c r="H254" s="74" t="s">
        <v>818</v>
      </c>
      <c r="I254" s="447"/>
      <c r="J254" s="447"/>
      <c r="K254" s="438"/>
      <c r="L254" s="447"/>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8" customFormat="1" ht="15.75" hidden="1" customHeight="1">
      <c r="A255" s="343" t="str">
        <f>IF(B255&lt;&gt;"",IF(AND(B255='IN-TC'!$S$4,OR(TH!N255="1111",TH!O255="1111")),TH!D255,""),"")</f>
        <v/>
      </c>
      <c r="B255" s="63">
        <f t="shared" si="32"/>
        <v>1</v>
      </c>
      <c r="C255" s="81">
        <f>E255</f>
        <v>42380</v>
      </c>
      <c r="D255" s="64" t="s">
        <v>898</v>
      </c>
      <c r="E255" s="81">
        <v>42380</v>
      </c>
      <c r="F255" s="82" t="s">
        <v>974</v>
      </c>
      <c r="G255" s="82"/>
      <c r="H255" s="83" t="s">
        <v>973</v>
      </c>
      <c r="I255" s="445"/>
      <c r="J255" s="445"/>
      <c r="K255" s="436"/>
      <c r="L255" s="445"/>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8" customFormat="1" ht="15.75" hidden="1" customHeight="1">
      <c r="A256" s="343" t="str">
        <f>IF(B256&lt;&gt;"",IF(AND(B256='IN-TC'!$S$4,OR(TH!N256="1111",TH!O256="1111")),TH!D256,""),"")</f>
        <v/>
      </c>
      <c r="B256" s="63">
        <f t="shared" si="32"/>
        <v>1</v>
      </c>
      <c r="C256" s="64">
        <v>42381</v>
      </c>
      <c r="D256" s="64" t="s">
        <v>899</v>
      </c>
      <c r="E256" s="64">
        <v>42381</v>
      </c>
      <c r="F256" s="67" t="s">
        <v>785</v>
      </c>
      <c r="G256" s="996" t="s">
        <v>834</v>
      </c>
      <c r="H256" s="74" t="s">
        <v>818</v>
      </c>
      <c r="I256" s="447"/>
      <c r="J256" s="447"/>
      <c r="K256" s="438"/>
      <c r="L256" s="447"/>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hidden="1" customHeight="1">
      <c r="A257" s="343" t="str">
        <f>IF(B257&lt;&gt;"",IF(AND(B257='IN-TC'!$S$4,OR(TH!N257="1111",TH!O257="1111")),TH!D257,""),"")</f>
        <v/>
      </c>
      <c r="B257" s="63">
        <f t="shared" si="32"/>
        <v>1</v>
      </c>
      <c r="C257" s="64">
        <v>42381</v>
      </c>
      <c r="D257" s="64" t="s">
        <v>899</v>
      </c>
      <c r="E257" s="64">
        <v>42381</v>
      </c>
      <c r="F257" s="67" t="s">
        <v>786</v>
      </c>
      <c r="G257" s="996" t="s">
        <v>834</v>
      </c>
      <c r="H257" s="74" t="s">
        <v>818</v>
      </c>
      <c r="I257" s="447"/>
      <c r="J257" s="447"/>
      <c r="K257" s="438"/>
      <c r="L257" s="447"/>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hidden="1" customHeight="1">
      <c r="A258" s="343" t="str">
        <f>IF(B258&lt;&gt;"",IF(AND(B258='IN-TC'!$S$4,OR(TH!N258="1111",TH!O258="1111")),TH!D258,""),"")</f>
        <v/>
      </c>
      <c r="B258" s="63">
        <f t="shared" si="32"/>
        <v>1</v>
      </c>
      <c r="C258" s="64">
        <v>42381</v>
      </c>
      <c r="D258" s="64" t="s">
        <v>900</v>
      </c>
      <c r="E258" s="64">
        <v>42381</v>
      </c>
      <c r="F258" s="67" t="s">
        <v>796</v>
      </c>
      <c r="G258" s="996" t="s">
        <v>835</v>
      </c>
      <c r="H258" s="74" t="s">
        <v>836</v>
      </c>
      <c r="I258" s="447"/>
      <c r="J258" s="447"/>
      <c r="K258" s="438"/>
      <c r="L258" s="447"/>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hidden="1" customHeight="1">
      <c r="A259" s="343" t="str">
        <f>IF(B259&lt;&gt;"",IF(AND(B259='IN-TC'!$S$4,OR(TH!N259="1111",TH!O259="1111")),TH!D259,""),"")</f>
        <v/>
      </c>
      <c r="B259" s="63">
        <f t="shared" si="32"/>
        <v>1</v>
      </c>
      <c r="C259" s="64">
        <v>42381</v>
      </c>
      <c r="D259" s="64" t="s">
        <v>900</v>
      </c>
      <c r="E259" s="64">
        <v>42381</v>
      </c>
      <c r="F259" s="67" t="s">
        <v>797</v>
      </c>
      <c r="G259" s="996" t="s">
        <v>835</v>
      </c>
      <c r="H259" s="74" t="s">
        <v>836</v>
      </c>
      <c r="I259" s="447"/>
      <c r="J259" s="447"/>
      <c r="K259" s="438"/>
      <c r="L259" s="447"/>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hidden="1" customHeight="1">
      <c r="A260" s="343" t="str">
        <f>IF(B260&lt;&gt;"",IF(AND(B260='IN-TC'!$S$4,OR(TH!N260="1111",TH!O260="1111")),TH!D260,""),"")</f>
        <v/>
      </c>
      <c r="B260" s="63">
        <f t="shared" si="32"/>
        <v>1</v>
      </c>
      <c r="C260" s="64">
        <v>42382</v>
      </c>
      <c r="D260" s="64" t="s">
        <v>708</v>
      </c>
      <c r="E260" s="64">
        <v>42382</v>
      </c>
      <c r="F260" s="67" t="s">
        <v>752</v>
      </c>
      <c r="G260" s="67" t="s">
        <v>929</v>
      </c>
      <c r="H260" s="67"/>
      <c r="I260" s="450"/>
      <c r="J260" s="450"/>
      <c r="K260" s="441"/>
      <c r="L260" s="450"/>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x</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hidden="1" customHeight="1">
      <c r="A261" s="343" t="str">
        <f>IF(B261&lt;&gt;"",IF(AND(B261='IN-TC'!$S$4,OR(TH!N261="1111",TH!O261="1111")),TH!D261,""),"")</f>
        <v/>
      </c>
      <c r="B261" s="63">
        <f t="shared" si="32"/>
        <v>1</v>
      </c>
      <c r="C261" s="64">
        <v>42382</v>
      </c>
      <c r="D261" s="64" t="s">
        <v>585</v>
      </c>
      <c r="E261" s="64">
        <v>42382</v>
      </c>
      <c r="F261" s="67" t="s">
        <v>868</v>
      </c>
      <c r="G261" s="67"/>
      <c r="H261" s="67"/>
      <c r="I261" s="450"/>
      <c r="J261" s="450"/>
      <c r="K261" s="441"/>
      <c r="L261" s="450"/>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hidden="1" customHeight="1">
      <c r="A262" s="343" t="str">
        <f>IF(B262&lt;&gt;"",IF(AND(B262='IN-TC'!$S$4,OR(TH!N262="1111",TH!O262="1111")),TH!D262,""),"")</f>
        <v/>
      </c>
      <c r="B262" s="63">
        <f t="shared" si="32"/>
        <v>1</v>
      </c>
      <c r="C262" s="64">
        <v>42383</v>
      </c>
      <c r="D262" s="64" t="s">
        <v>705</v>
      </c>
      <c r="E262" s="64">
        <v>42383</v>
      </c>
      <c r="F262" s="67" t="s">
        <v>706</v>
      </c>
      <c r="G262" s="67" t="s">
        <v>930</v>
      </c>
      <c r="H262" s="74"/>
      <c r="I262" s="447"/>
      <c r="J262" s="447"/>
      <c r="K262" s="438">
        <v>4700</v>
      </c>
      <c r="L262" s="447">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hidden="1" customHeight="1">
      <c r="A263" s="343" t="str">
        <f>IF(B263&lt;&gt;"",IF(AND(B263='IN-TC'!$S$4,OR(TH!N263="1111",TH!O263="1111")),TH!D263,""),"")</f>
        <v/>
      </c>
      <c r="B263" s="63">
        <f t="shared" si="32"/>
        <v>1</v>
      </c>
      <c r="C263" s="64">
        <v>42383</v>
      </c>
      <c r="D263" s="64" t="s">
        <v>708</v>
      </c>
      <c r="E263" s="64">
        <v>42383</v>
      </c>
      <c r="F263" s="67" t="s">
        <v>715</v>
      </c>
      <c r="G263" s="67" t="s">
        <v>929</v>
      </c>
      <c r="H263" s="74"/>
      <c r="I263" s="447"/>
      <c r="J263" s="447"/>
      <c r="K263" s="438">
        <v>6000</v>
      </c>
      <c r="L263" s="447">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x</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hidden="1" customHeight="1">
      <c r="A264" s="343" t="str">
        <f>IF(B264&lt;&gt;"",IF(AND(B264='IN-TC'!$S$4,OR(TH!N264="1111",TH!O264="1111")),TH!D264,""),"")</f>
        <v/>
      </c>
      <c r="B264" s="63">
        <f t="shared" si="32"/>
        <v>1</v>
      </c>
      <c r="C264" s="64">
        <v>42383</v>
      </c>
      <c r="D264" s="64" t="s">
        <v>708</v>
      </c>
      <c r="E264" s="64">
        <v>42383</v>
      </c>
      <c r="F264" s="67" t="s">
        <v>1113</v>
      </c>
      <c r="G264" s="67" t="s">
        <v>929</v>
      </c>
      <c r="H264" s="67" t="s">
        <v>635</v>
      </c>
      <c r="I264" s="451"/>
      <c r="J264" s="451"/>
      <c r="K264" s="442"/>
      <c r="L264" s="451"/>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x</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hidden="1" customHeight="1">
      <c r="A265" s="343" t="str">
        <f>IF(B265&lt;&gt;"",IF(AND(B265='IN-TC'!$S$4,OR(TH!N265="1111",TH!O265="1111")),TH!D265,""),"")</f>
        <v/>
      </c>
      <c r="B265" s="63">
        <f t="shared" si="32"/>
        <v>1</v>
      </c>
      <c r="C265" s="64">
        <v>42383</v>
      </c>
      <c r="D265" s="64" t="s">
        <v>708</v>
      </c>
      <c r="E265" s="64">
        <v>42383</v>
      </c>
      <c r="F265" s="67" t="s">
        <v>751</v>
      </c>
      <c r="G265" s="67" t="s">
        <v>929</v>
      </c>
      <c r="H265" s="67"/>
      <c r="I265" s="447"/>
      <c r="J265" s="447"/>
      <c r="K265" s="438"/>
      <c r="L265" s="447"/>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x</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hidden="1" customHeight="1">
      <c r="A266" s="343" t="str">
        <f>IF(B266&lt;&gt;"",IF(AND(B266='IN-TC'!$S$4,OR(TH!N266="1111",TH!O266="1111")),TH!D266,""),"")</f>
        <v/>
      </c>
      <c r="B266" s="63">
        <f t="shared" si="32"/>
        <v>1</v>
      </c>
      <c r="C266" s="64">
        <v>42383</v>
      </c>
      <c r="D266" s="64" t="s">
        <v>708</v>
      </c>
      <c r="E266" s="64">
        <v>42383</v>
      </c>
      <c r="F266" s="67" t="s">
        <v>753</v>
      </c>
      <c r="G266" s="67" t="s">
        <v>929</v>
      </c>
      <c r="H266" s="67"/>
      <c r="I266" s="447"/>
      <c r="J266" s="447"/>
      <c r="K266" s="438"/>
      <c r="L266" s="447"/>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x</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hidden="1" customHeight="1">
      <c r="A267" s="343" t="str">
        <f>IF(B267&lt;&gt;"",IF(AND(B267='IN-TC'!$S$4,OR(TH!N267="1111",TH!O267="1111")),TH!D267,""),"")</f>
        <v/>
      </c>
      <c r="B267" s="63">
        <f t="shared" ref="B267:B330" si="33">IF(C267&lt;&gt;"",MONTH(C267),"")</f>
        <v>1</v>
      </c>
      <c r="C267" s="64">
        <v>42383</v>
      </c>
      <c r="D267" s="64" t="s">
        <v>901</v>
      </c>
      <c r="E267" s="64">
        <v>42383</v>
      </c>
      <c r="F267" s="67" t="s">
        <v>790</v>
      </c>
      <c r="G267" s="996" t="s">
        <v>837</v>
      </c>
      <c r="H267" s="74" t="s">
        <v>829</v>
      </c>
      <c r="I267" s="447"/>
      <c r="J267" s="447"/>
      <c r="K267" s="438"/>
      <c r="L267" s="447"/>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hidden="1" customHeight="1">
      <c r="A268" s="343" t="str">
        <f>IF(B268&lt;&gt;"",IF(AND(B268='IN-TC'!$S$4,OR(TH!N268="1111",TH!O268="1111")),TH!D268,""),"")</f>
        <v/>
      </c>
      <c r="B268" s="63">
        <f t="shared" si="33"/>
        <v>1</v>
      </c>
      <c r="C268" s="64">
        <v>42383</v>
      </c>
      <c r="D268" s="64" t="s">
        <v>901</v>
      </c>
      <c r="E268" s="64">
        <v>42383</v>
      </c>
      <c r="F268" s="67" t="s">
        <v>791</v>
      </c>
      <c r="G268" s="996" t="s">
        <v>837</v>
      </c>
      <c r="H268" s="74" t="s">
        <v>829</v>
      </c>
      <c r="I268" s="447"/>
      <c r="J268" s="447"/>
      <c r="K268" s="438"/>
      <c r="L268" s="447"/>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hidden="1" customHeight="1">
      <c r="A269" s="343" t="str">
        <f>IF(B269&lt;&gt;"",IF(AND(B269='IN-TC'!$S$4,OR(TH!N269="1111",TH!O269="1111")),TH!D269,""),"")</f>
        <v/>
      </c>
      <c r="B269" s="63">
        <f t="shared" si="33"/>
        <v>1</v>
      </c>
      <c r="C269" s="64">
        <v>42384</v>
      </c>
      <c r="D269" s="64" t="s">
        <v>913</v>
      </c>
      <c r="E269" s="64">
        <v>42384</v>
      </c>
      <c r="F269" s="67" t="s">
        <v>754</v>
      </c>
      <c r="G269" s="67" t="s">
        <v>929</v>
      </c>
      <c r="H269" s="75" t="s">
        <v>772</v>
      </c>
      <c r="I269" s="447"/>
      <c r="J269" s="447"/>
      <c r="K269" s="438"/>
      <c r="L269" s="447"/>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x</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hidden="1" customHeight="1">
      <c r="A270" s="343" t="str">
        <f>IF(B270&lt;&gt;"",IF(AND(B270='IN-TC'!$S$4,OR(TH!N270="1111",TH!O270="1111")),TH!D270,""),"")</f>
        <v/>
      </c>
      <c r="B270" s="63">
        <f t="shared" si="33"/>
        <v>1</v>
      </c>
      <c r="C270" s="64">
        <v>42384</v>
      </c>
      <c r="D270" s="64" t="s">
        <v>902</v>
      </c>
      <c r="E270" s="64">
        <v>42384</v>
      </c>
      <c r="F270" s="67" t="s">
        <v>785</v>
      </c>
      <c r="G270" s="67" t="s">
        <v>838</v>
      </c>
      <c r="H270" s="353" t="s">
        <v>824</v>
      </c>
      <c r="I270" s="451"/>
      <c r="J270" s="451"/>
      <c r="K270" s="442"/>
      <c r="L270" s="451"/>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hidden="1" customHeight="1">
      <c r="A271" s="343" t="str">
        <f>IF(B271&lt;&gt;"",IF(AND(B271='IN-TC'!$S$4,OR(TH!N271="1111",TH!O271="1111")),TH!D271,""),"")</f>
        <v/>
      </c>
      <c r="B271" s="63">
        <f t="shared" si="33"/>
        <v>1</v>
      </c>
      <c r="C271" s="64">
        <v>42384</v>
      </c>
      <c r="D271" s="64" t="s">
        <v>902</v>
      </c>
      <c r="E271" s="64">
        <v>42384</v>
      </c>
      <c r="F271" s="67" t="s">
        <v>786</v>
      </c>
      <c r="G271" s="67" t="s">
        <v>838</v>
      </c>
      <c r="H271" s="353" t="s">
        <v>824</v>
      </c>
      <c r="I271" s="451"/>
      <c r="J271" s="451"/>
      <c r="K271" s="442"/>
      <c r="L271" s="451"/>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hidden="1" customHeight="1">
      <c r="A272" s="343" t="str">
        <f>IF(B272&lt;&gt;"",IF(AND(B272='IN-TC'!$S$4,OR(TH!N272="1111",TH!O272="1111")),TH!D272,""),"")</f>
        <v/>
      </c>
      <c r="B272" s="63">
        <f t="shared" si="33"/>
        <v>1</v>
      </c>
      <c r="C272" s="64">
        <v>42384</v>
      </c>
      <c r="D272" s="64" t="s">
        <v>903</v>
      </c>
      <c r="E272" s="64">
        <v>42384</v>
      </c>
      <c r="F272" s="67" t="s">
        <v>785</v>
      </c>
      <c r="G272" s="67" t="s">
        <v>839</v>
      </c>
      <c r="H272" s="353" t="s">
        <v>818</v>
      </c>
      <c r="I272" s="451"/>
      <c r="J272" s="451"/>
      <c r="K272" s="442"/>
      <c r="L272" s="451"/>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hidden="1" customHeight="1">
      <c r="A273" s="343" t="str">
        <f>IF(B273&lt;&gt;"",IF(AND(B273='IN-TC'!$S$4,OR(TH!N273="1111",TH!O273="1111")),TH!D273,""),"")</f>
        <v/>
      </c>
      <c r="B273" s="63">
        <f t="shared" si="33"/>
        <v>1</v>
      </c>
      <c r="C273" s="64">
        <v>42384</v>
      </c>
      <c r="D273" s="64" t="s">
        <v>903</v>
      </c>
      <c r="E273" s="64">
        <v>42384</v>
      </c>
      <c r="F273" s="67" t="s">
        <v>786</v>
      </c>
      <c r="G273" s="67" t="s">
        <v>839</v>
      </c>
      <c r="H273" s="74" t="s">
        <v>818</v>
      </c>
      <c r="I273" s="447"/>
      <c r="J273" s="447"/>
      <c r="K273" s="438"/>
      <c r="L273" s="447"/>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hidden="1" customHeight="1">
      <c r="A274" s="343" t="str">
        <f>IF(B274&lt;&gt;"",IF(AND(B274='IN-TC'!$S$4,OR(TH!N274="1111",TH!O274="1111")),TH!D274,""),"")</f>
        <v/>
      </c>
      <c r="B274" s="63">
        <f t="shared" si="33"/>
        <v>1</v>
      </c>
      <c r="C274" s="64">
        <v>42384</v>
      </c>
      <c r="D274" s="64" t="s">
        <v>904</v>
      </c>
      <c r="E274" s="64">
        <v>42384</v>
      </c>
      <c r="F274" s="67" t="s">
        <v>798</v>
      </c>
      <c r="G274" s="67" t="s">
        <v>840</v>
      </c>
      <c r="H274" s="74" t="s">
        <v>841</v>
      </c>
      <c r="I274" s="447"/>
      <c r="J274" s="447"/>
      <c r="K274" s="438"/>
      <c r="L274" s="447"/>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hidden="1" customHeight="1">
      <c r="A275" s="343" t="str">
        <f>IF(B275&lt;&gt;"",IF(AND(B275='IN-TC'!$S$4,OR(TH!N275="1111",TH!O275="1111")),TH!D275,""),"")</f>
        <v/>
      </c>
      <c r="B275" s="63">
        <f t="shared" si="33"/>
        <v>1</v>
      </c>
      <c r="C275" s="64">
        <v>42384</v>
      </c>
      <c r="D275" s="64" t="s">
        <v>904</v>
      </c>
      <c r="E275" s="64">
        <v>42384</v>
      </c>
      <c r="F275" s="67" t="s">
        <v>799</v>
      </c>
      <c r="G275" s="67" t="s">
        <v>840</v>
      </c>
      <c r="H275" s="353" t="s">
        <v>841</v>
      </c>
      <c r="I275" s="451"/>
      <c r="J275" s="451"/>
      <c r="K275" s="442"/>
      <c r="L275" s="451"/>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hidden="1" customHeight="1">
      <c r="A276" s="343" t="str">
        <f>IF(B276&lt;&gt;"",IF(AND(B276='IN-TC'!$S$4,OR(TH!N276="1111",TH!O276="1111")),TH!D276,""),"")</f>
        <v/>
      </c>
      <c r="B276" s="63">
        <f t="shared" si="33"/>
        <v>1</v>
      </c>
      <c r="C276" s="64">
        <v>42384</v>
      </c>
      <c r="D276" s="64" t="s">
        <v>905</v>
      </c>
      <c r="E276" s="64">
        <v>42384</v>
      </c>
      <c r="F276" s="67" t="s">
        <v>790</v>
      </c>
      <c r="G276" s="67" t="s">
        <v>842</v>
      </c>
      <c r="H276" s="353" t="s">
        <v>829</v>
      </c>
      <c r="I276" s="451"/>
      <c r="J276" s="451"/>
      <c r="K276" s="442"/>
      <c r="L276" s="451"/>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hidden="1" customHeight="1">
      <c r="A277" s="343" t="str">
        <f>IF(B277&lt;&gt;"",IF(AND(B277='IN-TC'!$S$4,OR(TH!N277="1111",TH!O277="1111")),TH!D277,""),"")</f>
        <v/>
      </c>
      <c r="B277" s="63">
        <f t="shared" si="33"/>
        <v>1</v>
      </c>
      <c r="C277" s="64">
        <v>42384</v>
      </c>
      <c r="D277" s="64" t="s">
        <v>905</v>
      </c>
      <c r="E277" s="64">
        <v>42384</v>
      </c>
      <c r="F277" s="67" t="s">
        <v>791</v>
      </c>
      <c r="G277" s="67" t="s">
        <v>842</v>
      </c>
      <c r="H277" s="353" t="s">
        <v>829</v>
      </c>
      <c r="I277" s="451"/>
      <c r="J277" s="451"/>
      <c r="K277" s="442"/>
      <c r="L277" s="451"/>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hidden="1" customHeight="1">
      <c r="A278" s="343" t="str">
        <f>IF(B278&lt;&gt;"",IF(AND(B278='IN-TC'!$S$4,OR(TH!N278="1111",TH!O278="1111")),TH!D278,""),"")</f>
        <v/>
      </c>
      <c r="B278" s="63">
        <f t="shared" si="33"/>
        <v>1</v>
      </c>
      <c r="C278" s="64">
        <v>42387</v>
      </c>
      <c r="D278" s="64" t="s">
        <v>708</v>
      </c>
      <c r="E278" s="64">
        <v>42387</v>
      </c>
      <c r="F278" s="67" t="s">
        <v>755</v>
      </c>
      <c r="G278" s="67" t="s">
        <v>929</v>
      </c>
      <c r="H278" s="67" t="s">
        <v>731</v>
      </c>
      <c r="I278" s="447"/>
      <c r="J278" s="447"/>
      <c r="K278" s="438"/>
      <c r="L278" s="447"/>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x</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hidden="1" customHeight="1">
      <c r="A279" s="343" t="str">
        <f>IF(B279&lt;&gt;"",IF(AND(B279='IN-TC'!$S$4,OR(TH!N279="1111",TH!O279="1111")),TH!D279,""),"")</f>
        <v/>
      </c>
      <c r="B279" s="63">
        <f t="shared" si="33"/>
        <v>1</v>
      </c>
      <c r="C279" s="64">
        <v>42387</v>
      </c>
      <c r="D279" s="64" t="s">
        <v>708</v>
      </c>
      <c r="E279" s="64">
        <v>42387</v>
      </c>
      <c r="F279" s="67" t="s">
        <v>756</v>
      </c>
      <c r="G279" s="67" t="s">
        <v>929</v>
      </c>
      <c r="H279" s="67" t="s">
        <v>732</v>
      </c>
      <c r="I279" s="447"/>
      <c r="J279" s="447"/>
      <c r="K279" s="438"/>
      <c r="L279" s="447"/>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x</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hidden="1" customHeight="1">
      <c r="A280" s="343" t="str">
        <f>IF(B280&lt;&gt;"",IF(AND(B280='IN-TC'!$S$4,OR(TH!N280="1111",TH!O280="1111")),TH!D280,""),"")</f>
        <v/>
      </c>
      <c r="B280" s="63">
        <f t="shared" si="33"/>
        <v>1</v>
      </c>
      <c r="C280" s="64">
        <v>42387</v>
      </c>
      <c r="D280" s="64" t="s">
        <v>708</v>
      </c>
      <c r="E280" s="64">
        <v>42387</v>
      </c>
      <c r="F280" s="67" t="s">
        <v>757</v>
      </c>
      <c r="G280" s="67" t="s">
        <v>929</v>
      </c>
      <c r="H280" s="67" t="s">
        <v>724</v>
      </c>
      <c r="I280" s="451"/>
      <c r="J280" s="451"/>
      <c r="K280" s="442"/>
      <c r="L280" s="451"/>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x</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hidden="1" customHeight="1">
      <c r="A281" s="343" t="str">
        <f>IF(B281&lt;&gt;"",IF(AND(B281='IN-TC'!$S$4,OR(TH!N281="1111",TH!O281="1111")),TH!D281,""),"")</f>
        <v/>
      </c>
      <c r="B281" s="63">
        <f t="shared" si="33"/>
        <v>1</v>
      </c>
      <c r="C281" s="64">
        <v>42387</v>
      </c>
      <c r="D281" s="64" t="s">
        <v>906</v>
      </c>
      <c r="E281" s="64">
        <v>42387</v>
      </c>
      <c r="F281" s="67" t="s">
        <v>800</v>
      </c>
      <c r="G281" s="67" t="s">
        <v>843</v>
      </c>
      <c r="H281" s="353" t="s">
        <v>818</v>
      </c>
      <c r="I281" s="451"/>
      <c r="J281" s="451"/>
      <c r="K281" s="442"/>
      <c r="L281" s="451"/>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hidden="1" customHeight="1">
      <c r="A282" s="343" t="str">
        <f>IF(B282&lt;&gt;"",IF(AND(B282='IN-TC'!$S$4,OR(TH!N282="1111",TH!O282="1111")),TH!D282,""),"")</f>
        <v/>
      </c>
      <c r="B282" s="63">
        <f t="shared" si="33"/>
        <v>1</v>
      </c>
      <c r="C282" s="64">
        <v>42387</v>
      </c>
      <c r="D282" s="64" t="s">
        <v>906</v>
      </c>
      <c r="E282" s="64">
        <v>42387</v>
      </c>
      <c r="F282" s="67" t="s">
        <v>801</v>
      </c>
      <c r="G282" s="67" t="s">
        <v>843</v>
      </c>
      <c r="H282" s="74" t="s">
        <v>818</v>
      </c>
      <c r="I282" s="447"/>
      <c r="J282" s="447"/>
      <c r="K282" s="438"/>
      <c r="L282" s="447"/>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hidden="1" customHeight="1">
      <c r="A283" s="343" t="str">
        <f>IF(B283&lt;&gt;"",IF(AND(B283='IN-TC'!$S$4,OR(TH!N283="1111",TH!O283="1111")),TH!D283,""),"")</f>
        <v/>
      </c>
      <c r="B283" s="63">
        <f t="shared" si="33"/>
        <v>1</v>
      </c>
      <c r="C283" s="64">
        <v>42387</v>
      </c>
      <c r="D283" s="64" t="s">
        <v>907</v>
      </c>
      <c r="E283" s="64">
        <v>42387</v>
      </c>
      <c r="F283" s="67" t="s">
        <v>789</v>
      </c>
      <c r="G283" s="67" t="s">
        <v>674</v>
      </c>
      <c r="H283" s="74" t="s">
        <v>678</v>
      </c>
      <c r="I283" s="447"/>
      <c r="J283" s="447"/>
      <c r="K283" s="438"/>
      <c r="L283" s="447"/>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hidden="1" customHeight="1">
      <c r="A284" s="343" t="str">
        <f>IF(B284&lt;&gt;"",IF(AND(B284='IN-TC'!$S$4,OR(TH!N284="1111",TH!O284="1111")),TH!D284,""),"")</f>
        <v/>
      </c>
      <c r="B284" s="63">
        <f t="shared" si="33"/>
        <v>1</v>
      </c>
      <c r="C284" s="64">
        <v>42388</v>
      </c>
      <c r="D284" s="64" t="s">
        <v>908</v>
      </c>
      <c r="E284" s="64">
        <v>42388</v>
      </c>
      <c r="F284" s="67" t="s">
        <v>785</v>
      </c>
      <c r="G284" s="67" t="s">
        <v>844</v>
      </c>
      <c r="H284" s="74" t="s">
        <v>824</v>
      </c>
      <c r="I284" s="447"/>
      <c r="J284" s="447"/>
      <c r="K284" s="438"/>
      <c r="L284" s="447"/>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hidden="1" customHeight="1">
      <c r="A285" s="343" t="str">
        <f>IF(B285&lt;&gt;"",IF(AND(B285='IN-TC'!$S$4,OR(TH!N285="1111",TH!O285="1111")),TH!D285,""),"")</f>
        <v/>
      </c>
      <c r="B285" s="63">
        <f t="shared" si="33"/>
        <v>1</v>
      </c>
      <c r="C285" s="64">
        <v>42388</v>
      </c>
      <c r="D285" s="64" t="s">
        <v>908</v>
      </c>
      <c r="E285" s="64">
        <v>42388</v>
      </c>
      <c r="F285" s="67" t="s">
        <v>786</v>
      </c>
      <c r="G285" s="67" t="s">
        <v>844</v>
      </c>
      <c r="H285" s="353" t="s">
        <v>824</v>
      </c>
      <c r="I285" s="451"/>
      <c r="J285" s="451"/>
      <c r="K285" s="442"/>
      <c r="L285" s="451"/>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hidden="1" customHeight="1">
      <c r="A286" s="343" t="str">
        <f>IF(B286&lt;&gt;"",IF(AND(B286='IN-TC'!$S$4,OR(TH!N286="1111",TH!O286="1111")),TH!D286,""),"")</f>
        <v/>
      </c>
      <c r="B286" s="63">
        <f t="shared" si="33"/>
        <v>1</v>
      </c>
      <c r="C286" s="64">
        <v>42389</v>
      </c>
      <c r="D286" s="64" t="s">
        <v>909</v>
      </c>
      <c r="E286" s="64">
        <v>42389</v>
      </c>
      <c r="F286" s="67" t="s">
        <v>785</v>
      </c>
      <c r="G286" s="67" t="s">
        <v>845</v>
      </c>
      <c r="H286" s="74" t="s">
        <v>818</v>
      </c>
      <c r="I286" s="447"/>
      <c r="J286" s="447"/>
      <c r="K286" s="438"/>
      <c r="L286" s="447"/>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hidden="1" customHeight="1">
      <c r="A287" s="343" t="str">
        <f>IF(B287&lt;&gt;"",IF(AND(B287='IN-TC'!$S$4,OR(TH!N287="1111",TH!O287="1111")),TH!D287,""),"")</f>
        <v/>
      </c>
      <c r="B287" s="63">
        <f t="shared" si="33"/>
        <v>1</v>
      </c>
      <c r="C287" s="64">
        <v>42389</v>
      </c>
      <c r="D287" s="64" t="s">
        <v>909</v>
      </c>
      <c r="E287" s="64">
        <v>42389</v>
      </c>
      <c r="F287" s="67" t="s">
        <v>786</v>
      </c>
      <c r="G287" s="67" t="s">
        <v>845</v>
      </c>
      <c r="H287" s="74" t="s">
        <v>818</v>
      </c>
      <c r="I287" s="447"/>
      <c r="J287" s="447"/>
      <c r="K287" s="438"/>
      <c r="L287" s="447"/>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hidden="1" customHeight="1">
      <c r="A288" s="343" t="str">
        <f>IF(B288&lt;&gt;"",IF(AND(B288='IN-TC'!$S$4,OR(TH!N288="1111",TH!O288="1111")),TH!D288,""),"")</f>
        <v/>
      </c>
      <c r="B288" s="63">
        <f t="shared" si="33"/>
        <v>1</v>
      </c>
      <c r="C288" s="64">
        <v>42390</v>
      </c>
      <c r="D288" s="64" t="s">
        <v>910</v>
      </c>
      <c r="E288" s="64">
        <v>42390</v>
      </c>
      <c r="F288" s="67" t="s">
        <v>780</v>
      </c>
      <c r="G288" s="67" t="s">
        <v>846</v>
      </c>
      <c r="H288" s="353" t="s">
        <v>818</v>
      </c>
      <c r="I288" s="451"/>
      <c r="J288" s="451"/>
      <c r="K288" s="442"/>
      <c r="L288" s="451"/>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hidden="1" customHeight="1">
      <c r="A289" s="343" t="str">
        <f>IF(B289&lt;&gt;"",IF(AND(B289='IN-TC'!$S$4,OR(TH!N289="1111",TH!O289="1111")),TH!D289,""),"")</f>
        <v/>
      </c>
      <c r="B289" s="63">
        <f t="shared" si="33"/>
        <v>1</v>
      </c>
      <c r="C289" s="64">
        <v>42390</v>
      </c>
      <c r="D289" s="64" t="s">
        <v>910</v>
      </c>
      <c r="E289" s="64">
        <v>42390</v>
      </c>
      <c r="F289" s="67" t="s">
        <v>781</v>
      </c>
      <c r="G289" s="67" t="s">
        <v>846</v>
      </c>
      <c r="H289" s="74" t="s">
        <v>818</v>
      </c>
      <c r="I289" s="447"/>
      <c r="J289" s="447"/>
      <c r="K289" s="438"/>
      <c r="L289" s="447"/>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hidden="1" customHeight="1">
      <c r="A290" s="343" t="str">
        <f>IF(B290&lt;&gt;"",IF(AND(B290='IN-TC'!$S$4,OR(TH!N290="1111",TH!O290="1111")),TH!D290,""),"")</f>
        <v/>
      </c>
      <c r="B290" s="63">
        <f t="shared" si="33"/>
        <v>1</v>
      </c>
      <c r="C290" s="81">
        <f>E290</f>
        <v>42390</v>
      </c>
      <c r="D290" s="64" t="s">
        <v>911</v>
      </c>
      <c r="E290" s="81">
        <v>42390</v>
      </c>
      <c r="F290" s="82" t="s">
        <v>974</v>
      </c>
      <c r="G290" s="82"/>
      <c r="H290" s="83" t="s">
        <v>973</v>
      </c>
      <c r="I290" s="445"/>
      <c r="J290" s="445"/>
      <c r="K290" s="436"/>
      <c r="L290" s="445"/>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hidden="1" customHeight="1">
      <c r="A291" s="343" t="str">
        <f>IF(B291&lt;&gt;"",IF(AND(B291='IN-TC'!$S$4,OR(TH!N291="1111",TH!O291="1111")),TH!D291,""),"")</f>
        <v/>
      </c>
      <c r="B291" s="63">
        <f t="shared" si="33"/>
        <v>1</v>
      </c>
      <c r="C291" s="64">
        <v>42391</v>
      </c>
      <c r="D291" s="64" t="s">
        <v>912</v>
      </c>
      <c r="E291" s="64">
        <v>42391</v>
      </c>
      <c r="F291" s="67" t="s">
        <v>747</v>
      </c>
      <c r="G291" s="67" t="s">
        <v>928</v>
      </c>
      <c r="H291" s="67" t="s">
        <v>772</v>
      </c>
      <c r="I291" s="449"/>
      <c r="J291" s="449"/>
      <c r="K291" s="440"/>
      <c r="L291" s="449"/>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hidden="1" customHeight="1">
      <c r="A292" s="343" t="str">
        <f>IF(B292&lt;&gt;"",IF(AND(B292='IN-TC'!$S$4,OR(TH!N292="1111",TH!O292="1111")),TH!D292,""),"")</f>
        <v/>
      </c>
      <c r="B292" s="63">
        <f t="shared" si="33"/>
        <v>1</v>
      </c>
      <c r="C292" s="64">
        <v>42391</v>
      </c>
      <c r="D292" s="64" t="s">
        <v>708</v>
      </c>
      <c r="E292" s="64">
        <v>42391</v>
      </c>
      <c r="F292" s="67" t="s">
        <v>765</v>
      </c>
      <c r="G292" s="67" t="s">
        <v>928</v>
      </c>
      <c r="H292" s="74" t="s">
        <v>726</v>
      </c>
      <c r="I292" s="447"/>
      <c r="J292" s="447"/>
      <c r="K292" s="438"/>
      <c r="L292" s="447"/>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hidden="1" customHeight="1">
      <c r="A293" s="343" t="str">
        <f>IF(B293&lt;&gt;"",IF(AND(B293='IN-TC'!$S$4,OR(TH!N293="1111",TH!O293="1111")),TH!D293,""),"")</f>
        <v/>
      </c>
      <c r="B293" s="63">
        <f t="shared" si="33"/>
        <v>1</v>
      </c>
      <c r="C293" s="64">
        <v>42391</v>
      </c>
      <c r="D293" s="64" t="s">
        <v>708</v>
      </c>
      <c r="E293" s="64">
        <v>42391</v>
      </c>
      <c r="F293" s="67" t="s">
        <v>766</v>
      </c>
      <c r="G293" s="67" t="s">
        <v>928</v>
      </c>
      <c r="H293" s="74" t="s">
        <v>737</v>
      </c>
      <c r="I293" s="447"/>
      <c r="J293" s="447"/>
      <c r="K293" s="438"/>
      <c r="L293" s="447"/>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hidden="1" customHeight="1">
      <c r="A294" s="343" t="str">
        <f>IF(B294&lt;&gt;"",IF(AND(B294='IN-TC'!$S$4,OR(TH!N294="1111",TH!O294="1111")),TH!D294,""),"")</f>
        <v/>
      </c>
      <c r="B294" s="63">
        <f t="shared" si="33"/>
        <v>1</v>
      </c>
      <c r="C294" s="64">
        <v>42391</v>
      </c>
      <c r="D294" s="64" t="s">
        <v>708</v>
      </c>
      <c r="E294" s="64">
        <v>42391</v>
      </c>
      <c r="F294" s="67" t="s">
        <v>767</v>
      </c>
      <c r="G294" s="67" t="s">
        <v>928</v>
      </c>
      <c r="H294" s="74" t="s">
        <v>738</v>
      </c>
      <c r="I294" s="447"/>
      <c r="J294" s="447"/>
      <c r="K294" s="438"/>
      <c r="L294" s="447"/>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hidden="1" customHeight="1">
      <c r="A295" s="343" t="str">
        <f>IF(B295&lt;&gt;"",IF(AND(B295='IN-TC'!$S$4,OR(TH!N295="1111",TH!O295="1111")),TH!D295,""),"")</f>
        <v/>
      </c>
      <c r="B295" s="63">
        <f t="shared" si="33"/>
        <v>1</v>
      </c>
      <c r="C295" s="64">
        <v>42391</v>
      </c>
      <c r="D295" s="64" t="s">
        <v>708</v>
      </c>
      <c r="E295" s="64">
        <v>42391</v>
      </c>
      <c r="F295" s="67" t="s">
        <v>768</v>
      </c>
      <c r="G295" s="67" t="s">
        <v>928</v>
      </c>
      <c r="H295" s="74" t="s">
        <v>739</v>
      </c>
      <c r="I295" s="447"/>
      <c r="J295" s="447"/>
      <c r="K295" s="438"/>
      <c r="L295" s="447"/>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hidden="1" customHeight="1">
      <c r="A296" s="343" t="str">
        <f>IF(B296&lt;&gt;"",IF(AND(B296='IN-TC'!$S$4,OR(TH!N296="1111",TH!O296="1111")),TH!D296,""),"")</f>
        <v/>
      </c>
      <c r="B296" s="63">
        <f t="shared" si="33"/>
        <v>1</v>
      </c>
      <c r="C296" s="64">
        <v>42392</v>
      </c>
      <c r="D296" s="64" t="s">
        <v>705</v>
      </c>
      <c r="E296" s="64">
        <v>42392</v>
      </c>
      <c r="F296" s="67" t="s">
        <v>746</v>
      </c>
      <c r="G296" s="67" t="s">
        <v>929</v>
      </c>
      <c r="H296" s="74"/>
      <c r="I296" s="447"/>
      <c r="J296" s="447"/>
      <c r="K296" s="438"/>
      <c r="L296" s="447"/>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x</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hidden="1" customHeight="1">
      <c r="A297" s="343" t="str">
        <f>IF(B297&lt;&gt;"",IF(AND(B297='IN-TC'!$S$4,OR(TH!N297="1111",TH!O297="1111")),TH!D297,""),"")</f>
        <v/>
      </c>
      <c r="B297" s="63">
        <f t="shared" si="33"/>
        <v>1</v>
      </c>
      <c r="C297" s="64">
        <v>42392</v>
      </c>
      <c r="D297" s="64" t="s">
        <v>705</v>
      </c>
      <c r="E297" s="64">
        <v>42392</v>
      </c>
      <c r="F297" s="67" t="s">
        <v>748</v>
      </c>
      <c r="G297" s="67" t="s">
        <v>928</v>
      </c>
      <c r="H297" s="67"/>
      <c r="I297" s="447"/>
      <c r="J297" s="447"/>
      <c r="K297" s="438"/>
      <c r="L297" s="447"/>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4" customFormat="1" ht="15.75" hidden="1" customHeight="1">
      <c r="A298" s="343" t="str">
        <f>IF(B298&lt;&gt;"",IF(AND(B298='IN-TC'!$S$4,OR(TH!N298="1111",TH!O298="1111")),TH!D298,""),"")</f>
        <v/>
      </c>
      <c r="B298" s="63">
        <f t="shared" si="33"/>
        <v>1</v>
      </c>
      <c r="C298" s="81">
        <f>E298</f>
        <v>42392</v>
      </c>
      <c r="D298" s="81" t="s">
        <v>914</v>
      </c>
      <c r="E298" s="81">
        <v>42392</v>
      </c>
      <c r="F298" s="82" t="s">
        <v>974</v>
      </c>
      <c r="G298" s="82"/>
      <c r="H298" s="83" t="s">
        <v>973</v>
      </c>
      <c r="I298" s="445"/>
      <c r="J298" s="445"/>
      <c r="K298" s="436"/>
      <c r="L298" s="445"/>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hidden="1" customHeight="1">
      <c r="A299" s="343" t="str">
        <f>IF(B299&lt;&gt;"",IF(AND(B299='IN-TC'!$S$4,OR(TH!N299="1111",TH!O299="1111")),TH!D299,""),"")</f>
        <v/>
      </c>
      <c r="B299" s="63">
        <f t="shared" si="33"/>
        <v>1</v>
      </c>
      <c r="C299" s="64">
        <v>42393</v>
      </c>
      <c r="D299" s="64" t="s">
        <v>915</v>
      </c>
      <c r="E299" s="64">
        <v>42393</v>
      </c>
      <c r="F299" s="67" t="s">
        <v>800</v>
      </c>
      <c r="G299" s="67" t="s">
        <v>847</v>
      </c>
      <c r="H299" s="74" t="s">
        <v>818</v>
      </c>
      <c r="I299" s="447"/>
      <c r="J299" s="447"/>
      <c r="K299" s="438"/>
      <c r="L299" s="447"/>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hidden="1" customHeight="1">
      <c r="A300" s="343" t="str">
        <f>IF(B300&lt;&gt;"",IF(AND(B300='IN-TC'!$S$4,OR(TH!N300="1111",TH!O300="1111")),TH!D300,""),"")</f>
        <v/>
      </c>
      <c r="B300" s="63">
        <f t="shared" si="33"/>
        <v>1</v>
      </c>
      <c r="C300" s="64">
        <v>42393</v>
      </c>
      <c r="D300" s="64" t="s">
        <v>915</v>
      </c>
      <c r="E300" s="64">
        <v>42393</v>
      </c>
      <c r="F300" s="67" t="s">
        <v>801</v>
      </c>
      <c r="G300" s="67" t="s">
        <v>847</v>
      </c>
      <c r="H300" s="353" t="s">
        <v>818</v>
      </c>
      <c r="I300" s="451"/>
      <c r="J300" s="451"/>
      <c r="K300" s="442"/>
      <c r="L300" s="451"/>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hidden="1" customHeight="1">
      <c r="A301" s="343" t="str">
        <f>IF(B301&lt;&gt;"",IF(AND(B301='IN-TC'!$S$4,OR(TH!N301="1111",TH!O301="1111")),TH!D301,""),"")</f>
        <v/>
      </c>
      <c r="B301" s="63">
        <f t="shared" si="33"/>
        <v>1</v>
      </c>
      <c r="C301" s="64">
        <v>42394</v>
      </c>
      <c r="D301" s="64" t="s">
        <v>708</v>
      </c>
      <c r="E301" s="64">
        <v>42394</v>
      </c>
      <c r="F301" s="67" t="s">
        <v>713</v>
      </c>
      <c r="G301" s="67" t="s">
        <v>929</v>
      </c>
      <c r="H301" s="74"/>
      <c r="I301" s="447"/>
      <c r="J301" s="447"/>
      <c r="K301" s="438">
        <v>15</v>
      </c>
      <c r="L301" s="447">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hidden="1" customHeight="1">
      <c r="A302" s="343" t="str">
        <f>IF(B302&lt;&gt;"",IF(AND(B302='IN-TC'!$S$4,OR(TH!N302="1111",TH!O302="1111")),TH!D302,""),"")</f>
        <v/>
      </c>
      <c r="B302" s="63">
        <f t="shared" si="33"/>
        <v>1</v>
      </c>
      <c r="C302" s="64">
        <v>42394</v>
      </c>
      <c r="D302" s="64" t="s">
        <v>708</v>
      </c>
      <c r="E302" s="64">
        <v>42394</v>
      </c>
      <c r="F302" s="67" t="s">
        <v>714</v>
      </c>
      <c r="G302" s="67" t="s">
        <v>929</v>
      </c>
      <c r="H302" s="74"/>
      <c r="I302" s="447"/>
      <c r="J302" s="447"/>
      <c r="K302" s="438">
        <v>1.5</v>
      </c>
      <c r="L302" s="447">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hidden="1" customHeight="1">
      <c r="A303" s="343" t="str">
        <f>IF(B303&lt;&gt;"",IF(AND(B303='IN-TC'!$S$4,OR(TH!N303="1111",TH!O303="1111")),TH!D303,""),"")</f>
        <v/>
      </c>
      <c r="B303" s="63">
        <f t="shared" si="33"/>
        <v>1</v>
      </c>
      <c r="C303" s="64">
        <v>42394</v>
      </c>
      <c r="D303" s="64" t="s">
        <v>917</v>
      </c>
      <c r="E303" s="64">
        <v>42394</v>
      </c>
      <c r="F303" s="67" t="s">
        <v>745</v>
      </c>
      <c r="G303" s="67" t="s">
        <v>929</v>
      </c>
      <c r="H303" s="74" t="s">
        <v>230</v>
      </c>
      <c r="I303" s="447"/>
      <c r="J303" s="447"/>
      <c r="K303" s="438"/>
      <c r="L303" s="447"/>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x</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hidden="1" customHeight="1">
      <c r="A304" s="343" t="str">
        <f>IF(B304&lt;&gt;"",IF(AND(B304='IN-TC'!$S$4,OR(TH!N304="1111",TH!O304="1111")),TH!D304,""),"")</f>
        <v/>
      </c>
      <c r="B304" s="63">
        <f t="shared" si="33"/>
        <v>1</v>
      </c>
      <c r="C304" s="64">
        <v>42394</v>
      </c>
      <c r="D304" s="64" t="s">
        <v>705</v>
      </c>
      <c r="E304" s="64">
        <v>42394</v>
      </c>
      <c r="F304" s="67" t="s">
        <v>707</v>
      </c>
      <c r="G304" s="67" t="s">
        <v>929</v>
      </c>
      <c r="H304" s="74"/>
      <c r="I304" s="447"/>
      <c r="J304" s="447"/>
      <c r="K304" s="438">
        <v>97000</v>
      </c>
      <c r="L304" s="447">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x</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hidden="1" customHeight="1">
      <c r="A305" s="343" t="str">
        <f>IF(B305&lt;&gt;"",IF(AND(B305='IN-TC'!$S$4,OR(TH!N305="1111",TH!O305="1111")),TH!D305,""),"")</f>
        <v/>
      </c>
      <c r="B305" s="63">
        <f t="shared" si="33"/>
        <v>1</v>
      </c>
      <c r="C305" s="64">
        <v>42394</v>
      </c>
      <c r="D305" s="64" t="s">
        <v>708</v>
      </c>
      <c r="E305" s="64">
        <v>42394</v>
      </c>
      <c r="F305" s="67" t="s">
        <v>758</v>
      </c>
      <c r="G305" s="67" t="s">
        <v>929</v>
      </c>
      <c r="H305" s="353" t="s">
        <v>724</v>
      </c>
      <c r="I305" s="447"/>
      <c r="J305" s="447"/>
      <c r="K305" s="438"/>
      <c r="L305" s="447"/>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x</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hidden="1" customHeight="1">
      <c r="A306" s="343" t="str">
        <f>IF(B306&lt;&gt;"",IF(AND(B306='IN-TC'!$S$4,OR(TH!N306="1111",TH!O306="1111")),TH!D306,""),"")</f>
        <v/>
      </c>
      <c r="B306" s="63">
        <f t="shared" si="33"/>
        <v>1</v>
      </c>
      <c r="C306" s="64">
        <v>42394</v>
      </c>
      <c r="D306" s="64" t="s">
        <v>708</v>
      </c>
      <c r="E306" s="64">
        <v>42394</v>
      </c>
      <c r="F306" s="352" t="s">
        <v>723</v>
      </c>
      <c r="G306" s="67" t="s">
        <v>929</v>
      </c>
      <c r="H306" s="353" t="s">
        <v>724</v>
      </c>
      <c r="I306" s="451"/>
      <c r="J306" s="451"/>
      <c r="K306" s="442">
        <v>97000</v>
      </c>
      <c r="L306" s="451">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hidden="1" customHeight="1">
      <c r="A307" s="343" t="str">
        <f>IF(B307&lt;&gt;"",IF(AND(B307='IN-TC'!$S$4,OR(TH!N307="1111",TH!O307="1111")),TH!D307,""),"")</f>
        <v/>
      </c>
      <c r="B307" s="63">
        <f t="shared" si="33"/>
        <v>1</v>
      </c>
      <c r="C307" s="64">
        <v>42394</v>
      </c>
      <c r="D307" s="64" t="s">
        <v>585</v>
      </c>
      <c r="E307" s="64">
        <v>42394</v>
      </c>
      <c r="F307" s="352" t="s">
        <v>742</v>
      </c>
      <c r="G307" s="67" t="s">
        <v>929</v>
      </c>
      <c r="H307" s="353" t="s">
        <v>724</v>
      </c>
      <c r="I307" s="447"/>
      <c r="J307" s="447"/>
      <c r="K307" s="438"/>
      <c r="L307" s="447"/>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hidden="1" customHeight="1">
      <c r="A308" s="343" t="str">
        <f>IF(B308&lt;&gt;"",IF(AND(B308='IN-TC'!$S$4,OR(TH!N308="1111",TH!O308="1111")),TH!D308,""),"")</f>
        <v/>
      </c>
      <c r="B308" s="63">
        <f t="shared" si="33"/>
        <v>1</v>
      </c>
      <c r="C308" s="349">
        <v>42394</v>
      </c>
      <c r="D308" s="64" t="s">
        <v>708</v>
      </c>
      <c r="E308" s="64">
        <v>42394</v>
      </c>
      <c r="F308" s="67" t="s">
        <v>709</v>
      </c>
      <c r="G308" s="67" t="s">
        <v>929</v>
      </c>
      <c r="H308" s="74" t="s">
        <v>744</v>
      </c>
      <c r="I308" s="447"/>
      <c r="J308" s="447"/>
      <c r="K308" s="438">
        <v>97000</v>
      </c>
      <c r="L308" s="447">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hidden="1" customHeight="1">
      <c r="A309" s="343" t="str">
        <f>IF(B309&lt;&gt;"",IF(AND(B309='IN-TC'!$S$4,OR(TH!N309="1111",TH!O309="1111")),TH!D309,""),"")</f>
        <v/>
      </c>
      <c r="B309" s="63">
        <f t="shared" si="33"/>
        <v>1</v>
      </c>
      <c r="C309" s="64">
        <v>42394</v>
      </c>
      <c r="D309" s="64" t="s">
        <v>705</v>
      </c>
      <c r="E309" s="64">
        <v>42394</v>
      </c>
      <c r="F309" s="67" t="s">
        <v>715</v>
      </c>
      <c r="G309" s="67" t="s">
        <v>929</v>
      </c>
      <c r="H309" s="74"/>
      <c r="I309" s="447"/>
      <c r="J309" s="447"/>
      <c r="K309" s="438">
        <v>97000</v>
      </c>
      <c r="L309" s="447">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x</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hidden="1" customHeight="1">
      <c r="A310" s="343" t="str">
        <f>IF(B310&lt;&gt;"",IF(AND(B310='IN-TC'!$S$4,OR(TH!N310="1111",TH!O310="1111")),TH!D310,""),"")</f>
        <v/>
      </c>
      <c r="B310" s="63">
        <f t="shared" si="33"/>
        <v>1</v>
      </c>
      <c r="C310" s="64">
        <v>42394</v>
      </c>
      <c r="D310" s="64" t="s">
        <v>916</v>
      </c>
      <c r="E310" s="64">
        <v>42394</v>
      </c>
      <c r="F310" s="67" t="s">
        <v>754</v>
      </c>
      <c r="G310" s="67" t="s">
        <v>929</v>
      </c>
      <c r="H310" s="75" t="s">
        <v>772</v>
      </c>
      <c r="I310" s="451"/>
      <c r="J310" s="451"/>
      <c r="K310" s="442"/>
      <c r="L310" s="451"/>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x</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hidden="1" customHeight="1">
      <c r="A311" s="343" t="str">
        <f>IF(B311&lt;&gt;"",IF(AND(B311='IN-TC'!$S$4,OR(TH!N311="1111",TH!O311="1111")),TH!D311,""),"")</f>
        <v/>
      </c>
      <c r="B311" s="63">
        <f t="shared" si="33"/>
        <v>1</v>
      </c>
      <c r="C311" s="64">
        <v>42394</v>
      </c>
      <c r="D311" s="64" t="s">
        <v>918</v>
      </c>
      <c r="E311" s="64">
        <v>42394</v>
      </c>
      <c r="F311" s="67" t="s">
        <v>802</v>
      </c>
      <c r="G311" s="67" t="s">
        <v>848</v>
      </c>
      <c r="H311" s="74" t="s">
        <v>849</v>
      </c>
      <c r="I311" s="447"/>
      <c r="J311" s="447"/>
      <c r="K311" s="438"/>
      <c r="L311" s="447"/>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hidden="1" customHeight="1">
      <c r="A312" s="343" t="str">
        <f>IF(B312&lt;&gt;"",IF(AND(B312='IN-TC'!$S$4,OR(TH!N312="1111",TH!O312="1111")),TH!D312,""),"")</f>
        <v/>
      </c>
      <c r="B312" s="63">
        <f t="shared" si="33"/>
        <v>1</v>
      </c>
      <c r="C312" s="64">
        <v>42394</v>
      </c>
      <c r="D312" s="64" t="s">
        <v>918</v>
      </c>
      <c r="E312" s="64">
        <v>42394</v>
      </c>
      <c r="F312" s="67" t="s">
        <v>803</v>
      </c>
      <c r="G312" s="67" t="s">
        <v>848</v>
      </c>
      <c r="H312" s="74" t="s">
        <v>849</v>
      </c>
      <c r="I312" s="447"/>
      <c r="J312" s="447"/>
      <c r="K312" s="438"/>
      <c r="L312" s="447"/>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hidden="1" customHeight="1">
      <c r="A313" s="343" t="str">
        <f>IF(B313&lt;&gt;"",IF(AND(B313='IN-TC'!$S$4,OR(TH!N313="1111",TH!O313="1111")),TH!D313,""),"")</f>
        <v/>
      </c>
      <c r="B313" s="63">
        <f t="shared" si="33"/>
        <v>1</v>
      </c>
      <c r="C313" s="64">
        <v>42395</v>
      </c>
      <c r="D313" s="64" t="s">
        <v>921</v>
      </c>
      <c r="E313" s="64">
        <v>42395</v>
      </c>
      <c r="F313" s="67" t="s">
        <v>745</v>
      </c>
      <c r="G313" s="67" t="s">
        <v>929</v>
      </c>
      <c r="H313" s="74" t="s">
        <v>773</v>
      </c>
      <c r="I313" s="8"/>
      <c r="J313" s="8"/>
      <c r="K313" s="438"/>
      <c r="L313" s="447"/>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x</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hidden="1" customHeight="1">
      <c r="A314" s="343" t="str">
        <f>IF(B314&lt;&gt;"",IF(AND(B314='IN-TC'!$S$4,OR(TH!N314="1111",TH!O314="1111")),TH!D314,""),"")</f>
        <v/>
      </c>
      <c r="B314" s="63">
        <f t="shared" si="33"/>
        <v>1</v>
      </c>
      <c r="C314" s="64">
        <v>42395</v>
      </c>
      <c r="D314" s="64" t="s">
        <v>708</v>
      </c>
      <c r="E314" s="64">
        <v>42395</v>
      </c>
      <c r="F314" s="67" t="s">
        <v>759</v>
      </c>
      <c r="G314" s="67" t="s">
        <v>929</v>
      </c>
      <c r="H314" s="520" t="s">
        <v>730</v>
      </c>
      <c r="I314" s="447"/>
      <c r="J314" s="447"/>
      <c r="K314" s="438"/>
      <c r="L314" s="447"/>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x</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hidden="1" customHeight="1">
      <c r="A315" s="343" t="str">
        <f>IF(B315&lt;&gt;"",IF(AND(B315='IN-TC'!$S$4,OR(TH!N315="1111",TH!O315="1111")),TH!D315,""),"")</f>
        <v/>
      </c>
      <c r="B315" s="63">
        <f t="shared" si="33"/>
        <v>1</v>
      </c>
      <c r="C315" s="64">
        <v>42395</v>
      </c>
      <c r="D315" s="64" t="s">
        <v>708</v>
      </c>
      <c r="E315" s="64">
        <v>42395</v>
      </c>
      <c r="F315" s="520" t="s">
        <v>760</v>
      </c>
      <c r="G315" s="67" t="s">
        <v>929</v>
      </c>
      <c r="H315" s="520" t="s">
        <v>733</v>
      </c>
      <c r="I315" s="447"/>
      <c r="J315" s="447"/>
      <c r="K315" s="438"/>
      <c r="L315" s="447"/>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x</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hidden="1" customHeight="1">
      <c r="A316" s="343" t="str">
        <f>IF(B316&lt;&gt;"",IF(AND(B316='IN-TC'!$S$4,OR(TH!N316="1111",TH!O316="1111")),TH!D316,""),"")</f>
        <v/>
      </c>
      <c r="B316" s="63">
        <f t="shared" si="33"/>
        <v>1</v>
      </c>
      <c r="C316" s="64">
        <v>42395</v>
      </c>
      <c r="D316" s="64" t="s">
        <v>708</v>
      </c>
      <c r="E316" s="64">
        <v>42395</v>
      </c>
      <c r="F316" s="520" t="s">
        <v>761</v>
      </c>
      <c r="G316" s="67" t="s">
        <v>929</v>
      </c>
      <c r="H316" s="520" t="s">
        <v>734</v>
      </c>
      <c r="I316" s="451"/>
      <c r="J316" s="447"/>
      <c r="K316" s="442"/>
      <c r="L316" s="451"/>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x</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hidden="1" customHeight="1">
      <c r="A317" s="343" t="str">
        <f>IF(B317&lt;&gt;"",IF(AND(B317='IN-TC'!$S$4,OR(TH!N317="1111",TH!O317="1111")),TH!D317,""),"")</f>
        <v/>
      </c>
      <c r="B317" s="63">
        <f t="shared" si="33"/>
        <v>1</v>
      </c>
      <c r="C317" s="64">
        <v>42395</v>
      </c>
      <c r="D317" s="64" t="s">
        <v>708</v>
      </c>
      <c r="E317" s="64">
        <v>42395</v>
      </c>
      <c r="F317" s="520" t="s">
        <v>762</v>
      </c>
      <c r="G317" s="67" t="s">
        <v>929</v>
      </c>
      <c r="H317" s="520" t="s">
        <v>741</v>
      </c>
      <c r="I317" s="447"/>
      <c r="J317" s="447"/>
      <c r="K317" s="438"/>
      <c r="L317" s="447"/>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x</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hidden="1" customHeight="1">
      <c r="A318" s="343" t="str">
        <f>IF(B318&lt;&gt;"",IF(AND(B318='IN-TC'!$S$4,OR(TH!N318="1111",TH!O318="1111")),TH!D318,""),"")</f>
        <v/>
      </c>
      <c r="B318" s="63">
        <f t="shared" si="33"/>
        <v>1</v>
      </c>
      <c r="C318" s="64">
        <v>42395</v>
      </c>
      <c r="D318" s="64" t="s">
        <v>708</v>
      </c>
      <c r="E318" s="64">
        <v>42395</v>
      </c>
      <c r="F318" s="520" t="s">
        <v>763</v>
      </c>
      <c r="G318" s="67" t="s">
        <v>929</v>
      </c>
      <c r="H318" s="520" t="s">
        <v>735</v>
      </c>
      <c r="I318" s="447"/>
      <c r="J318" s="447"/>
      <c r="K318" s="438"/>
      <c r="L318" s="447"/>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x</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hidden="1" customHeight="1">
      <c r="A319" s="343" t="str">
        <f>IF(B319&lt;&gt;"",IF(AND(B319='IN-TC'!$S$4,OR(TH!N319="1111",TH!O319="1111")),TH!D319,""),"")</f>
        <v/>
      </c>
      <c r="B319" s="63">
        <f t="shared" si="33"/>
        <v>1</v>
      </c>
      <c r="C319" s="64">
        <v>42396</v>
      </c>
      <c r="D319" s="64" t="s">
        <v>705</v>
      </c>
      <c r="E319" s="64">
        <v>42396</v>
      </c>
      <c r="F319" s="67" t="s">
        <v>710</v>
      </c>
      <c r="G319" s="67" t="s">
        <v>929</v>
      </c>
      <c r="H319" s="74" t="s">
        <v>601</v>
      </c>
      <c r="I319" s="447"/>
      <c r="J319" s="447"/>
      <c r="K319" s="438">
        <v>39553.120000000003</v>
      </c>
      <c r="L319" s="447">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8" customFormat="1" ht="15.75" hidden="1" customHeight="1">
      <c r="A320" s="343" t="str">
        <f>IF(B320&lt;&gt;"",IF(AND(B320='IN-TC'!$S$4,OR(TH!N320="1111",TH!O320="1111")),TH!D320,""),"")</f>
        <v/>
      </c>
      <c r="B320" s="63">
        <f t="shared" si="33"/>
        <v>1</v>
      </c>
      <c r="C320" s="64">
        <f>E320</f>
        <v>42396</v>
      </c>
      <c r="D320" s="64" t="s">
        <v>585</v>
      </c>
      <c r="E320" s="64">
        <v>42396</v>
      </c>
      <c r="F320" s="67" t="s">
        <v>617</v>
      </c>
      <c r="G320" s="67" t="s">
        <v>929</v>
      </c>
      <c r="H320" s="74" t="s">
        <v>601</v>
      </c>
      <c r="I320" s="447"/>
      <c r="J320" s="447"/>
      <c r="K320" s="438">
        <v>11</v>
      </c>
      <c r="L320" s="447">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8" customFormat="1" ht="15.75" hidden="1" customHeight="1">
      <c r="A321" s="343" t="str">
        <f>IF(B321&lt;&gt;"",IF(AND(B321='IN-TC'!$S$4,OR(TH!N321="1111",TH!O321="1111")),TH!D321,""),"")</f>
        <v/>
      </c>
      <c r="B321" s="63">
        <f t="shared" si="33"/>
        <v>1</v>
      </c>
      <c r="C321" s="64">
        <f>E321</f>
        <v>42396</v>
      </c>
      <c r="D321" s="64" t="s">
        <v>585</v>
      </c>
      <c r="E321" s="64">
        <v>42396</v>
      </c>
      <c r="F321" s="67" t="s">
        <v>618</v>
      </c>
      <c r="G321" s="67" t="s">
        <v>929</v>
      </c>
      <c r="H321" s="74" t="s">
        <v>601</v>
      </c>
      <c r="I321" s="447"/>
      <c r="J321" s="447"/>
      <c r="K321" s="438">
        <v>30.38</v>
      </c>
      <c r="L321" s="447">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8" customFormat="1" ht="15.75" hidden="1" customHeight="1">
      <c r="A322" s="343" t="str">
        <f>IF(B322&lt;&gt;"",IF(AND(B322='IN-TC'!$S$4,OR(TH!N322="1111",TH!O322="1111")),TH!D322,""),"")</f>
        <v/>
      </c>
      <c r="B322" s="63">
        <f t="shared" si="33"/>
        <v>1</v>
      </c>
      <c r="C322" s="64">
        <f>E322</f>
        <v>42396</v>
      </c>
      <c r="D322" s="64" t="s">
        <v>585</v>
      </c>
      <c r="E322" s="64">
        <v>42396</v>
      </c>
      <c r="F322" s="69" t="s">
        <v>619</v>
      </c>
      <c r="G322" s="67" t="s">
        <v>929</v>
      </c>
      <c r="H322" s="73" t="s">
        <v>601</v>
      </c>
      <c r="I322" s="448"/>
      <c r="J322" s="448"/>
      <c r="K322" s="439">
        <v>5.5</v>
      </c>
      <c r="L322" s="448">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hidden="1" customHeight="1">
      <c r="A323" s="343" t="str">
        <f>IF(B323&lt;&gt;"",IF(AND(B323='IN-TC'!$S$4,OR(TH!N323="1111",TH!O323="1111")),TH!D323,""),"")</f>
        <v/>
      </c>
      <c r="B323" s="63">
        <f t="shared" si="33"/>
        <v>1</v>
      </c>
      <c r="C323" s="64">
        <v>42396</v>
      </c>
      <c r="D323" s="64" t="s">
        <v>708</v>
      </c>
      <c r="E323" s="64">
        <v>42396</v>
      </c>
      <c r="F323" s="67" t="s">
        <v>715</v>
      </c>
      <c r="G323" s="67" t="s">
        <v>929</v>
      </c>
      <c r="H323" s="74"/>
      <c r="I323" s="447"/>
      <c r="J323" s="447"/>
      <c r="K323" s="438">
        <v>39400</v>
      </c>
      <c r="L323" s="447">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x</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hidden="1" customHeight="1">
      <c r="A324" s="343" t="str">
        <f>IF(B324&lt;&gt;"",IF(AND(B324='IN-TC'!$S$4,OR(TH!N324="1111",TH!O324="1111")),TH!D324,""),"")</f>
        <v/>
      </c>
      <c r="B324" s="63">
        <f t="shared" si="33"/>
        <v>1</v>
      </c>
      <c r="C324" s="64">
        <v>42396</v>
      </c>
      <c r="D324" s="64" t="s">
        <v>919</v>
      </c>
      <c r="E324" s="64">
        <v>42396</v>
      </c>
      <c r="F324" s="520" t="s">
        <v>754</v>
      </c>
      <c r="G324" s="67" t="s">
        <v>929</v>
      </c>
      <c r="H324" s="75" t="s">
        <v>772</v>
      </c>
      <c r="I324" s="450"/>
      <c r="J324" s="447"/>
      <c r="K324" s="441"/>
      <c r="L324" s="450"/>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x</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hidden="1" customHeight="1">
      <c r="A325" s="343" t="str">
        <f>IF(B325&lt;&gt;"",IF(AND(B325='IN-TC'!$S$4,OR(TH!N325="1111",TH!O325="1111")),TH!D325,""),"")</f>
        <v/>
      </c>
      <c r="B325" s="63">
        <f t="shared" si="33"/>
        <v>1</v>
      </c>
      <c r="C325" s="64">
        <v>42396</v>
      </c>
      <c r="D325" s="64" t="s">
        <v>708</v>
      </c>
      <c r="E325" s="64">
        <v>42396</v>
      </c>
      <c r="F325" s="520" t="s">
        <v>1106</v>
      </c>
      <c r="G325" s="67" t="s">
        <v>929</v>
      </c>
      <c r="H325" s="520" t="s">
        <v>635</v>
      </c>
      <c r="I325" s="447"/>
      <c r="J325" s="447"/>
      <c r="K325" s="438"/>
      <c r="L325" s="447"/>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x</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hidden="1" customHeight="1">
      <c r="A326" s="343" t="str">
        <f>IF(B326&lt;&gt;"",IF(AND(B326='IN-TC'!$S$4,OR(TH!N326="1111",TH!O326="1111")),TH!D326,""),"")</f>
        <v/>
      </c>
      <c r="B326" s="63">
        <f t="shared" si="33"/>
        <v>1</v>
      </c>
      <c r="C326" s="64">
        <v>42396</v>
      </c>
      <c r="D326" s="64" t="s">
        <v>708</v>
      </c>
      <c r="E326" s="64">
        <v>42396</v>
      </c>
      <c r="F326" s="520" t="s">
        <v>751</v>
      </c>
      <c r="G326" s="67" t="s">
        <v>929</v>
      </c>
      <c r="H326" s="520"/>
      <c r="I326" s="447"/>
      <c r="J326" s="447"/>
      <c r="K326" s="438"/>
      <c r="L326" s="447"/>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x</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hidden="1" customHeight="1">
      <c r="A327" s="343" t="str">
        <f>IF(B327&lt;&gt;"",IF(AND(B327='IN-TC'!$S$4,OR(TH!N327="1111",TH!O327="1111")),TH!D327,""),"")</f>
        <v/>
      </c>
      <c r="B327" s="63">
        <f t="shared" si="33"/>
        <v>1</v>
      </c>
      <c r="C327" s="64">
        <v>42396</v>
      </c>
      <c r="D327" s="64" t="s">
        <v>708</v>
      </c>
      <c r="E327" s="64">
        <v>42396</v>
      </c>
      <c r="F327" s="67" t="s">
        <v>753</v>
      </c>
      <c r="G327" s="67" t="s">
        <v>929</v>
      </c>
      <c r="H327" s="870"/>
      <c r="I327" s="451"/>
      <c r="J327" s="451"/>
      <c r="K327" s="442"/>
      <c r="L327" s="451"/>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x</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hidden="1" customHeight="1">
      <c r="A328" s="343" t="str">
        <f>IF(B328&lt;&gt;"",IF(AND(B328='IN-TC'!$S$4,OR(TH!N328="1111",TH!O328="1111")),TH!D328,""),"")</f>
        <v/>
      </c>
      <c r="B328" s="63">
        <f t="shared" si="33"/>
        <v>1</v>
      </c>
      <c r="C328" s="81">
        <f>E328</f>
        <v>42396</v>
      </c>
      <c r="D328" s="81" t="s">
        <v>922</v>
      </c>
      <c r="E328" s="81">
        <v>42396</v>
      </c>
      <c r="F328" s="82" t="s">
        <v>974</v>
      </c>
      <c r="G328" s="82"/>
      <c r="H328" s="83" t="s">
        <v>973</v>
      </c>
      <c r="I328" s="445"/>
      <c r="J328" s="445"/>
      <c r="K328" s="436"/>
      <c r="L328" s="445"/>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hidden="1" customHeight="1">
      <c r="A329" s="343" t="str">
        <f>IF(B329&lt;&gt;"",IF(AND(B329='IN-TC'!$S$4,OR(TH!N329="1111",TH!O329="1111")),TH!D329,""),"")</f>
        <v/>
      </c>
      <c r="B329" s="63">
        <f t="shared" si="33"/>
        <v>1</v>
      </c>
      <c r="C329" s="64">
        <v>42397</v>
      </c>
      <c r="D329" s="64" t="s">
        <v>705</v>
      </c>
      <c r="E329" s="64">
        <v>42397</v>
      </c>
      <c r="F329" s="67" t="s">
        <v>711</v>
      </c>
      <c r="G329" s="67" t="s">
        <v>929</v>
      </c>
      <c r="H329" s="74" t="s">
        <v>604</v>
      </c>
      <c r="I329" s="447"/>
      <c r="J329" s="447"/>
      <c r="K329" s="438">
        <v>71518.62</v>
      </c>
      <c r="L329" s="447">
        <v>22300</v>
      </c>
      <c r="M329" s="84">
        <f t="shared" ref="M329:M335" si="34">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8" customFormat="1" ht="15.75" hidden="1" customHeight="1">
      <c r="A330" s="343" t="str">
        <f>IF(B330&lt;&gt;"",IF(AND(B330='IN-TC'!$S$4,OR(TH!N330="1111",TH!O330="1111")),TH!D330,""),"")</f>
        <v/>
      </c>
      <c r="B330" s="63">
        <f t="shared" si="33"/>
        <v>1</v>
      </c>
      <c r="C330" s="64">
        <f>E330</f>
        <v>42397</v>
      </c>
      <c r="D330" s="64" t="s">
        <v>585</v>
      </c>
      <c r="E330" s="64">
        <v>42397</v>
      </c>
      <c r="F330" s="67" t="s">
        <v>617</v>
      </c>
      <c r="G330" s="67" t="s">
        <v>929</v>
      </c>
      <c r="H330" s="74" t="s">
        <v>604</v>
      </c>
      <c r="I330" s="447"/>
      <c r="J330" s="447"/>
      <c r="K330" s="438">
        <v>11</v>
      </c>
      <c r="L330" s="447">
        <v>22310</v>
      </c>
      <c r="M330" s="65">
        <f t="shared" si="34"/>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8" customFormat="1" ht="15.75" hidden="1" customHeight="1">
      <c r="A331" s="343" t="str">
        <f>IF(B331&lt;&gt;"",IF(AND(B331='IN-TC'!$S$4,OR(TH!N331="1111",TH!O331="1111")),TH!D331,""),"")</f>
        <v/>
      </c>
      <c r="B331" s="63">
        <f t="shared" ref="B331:B394" si="35">IF(C331&lt;&gt;"",MONTH(C331),"")</f>
        <v>1</v>
      </c>
      <c r="C331" s="64">
        <f>E331</f>
        <v>42397</v>
      </c>
      <c r="D331" s="64" t="s">
        <v>585</v>
      </c>
      <c r="E331" s="64">
        <v>42397</v>
      </c>
      <c r="F331" s="67" t="s">
        <v>618</v>
      </c>
      <c r="G331" s="67" t="s">
        <v>929</v>
      </c>
      <c r="H331" s="74" t="s">
        <v>604</v>
      </c>
      <c r="I331" s="447"/>
      <c r="J331" s="447"/>
      <c r="K331" s="438">
        <v>30.38</v>
      </c>
      <c r="L331" s="447">
        <v>22310</v>
      </c>
      <c r="M331" s="65">
        <f t="shared" si="34"/>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hidden="1" customHeight="1">
      <c r="A332" s="343" t="str">
        <f>IF(B332&lt;&gt;"",IF(AND(B332='IN-TC'!$S$4,OR(TH!N332="1111",TH!O332="1111")),TH!D332,""),"")</f>
        <v/>
      </c>
      <c r="B332" s="63">
        <f t="shared" si="35"/>
        <v>1</v>
      </c>
      <c r="C332" s="64">
        <v>42398</v>
      </c>
      <c r="D332" s="64" t="s">
        <v>708</v>
      </c>
      <c r="E332" s="64">
        <v>42398</v>
      </c>
      <c r="F332" s="67" t="s">
        <v>706</v>
      </c>
      <c r="G332" s="67" t="s">
        <v>935</v>
      </c>
      <c r="H332" s="353"/>
      <c r="I332" s="451"/>
      <c r="J332" s="451"/>
      <c r="K332" s="442">
        <v>52300</v>
      </c>
      <c r="L332" s="451">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hidden="1" customHeight="1">
      <c r="A333" s="343" t="str">
        <f>IF(B333&lt;&gt;"",IF(AND(B333='IN-TC'!$S$4,OR(TH!N333="1111",TH!O333="1111")),TH!D333,""),"")</f>
        <v/>
      </c>
      <c r="B333" s="63">
        <f t="shared" si="35"/>
        <v>1</v>
      </c>
      <c r="C333" s="64">
        <v>42398</v>
      </c>
      <c r="D333" s="64" t="s">
        <v>708</v>
      </c>
      <c r="E333" s="64">
        <v>42398</v>
      </c>
      <c r="F333" s="67" t="s">
        <v>715</v>
      </c>
      <c r="G333" s="67" t="s">
        <v>929</v>
      </c>
      <c r="H333" s="74"/>
      <c r="I333" s="447"/>
      <c r="J333" s="447"/>
      <c r="K333" s="438">
        <v>19400</v>
      </c>
      <c r="L333" s="447">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x</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hidden="1" customHeight="1">
      <c r="A334" s="343" t="str">
        <f>IF(B334&lt;&gt;"",IF(AND(B334='IN-TC'!$S$4,OR(TH!N334="1111",TH!O334="1111")),TH!D334,""),"")</f>
        <v/>
      </c>
      <c r="B334" s="63">
        <f t="shared" si="35"/>
        <v>1</v>
      </c>
      <c r="C334" s="64">
        <v>42398</v>
      </c>
      <c r="D334" s="64" t="s">
        <v>708</v>
      </c>
      <c r="E334" s="64">
        <v>42398</v>
      </c>
      <c r="F334" s="67" t="s">
        <v>725</v>
      </c>
      <c r="G334" s="67" t="s">
        <v>928</v>
      </c>
      <c r="H334" s="74" t="s">
        <v>726</v>
      </c>
      <c r="I334" s="447"/>
      <c r="J334" s="447"/>
      <c r="K334" s="438">
        <v>52300</v>
      </c>
      <c r="L334" s="447">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hidden="1" customHeight="1">
      <c r="A335" s="343" t="str">
        <f>IF(B335&lt;&gt;"",IF(AND(B335='IN-TC'!$S$4,OR(TH!N335="1111",TH!O335="1111")),TH!D335,""),"")</f>
        <v/>
      </c>
      <c r="B335" s="63">
        <f t="shared" si="35"/>
        <v>1</v>
      </c>
      <c r="C335" s="64">
        <v>42398</v>
      </c>
      <c r="D335" s="64" t="s">
        <v>708</v>
      </c>
      <c r="E335" s="64">
        <v>42398</v>
      </c>
      <c r="F335" s="67" t="s">
        <v>727</v>
      </c>
      <c r="G335" s="67" t="s">
        <v>928</v>
      </c>
      <c r="H335" s="74" t="s">
        <v>726</v>
      </c>
      <c r="I335" s="447"/>
      <c r="J335" s="447"/>
      <c r="K335" s="438">
        <v>81.36</v>
      </c>
      <c r="L335" s="447">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hidden="1" customHeight="1">
      <c r="A336" s="343" t="str">
        <f>IF(B336&lt;&gt;"",IF(AND(B336='IN-TC'!$S$4,OR(TH!N336="1111",TH!O336="1111")),TH!D336,""),"")</f>
        <v/>
      </c>
      <c r="B336" s="63">
        <f t="shared" si="35"/>
        <v>1</v>
      </c>
      <c r="C336" s="64">
        <v>42398</v>
      </c>
      <c r="D336" s="64" t="s">
        <v>585</v>
      </c>
      <c r="E336" s="64">
        <v>42398</v>
      </c>
      <c r="F336" s="352" t="s">
        <v>743</v>
      </c>
      <c r="G336" s="67" t="s">
        <v>928</v>
      </c>
      <c r="H336" s="74" t="s">
        <v>726</v>
      </c>
      <c r="I336" s="447"/>
      <c r="J336" s="447"/>
      <c r="K336" s="438"/>
      <c r="L336" s="447"/>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hidden="1" customHeight="1">
      <c r="A337" s="343" t="str">
        <f>IF(B337&lt;&gt;"",IF(AND(B337='IN-TC'!$S$4,OR(TH!N337="1111",TH!O337="1111")),TH!D337,""),"")</f>
        <v/>
      </c>
      <c r="B337" s="63">
        <f t="shared" si="35"/>
        <v>1</v>
      </c>
      <c r="C337" s="95">
        <v>42398</v>
      </c>
      <c r="D337" s="95" t="s">
        <v>585</v>
      </c>
      <c r="E337" s="95">
        <v>42398</v>
      </c>
      <c r="F337" s="96" t="s">
        <v>771</v>
      </c>
      <c r="G337" s="96"/>
      <c r="H337" s="97"/>
      <c r="I337" s="453"/>
      <c r="J337" s="453"/>
      <c r="K337" s="444"/>
      <c r="L337" s="453"/>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hidden="1" customHeight="1">
      <c r="A338" s="343" t="str">
        <f>IF(B338&lt;&gt;"",IF(AND(B338='IN-TC'!$S$4,OR(TH!N338="1111",TH!O338="1111")),TH!D338,""),"")</f>
        <v/>
      </c>
      <c r="B338" s="63">
        <f t="shared" si="35"/>
        <v>1</v>
      </c>
      <c r="C338" s="64">
        <v>42398</v>
      </c>
      <c r="D338" s="64" t="s">
        <v>705</v>
      </c>
      <c r="E338" s="64">
        <v>42398</v>
      </c>
      <c r="F338" s="67" t="s">
        <v>749</v>
      </c>
      <c r="G338" s="67" t="s">
        <v>928</v>
      </c>
      <c r="H338" s="67" t="s">
        <v>750</v>
      </c>
      <c r="I338" s="447"/>
      <c r="J338" s="447"/>
      <c r="K338" s="438">
        <v>52300</v>
      </c>
      <c r="L338" s="447">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hidden="1" customHeight="1">
      <c r="A339" s="343" t="str">
        <f>IF(B339&lt;&gt;"",IF(AND(B339='IN-TC'!$S$4,OR(TH!N339="1111",TH!O339="1111")),TH!D339,""),"")</f>
        <v/>
      </c>
      <c r="B339" s="63">
        <f t="shared" si="35"/>
        <v>1</v>
      </c>
      <c r="C339" s="64">
        <v>42398</v>
      </c>
      <c r="D339" s="64" t="s">
        <v>923</v>
      </c>
      <c r="E339" s="64">
        <v>42398</v>
      </c>
      <c r="F339" s="67" t="s">
        <v>747</v>
      </c>
      <c r="G339" s="67" t="s">
        <v>928</v>
      </c>
      <c r="H339" s="67" t="s">
        <v>772</v>
      </c>
      <c r="I339" s="447"/>
      <c r="J339" s="447"/>
      <c r="K339" s="438"/>
      <c r="L339" s="447"/>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hidden="1" customHeight="1">
      <c r="A340" s="343" t="str">
        <f>IF(B340&lt;&gt;"",IF(AND(B340='IN-TC'!$S$4,OR(TH!N340="1111",TH!O340="1111")),TH!D340,""),"")</f>
        <v/>
      </c>
      <c r="B340" s="63">
        <f t="shared" si="35"/>
        <v>1</v>
      </c>
      <c r="C340" s="64">
        <v>42398</v>
      </c>
      <c r="D340" s="64" t="s">
        <v>920</v>
      </c>
      <c r="E340" s="64">
        <v>42398</v>
      </c>
      <c r="F340" s="67" t="s">
        <v>754</v>
      </c>
      <c r="G340" s="67" t="s">
        <v>929</v>
      </c>
      <c r="H340" s="75" t="s">
        <v>772</v>
      </c>
      <c r="I340" s="447"/>
      <c r="J340" s="447"/>
      <c r="K340" s="438"/>
      <c r="L340" s="447"/>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x</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hidden="1" customHeight="1">
      <c r="A341" s="343" t="str">
        <f>IF(B341&lt;&gt;"",IF(AND(B341='IN-TC'!$S$4,OR(TH!N341="1111",TH!O341="1111")),TH!D341,""),"")</f>
        <v/>
      </c>
      <c r="B341" s="63">
        <f t="shared" si="35"/>
        <v>1</v>
      </c>
      <c r="C341" s="64">
        <v>42398</v>
      </c>
      <c r="D341" s="64" t="s">
        <v>927</v>
      </c>
      <c r="E341" s="64">
        <v>42398</v>
      </c>
      <c r="F341" s="67" t="s">
        <v>764</v>
      </c>
      <c r="G341" s="67" t="s">
        <v>928</v>
      </c>
      <c r="H341" s="75" t="s">
        <v>772</v>
      </c>
      <c r="I341" s="450"/>
      <c r="J341" s="450"/>
      <c r="K341" s="441"/>
      <c r="L341" s="450"/>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hidden="1" customHeight="1">
      <c r="A342" s="343" t="str">
        <f>IF(B342&lt;&gt;"",IF(AND(B342='IN-TC'!$S$4,OR(TH!N342="1111",TH!O342="1111")),TH!D342,""),"")</f>
        <v/>
      </c>
      <c r="B342" s="63">
        <f t="shared" si="35"/>
        <v>1</v>
      </c>
      <c r="C342" s="64">
        <v>42398</v>
      </c>
      <c r="D342" s="64" t="s">
        <v>708</v>
      </c>
      <c r="E342" s="64">
        <v>42398</v>
      </c>
      <c r="F342" s="67" t="s">
        <v>769</v>
      </c>
      <c r="G342" s="67" t="s">
        <v>928</v>
      </c>
      <c r="H342" s="74"/>
      <c r="I342" s="447"/>
      <c r="J342" s="447"/>
      <c r="K342" s="438"/>
      <c r="L342" s="447"/>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hidden="1" customHeight="1">
      <c r="A343" s="343" t="str">
        <f>IF(B343&lt;&gt;"",IF(AND(B343='IN-TC'!$S$4,OR(TH!N343="1111",TH!O343="1111")),TH!D343,""),"")</f>
        <v/>
      </c>
      <c r="B343" s="63">
        <f t="shared" si="35"/>
        <v>1</v>
      </c>
      <c r="C343" s="64">
        <v>42398</v>
      </c>
      <c r="D343" s="64" t="s">
        <v>708</v>
      </c>
      <c r="E343" s="64">
        <v>42398</v>
      </c>
      <c r="F343" s="67" t="s">
        <v>770</v>
      </c>
      <c r="G343" s="67" t="s">
        <v>928</v>
      </c>
      <c r="H343" s="74"/>
      <c r="I343" s="447"/>
      <c r="J343" s="447"/>
      <c r="K343" s="438"/>
      <c r="L343" s="447"/>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hidden="1" customHeight="1">
      <c r="A344" s="343" t="str">
        <f>IF(B344&lt;&gt;"",IF(AND(B344='IN-TC'!$S$4,OR(TH!N344="1111",TH!O344="1111")),TH!D344,""),"")</f>
        <v/>
      </c>
      <c r="B344" s="63">
        <f t="shared" si="35"/>
        <v>1</v>
      </c>
      <c r="C344" s="64">
        <v>42398</v>
      </c>
      <c r="D344" s="64" t="s">
        <v>924</v>
      </c>
      <c r="E344" s="64">
        <v>42398</v>
      </c>
      <c r="F344" s="67" t="s">
        <v>785</v>
      </c>
      <c r="G344" s="67" t="s">
        <v>850</v>
      </c>
      <c r="H344" s="353" t="s">
        <v>818</v>
      </c>
      <c r="I344" s="451"/>
      <c r="J344" s="451"/>
      <c r="K344" s="442"/>
      <c r="L344" s="451"/>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hidden="1" customHeight="1">
      <c r="A345" s="343" t="str">
        <f>IF(B345&lt;&gt;"",IF(AND(B345='IN-TC'!$S$4,OR(TH!N345="1111",TH!O345="1111")),TH!D345,""),"")</f>
        <v/>
      </c>
      <c r="B345" s="63">
        <f t="shared" si="35"/>
        <v>1</v>
      </c>
      <c r="C345" s="64">
        <v>42398</v>
      </c>
      <c r="D345" s="64" t="s">
        <v>924</v>
      </c>
      <c r="E345" s="64">
        <v>42398</v>
      </c>
      <c r="F345" s="67" t="s">
        <v>786</v>
      </c>
      <c r="G345" s="67" t="s">
        <v>850</v>
      </c>
      <c r="H345" s="74" t="s">
        <v>818</v>
      </c>
      <c r="I345" s="447"/>
      <c r="J345" s="447"/>
      <c r="K345" s="438"/>
      <c r="L345" s="447"/>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hidden="1" customHeight="1">
      <c r="A346" s="343" t="str">
        <f>IF(B346&lt;&gt;"",IF(AND(B346='IN-TC'!$S$4,OR(TH!N346="1111",TH!O346="1111")),TH!D346,""),"")</f>
        <v/>
      </c>
      <c r="B346" s="63">
        <f t="shared" si="35"/>
        <v>1</v>
      </c>
      <c r="C346" s="64">
        <v>42399</v>
      </c>
      <c r="D346" s="64" t="s">
        <v>708</v>
      </c>
      <c r="E346" s="64">
        <v>42399</v>
      </c>
      <c r="F346" s="67" t="s">
        <v>1107</v>
      </c>
      <c r="G346" s="67" t="s">
        <v>929</v>
      </c>
      <c r="H346" s="75" t="s">
        <v>637</v>
      </c>
      <c r="I346" s="450"/>
      <c r="J346" s="450"/>
      <c r="K346" s="441"/>
      <c r="L346" s="450"/>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x</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hidden="1" customHeight="1">
      <c r="A347" s="343" t="str">
        <f>IF(B347&lt;&gt;"",IF(AND(B347='IN-TC'!$S$4,OR(TH!N347="1111",TH!O347="1111")),TH!D347,""),"")</f>
        <v/>
      </c>
      <c r="B347" s="63">
        <f t="shared" si="35"/>
        <v>1</v>
      </c>
      <c r="C347" s="64">
        <v>42399</v>
      </c>
      <c r="D347" s="64" t="s">
        <v>708</v>
      </c>
      <c r="E347" s="64">
        <v>42399</v>
      </c>
      <c r="F347" s="67" t="s">
        <v>751</v>
      </c>
      <c r="G347" s="67" t="s">
        <v>929</v>
      </c>
      <c r="H347" s="74"/>
      <c r="I347" s="447"/>
      <c r="J347" s="447"/>
      <c r="K347" s="438"/>
      <c r="L347" s="447"/>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x</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hidden="1" customHeight="1">
      <c r="A348" s="343" t="str">
        <f>IF(B348&lt;&gt;"",IF(AND(B348='IN-TC'!$S$4,OR(TH!N348="1111",TH!O348="1111")),TH!D348,""),"")</f>
        <v/>
      </c>
      <c r="B348" s="63">
        <f t="shared" si="35"/>
        <v>1</v>
      </c>
      <c r="C348" s="64">
        <v>42399</v>
      </c>
      <c r="D348" s="64" t="s">
        <v>708</v>
      </c>
      <c r="E348" s="64">
        <v>42399</v>
      </c>
      <c r="F348" s="69" t="s">
        <v>753</v>
      </c>
      <c r="G348" s="67" t="s">
        <v>929</v>
      </c>
      <c r="H348" s="74"/>
      <c r="I348" s="447"/>
      <c r="J348" s="447"/>
      <c r="K348" s="438"/>
      <c r="L348" s="447"/>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x</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hidden="1" customHeight="1">
      <c r="A349" s="343" t="str">
        <f>IF(B349&lt;&gt;"",IF(AND(B349='IN-TC'!$S$4,OR(TH!N349="1111",TH!O349="1111")),TH!D349,""),"")</f>
        <v/>
      </c>
      <c r="B349" s="63">
        <f t="shared" si="35"/>
        <v>1</v>
      </c>
      <c r="C349" s="64">
        <v>42399</v>
      </c>
      <c r="D349" s="64" t="s">
        <v>708</v>
      </c>
      <c r="E349" s="64">
        <v>42399</v>
      </c>
      <c r="F349" s="67" t="s">
        <v>1108</v>
      </c>
      <c r="G349" s="67" t="s">
        <v>929</v>
      </c>
      <c r="H349" s="76" t="s">
        <v>632</v>
      </c>
      <c r="I349" s="449"/>
      <c r="J349" s="449"/>
      <c r="K349" s="440"/>
      <c r="L349" s="449"/>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x</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hidden="1" customHeight="1">
      <c r="A350" s="343" t="str">
        <f>IF(B350&lt;&gt;"",IF(AND(B350='IN-TC'!$S$4,OR(TH!N350="1111",TH!O350="1111")),TH!D350,""),"")</f>
        <v/>
      </c>
      <c r="B350" s="63">
        <f t="shared" si="35"/>
        <v>1</v>
      </c>
      <c r="C350" s="64">
        <v>42399</v>
      </c>
      <c r="D350" s="64" t="s">
        <v>708</v>
      </c>
      <c r="E350" s="64">
        <v>42399</v>
      </c>
      <c r="F350" s="67" t="s">
        <v>751</v>
      </c>
      <c r="G350" s="67" t="s">
        <v>929</v>
      </c>
      <c r="H350" s="76"/>
      <c r="I350" s="449"/>
      <c r="J350" s="449"/>
      <c r="K350" s="440"/>
      <c r="L350" s="449"/>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x</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hidden="1" customHeight="1">
      <c r="A351" s="343" t="str">
        <f>IF(B351&lt;&gt;"",IF(AND(B351='IN-TC'!$S$4,OR(TH!N351="1111",TH!O351="1111")),TH!D351,""),"")</f>
        <v/>
      </c>
      <c r="B351" s="63">
        <f t="shared" si="35"/>
        <v>1</v>
      </c>
      <c r="C351" s="64">
        <v>42399</v>
      </c>
      <c r="D351" s="64" t="s">
        <v>708</v>
      </c>
      <c r="E351" s="64">
        <v>42399</v>
      </c>
      <c r="F351" s="67" t="s">
        <v>753</v>
      </c>
      <c r="G351" s="67" t="s">
        <v>929</v>
      </c>
      <c r="H351" s="76"/>
      <c r="I351" s="449"/>
      <c r="J351" s="449"/>
      <c r="K351" s="440"/>
      <c r="L351" s="449"/>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x</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hidden="1" customHeight="1">
      <c r="A352" s="343" t="str">
        <f>IF(B352&lt;&gt;"",IF(AND(B352='IN-TC'!$S$4,OR(TH!N352="1111",TH!O352="1111")),TH!D352,""),"")</f>
        <v/>
      </c>
      <c r="B352" s="63">
        <f t="shared" si="35"/>
        <v>1</v>
      </c>
      <c r="C352" s="64">
        <v>42399</v>
      </c>
      <c r="D352" s="64" t="s">
        <v>708</v>
      </c>
      <c r="E352" s="64">
        <v>42399</v>
      </c>
      <c r="F352" s="67" t="s">
        <v>1108</v>
      </c>
      <c r="G352" s="67" t="s">
        <v>929</v>
      </c>
      <c r="H352" s="76" t="s">
        <v>632</v>
      </c>
      <c r="I352" s="449"/>
      <c r="J352" s="449"/>
      <c r="K352" s="440"/>
      <c r="L352" s="449"/>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x</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hidden="1" customHeight="1">
      <c r="A353" s="343" t="str">
        <f>IF(B353&lt;&gt;"",IF(AND(B353='IN-TC'!$S$4,OR(TH!N353="1111",TH!O353="1111")),TH!D353,""),"")</f>
        <v/>
      </c>
      <c r="B353" s="63">
        <f t="shared" si="35"/>
        <v>1</v>
      </c>
      <c r="C353" s="64">
        <v>42399</v>
      </c>
      <c r="D353" s="64" t="s">
        <v>708</v>
      </c>
      <c r="E353" s="64">
        <v>42399</v>
      </c>
      <c r="F353" s="67" t="s">
        <v>751</v>
      </c>
      <c r="G353" s="67" t="s">
        <v>929</v>
      </c>
      <c r="H353" s="76"/>
      <c r="I353" s="449"/>
      <c r="J353" s="449"/>
      <c r="K353" s="440"/>
      <c r="L353" s="449"/>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x</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hidden="1" customHeight="1">
      <c r="A354" s="343" t="str">
        <f>IF(B354&lt;&gt;"",IF(AND(B354='IN-TC'!$S$4,OR(TH!N354="1111",TH!O354="1111")),TH!D354,""),"")</f>
        <v/>
      </c>
      <c r="B354" s="63">
        <f t="shared" si="35"/>
        <v>1</v>
      </c>
      <c r="C354" s="64">
        <v>42399</v>
      </c>
      <c r="D354" s="64" t="s">
        <v>708</v>
      </c>
      <c r="E354" s="64">
        <v>42399</v>
      </c>
      <c r="F354" s="67" t="s">
        <v>753</v>
      </c>
      <c r="G354" s="67" t="s">
        <v>929</v>
      </c>
      <c r="H354" s="76"/>
      <c r="I354" s="449"/>
      <c r="J354" s="449"/>
      <c r="K354" s="440"/>
      <c r="L354" s="449"/>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x</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hidden="1" customHeight="1">
      <c r="A355" s="343" t="str">
        <f>IF(B355&lt;&gt;"",IF(AND(B355='IN-TC'!$S$4,OR(TH!N355="1111",TH!O355="1111")),TH!D355,""),"")</f>
        <v/>
      </c>
      <c r="B355" s="63">
        <f t="shared" si="35"/>
        <v>1</v>
      </c>
      <c r="C355" s="64">
        <v>42399</v>
      </c>
      <c r="D355" s="64" t="s">
        <v>925</v>
      </c>
      <c r="E355" s="64">
        <v>42399</v>
      </c>
      <c r="F355" s="67" t="s">
        <v>785</v>
      </c>
      <c r="G355" s="67" t="s">
        <v>851</v>
      </c>
      <c r="H355" s="74" t="s">
        <v>818</v>
      </c>
      <c r="I355" s="447"/>
      <c r="J355" s="447"/>
      <c r="K355" s="438"/>
      <c r="L355" s="447"/>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hidden="1" customHeight="1">
      <c r="A356" s="343" t="str">
        <f>IF(B356&lt;&gt;"",IF(AND(B356='IN-TC'!$S$4,OR(TH!N356="1111",TH!O356="1111")),TH!D356,""),"")</f>
        <v/>
      </c>
      <c r="B356" s="63">
        <f t="shared" si="35"/>
        <v>1</v>
      </c>
      <c r="C356" s="64">
        <v>42399</v>
      </c>
      <c r="D356" s="64" t="s">
        <v>925</v>
      </c>
      <c r="E356" s="64">
        <v>42399</v>
      </c>
      <c r="F356" s="67" t="s">
        <v>786</v>
      </c>
      <c r="G356" s="996" t="s">
        <v>851</v>
      </c>
      <c r="H356" s="74" t="s">
        <v>818</v>
      </c>
      <c r="I356" s="447"/>
      <c r="J356" s="447"/>
      <c r="K356" s="438"/>
      <c r="L356" s="447"/>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hidden="1" customHeight="1">
      <c r="A357" s="343" t="str">
        <f>IF(B357&lt;&gt;"",IF(AND(B357='IN-TC'!$S$4,OR(TH!N357="1111",TH!O357="1111")),TH!D357,""),"")</f>
        <v/>
      </c>
      <c r="B357" s="63">
        <f t="shared" si="35"/>
        <v>1</v>
      </c>
      <c r="C357" s="64">
        <v>42400</v>
      </c>
      <c r="D357" s="64" t="s">
        <v>926</v>
      </c>
      <c r="E357" s="64">
        <v>42400</v>
      </c>
      <c r="F357" s="67" t="s">
        <v>800</v>
      </c>
      <c r="G357" s="67" t="s">
        <v>852</v>
      </c>
      <c r="H357" s="74" t="s">
        <v>824</v>
      </c>
      <c r="I357" s="447"/>
      <c r="J357" s="447"/>
      <c r="K357" s="438"/>
      <c r="L357" s="447"/>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hidden="1" customHeight="1">
      <c r="A358" s="343" t="str">
        <f>IF(B358&lt;&gt;"",IF(AND(B358='IN-TC'!$S$4,OR(TH!N358="1111",TH!O358="1111")),TH!D358,""),"")</f>
        <v/>
      </c>
      <c r="B358" s="63">
        <f t="shared" si="35"/>
        <v>1</v>
      </c>
      <c r="C358" s="64">
        <v>42400</v>
      </c>
      <c r="D358" s="64" t="s">
        <v>926</v>
      </c>
      <c r="E358" s="64">
        <v>42400</v>
      </c>
      <c r="F358" s="67" t="s">
        <v>801</v>
      </c>
      <c r="G358" s="67" t="s">
        <v>852</v>
      </c>
      <c r="H358" s="74" t="s">
        <v>824</v>
      </c>
      <c r="I358" s="447"/>
      <c r="J358" s="447"/>
      <c r="K358" s="438"/>
      <c r="L358" s="447"/>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hidden="1" customHeight="1">
      <c r="A359" s="343" t="str">
        <f>IF(B359&lt;&gt;"",IF(AND(B359='IN-TC'!$S$4,OR(TH!N359="1111",TH!O359="1111")),TH!D359,""),"")</f>
        <v/>
      </c>
      <c r="B359" s="63">
        <f t="shared" si="35"/>
        <v>1</v>
      </c>
      <c r="C359" s="64">
        <v>42400</v>
      </c>
      <c r="D359" s="64" t="s">
        <v>975</v>
      </c>
      <c r="E359" s="64">
        <v>42400</v>
      </c>
      <c r="F359" s="67" t="s">
        <v>785</v>
      </c>
      <c r="G359" s="67" t="s">
        <v>853</v>
      </c>
      <c r="H359" s="74" t="s">
        <v>854</v>
      </c>
      <c r="I359" s="447"/>
      <c r="J359" s="447"/>
      <c r="K359" s="438"/>
      <c r="L359" s="447"/>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hidden="1" customHeight="1">
      <c r="A360" s="343" t="str">
        <f>IF(B360&lt;&gt;"",IF(AND(B360='IN-TC'!$S$4,OR(TH!N360="1111",TH!O360="1111")),TH!D360,""),"")</f>
        <v/>
      </c>
      <c r="B360" s="63">
        <f t="shared" si="35"/>
        <v>1</v>
      </c>
      <c r="C360" s="64">
        <v>42400</v>
      </c>
      <c r="D360" s="64" t="s">
        <v>975</v>
      </c>
      <c r="E360" s="64">
        <v>42400</v>
      </c>
      <c r="F360" s="67" t="s">
        <v>786</v>
      </c>
      <c r="G360" s="67" t="s">
        <v>853</v>
      </c>
      <c r="H360" s="74" t="s">
        <v>854</v>
      </c>
      <c r="I360" s="447"/>
      <c r="J360" s="447"/>
      <c r="K360" s="438"/>
      <c r="L360" s="447"/>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hidden="1" customHeight="1">
      <c r="A361" s="343" t="str">
        <f>IF(B361&lt;&gt;"",IF(AND(B361='IN-TC'!$S$4,OR(TH!N361="1111",TH!O361="1111")),TH!D361,""),"")</f>
        <v/>
      </c>
      <c r="B361" s="63">
        <f t="shared" si="35"/>
        <v>1</v>
      </c>
      <c r="C361" s="64">
        <v>42400</v>
      </c>
      <c r="D361" s="64" t="s">
        <v>976</v>
      </c>
      <c r="E361" s="64">
        <v>42400</v>
      </c>
      <c r="F361" s="67" t="s">
        <v>804</v>
      </c>
      <c r="G361" s="67" t="s">
        <v>855</v>
      </c>
      <c r="H361" s="74" t="s">
        <v>856</v>
      </c>
      <c r="I361" s="447"/>
      <c r="J361" s="447"/>
      <c r="K361" s="438"/>
      <c r="L361" s="447"/>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hidden="1" customHeight="1">
      <c r="A362" s="343" t="str">
        <f>IF(B362&lt;&gt;"",IF(AND(B362='IN-TC'!$S$4,OR(TH!N362="1111",TH!O362="1111")),TH!D362,""),"")</f>
        <v/>
      </c>
      <c r="B362" s="63">
        <f t="shared" si="35"/>
        <v>1</v>
      </c>
      <c r="C362" s="64">
        <v>42400</v>
      </c>
      <c r="D362" s="64" t="s">
        <v>976</v>
      </c>
      <c r="E362" s="64">
        <v>42400</v>
      </c>
      <c r="F362" s="67" t="s">
        <v>805</v>
      </c>
      <c r="G362" s="67" t="s">
        <v>855</v>
      </c>
      <c r="H362" s="74" t="s">
        <v>856</v>
      </c>
      <c r="I362" s="447"/>
      <c r="J362" s="447"/>
      <c r="K362" s="438"/>
      <c r="L362" s="447"/>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hidden="1" customHeight="1">
      <c r="A363" s="343" t="str">
        <f>IF(B363&lt;&gt;"",IF(AND(B363='IN-TC'!$S$4,OR(TH!N363="1111",TH!O363="1111")),TH!D363,""),"")</f>
        <v/>
      </c>
      <c r="B363" s="63">
        <f t="shared" si="35"/>
        <v>1</v>
      </c>
      <c r="C363" s="64">
        <v>42400</v>
      </c>
      <c r="D363" s="64" t="s">
        <v>977</v>
      </c>
      <c r="E363" s="64">
        <v>42400</v>
      </c>
      <c r="F363" s="67" t="s">
        <v>806</v>
      </c>
      <c r="G363" s="67" t="s">
        <v>857</v>
      </c>
      <c r="H363" s="74" t="s">
        <v>858</v>
      </c>
      <c r="I363" s="447"/>
      <c r="J363" s="447"/>
      <c r="K363" s="438"/>
      <c r="L363" s="447"/>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hidden="1" customHeight="1">
      <c r="A364" s="343" t="str">
        <f>IF(B364&lt;&gt;"",IF(AND(B364='IN-TC'!$S$4,OR(TH!N364="1111",TH!O364="1111")),TH!D364,""),"")</f>
        <v/>
      </c>
      <c r="B364" s="63">
        <f t="shared" si="35"/>
        <v>1</v>
      </c>
      <c r="C364" s="64">
        <v>42400</v>
      </c>
      <c r="D364" s="64" t="s">
        <v>977</v>
      </c>
      <c r="E364" s="64">
        <v>42400</v>
      </c>
      <c r="F364" s="67" t="s">
        <v>807</v>
      </c>
      <c r="G364" s="67" t="s">
        <v>857</v>
      </c>
      <c r="H364" s="74" t="s">
        <v>858</v>
      </c>
      <c r="I364" s="447"/>
      <c r="J364" s="447"/>
      <c r="K364" s="438"/>
      <c r="L364" s="447"/>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hidden="1" customHeight="1">
      <c r="A365" s="343" t="str">
        <f>IF(B365&lt;&gt;"",IF(AND(B365='IN-TC'!$S$4,OR(TH!N365="1111",TH!O365="1111")),TH!D365,""),"")</f>
        <v/>
      </c>
      <c r="B365" s="63">
        <f t="shared" si="35"/>
        <v>1</v>
      </c>
      <c r="C365" s="81">
        <f>E365</f>
        <v>42400</v>
      </c>
      <c r="D365" s="64" t="s">
        <v>978</v>
      </c>
      <c r="E365" s="81">
        <v>42400</v>
      </c>
      <c r="F365" s="82" t="s">
        <v>974</v>
      </c>
      <c r="G365" s="82"/>
      <c r="H365" s="83" t="s">
        <v>973</v>
      </c>
      <c r="I365" s="445"/>
      <c r="J365" s="445"/>
      <c r="K365" s="436"/>
      <c r="L365" s="445"/>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hidden="1" customHeight="1">
      <c r="A366" s="343" t="str">
        <f>IF(B366&lt;&gt;"",IF(AND(B366='IN-TC'!$S$4,OR(TH!N366="1111",TH!O366="1111")),TH!D366,""),"")</f>
        <v/>
      </c>
      <c r="B366" s="63">
        <f t="shared" si="35"/>
        <v>1</v>
      </c>
      <c r="C366" s="95">
        <v>42400</v>
      </c>
      <c r="D366" s="95" t="s">
        <v>979</v>
      </c>
      <c r="E366" s="95">
        <v>42400</v>
      </c>
      <c r="F366" s="96" t="s">
        <v>808</v>
      </c>
      <c r="G366" s="96"/>
      <c r="H366" s="97" t="s">
        <v>859</v>
      </c>
      <c r="I366" s="453"/>
      <c r="J366" s="453"/>
      <c r="K366" s="444"/>
      <c r="L366" s="453"/>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hidden="1" customHeight="1">
      <c r="A367" s="343" t="str">
        <f>IF(B367&lt;&gt;"",IF(AND(B367='IN-TC'!$S$4,OR(TH!N367="1111",TH!O367="1111")),TH!D367,""),"")</f>
        <v>C01</v>
      </c>
      <c r="B367" s="63">
        <f t="shared" si="35"/>
        <v>2</v>
      </c>
      <c r="C367" s="64">
        <v>42401</v>
      </c>
      <c r="D367" s="64" t="s">
        <v>878</v>
      </c>
      <c r="E367" s="64">
        <v>42384</v>
      </c>
      <c r="F367" s="67" t="s">
        <v>1009</v>
      </c>
      <c r="G367" s="996" t="s">
        <v>1030</v>
      </c>
      <c r="H367" s="74" t="s">
        <v>623</v>
      </c>
      <c r="I367" s="447"/>
      <c r="J367" s="447"/>
      <c r="K367" s="438"/>
      <c r="L367" s="447"/>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hidden="1" customHeight="1">
      <c r="A368" s="343" t="str">
        <f>IF(B368&lt;&gt;"",IF(AND(B368='IN-TC'!$S$4,OR(TH!N368="1111",TH!O368="1111")),TH!D368,""),"")</f>
        <v>C01</v>
      </c>
      <c r="B368" s="63">
        <f t="shared" si="35"/>
        <v>2</v>
      </c>
      <c r="C368" s="64">
        <v>42401</v>
      </c>
      <c r="D368" s="64" t="s">
        <v>878</v>
      </c>
      <c r="E368" s="64">
        <v>42384</v>
      </c>
      <c r="F368" s="67" t="s">
        <v>1010</v>
      </c>
      <c r="G368" s="996" t="s">
        <v>1030</v>
      </c>
      <c r="H368" s="74" t="s">
        <v>623</v>
      </c>
      <c r="I368" s="447"/>
      <c r="J368" s="447"/>
      <c r="K368" s="438"/>
      <c r="L368" s="447"/>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hidden="1" customHeight="1">
      <c r="A369" s="343" t="str">
        <f>IF(B369&lt;&gt;"",IF(AND(B369='IN-TC'!$S$4,OR(TH!N369="1111",TH!O369="1111")),TH!D369,""),"")</f>
        <v>C02</v>
      </c>
      <c r="B369" s="63">
        <f t="shared" si="35"/>
        <v>2</v>
      </c>
      <c r="C369" s="64">
        <v>42402</v>
      </c>
      <c r="D369" s="64" t="s">
        <v>879</v>
      </c>
      <c r="E369" s="64">
        <v>42402</v>
      </c>
      <c r="F369" s="67" t="s">
        <v>1011</v>
      </c>
      <c r="G369" s="996" t="s">
        <v>1031</v>
      </c>
      <c r="H369" s="74" t="s">
        <v>841</v>
      </c>
      <c r="I369" s="447"/>
      <c r="J369" s="447"/>
      <c r="K369" s="438"/>
      <c r="L369" s="447"/>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hidden="1" customHeight="1">
      <c r="A370" s="343" t="str">
        <f>IF(B370&lt;&gt;"",IF(AND(B370='IN-TC'!$S$4,OR(TH!N370="1111",TH!O370="1111")),TH!D370,""),"")</f>
        <v>C02</v>
      </c>
      <c r="B370" s="63">
        <f t="shared" si="35"/>
        <v>2</v>
      </c>
      <c r="C370" s="64">
        <v>42402</v>
      </c>
      <c r="D370" s="64" t="s">
        <v>879</v>
      </c>
      <c r="E370" s="64">
        <v>42402</v>
      </c>
      <c r="F370" s="67" t="s">
        <v>1012</v>
      </c>
      <c r="G370" s="996" t="s">
        <v>1031</v>
      </c>
      <c r="H370" s="74" t="s">
        <v>841</v>
      </c>
      <c r="I370" s="447"/>
      <c r="J370" s="447"/>
      <c r="K370" s="438"/>
      <c r="L370" s="447"/>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hidden="1" customHeight="1">
      <c r="A371" s="343" t="str">
        <f>IF(B371&lt;&gt;"",IF(AND(B371='IN-TC'!$S$4,OR(TH!N371="1111",TH!O371="1111")),TH!D371,""),"")</f>
        <v/>
      </c>
      <c r="B371" s="63">
        <f t="shared" si="35"/>
        <v>2</v>
      </c>
      <c r="C371" s="64">
        <v>42402</v>
      </c>
      <c r="D371" s="64" t="s">
        <v>705</v>
      </c>
      <c r="E371" s="64">
        <v>42402</v>
      </c>
      <c r="F371" s="67" t="s">
        <v>1054</v>
      </c>
      <c r="G371" s="67" t="s">
        <v>929</v>
      </c>
      <c r="H371" s="74"/>
      <c r="I371" s="447"/>
      <c r="J371" s="447"/>
      <c r="K371" s="438"/>
      <c r="L371" s="447"/>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x</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hidden="1" customHeight="1">
      <c r="A372" s="343" t="str">
        <f>IF(B372&lt;&gt;"",IF(AND(B372='IN-TC'!$S$4,OR(TH!N372="1111",TH!O372="1111")),TH!D372,""),"")</f>
        <v/>
      </c>
      <c r="B372" s="63">
        <f t="shared" si="35"/>
        <v>2</v>
      </c>
      <c r="C372" s="64">
        <v>42402</v>
      </c>
      <c r="D372" s="64" t="s">
        <v>708</v>
      </c>
      <c r="E372" s="64">
        <v>42402</v>
      </c>
      <c r="F372" s="67" t="s">
        <v>1106</v>
      </c>
      <c r="G372" s="67" t="s">
        <v>929</v>
      </c>
      <c r="H372" s="67" t="s">
        <v>635</v>
      </c>
      <c r="I372" s="447"/>
      <c r="J372" s="447"/>
      <c r="K372" s="438"/>
      <c r="L372" s="447"/>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x</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hidden="1" customHeight="1">
      <c r="A373" s="343" t="str">
        <f>IF(B373&lt;&gt;"",IF(AND(B373='IN-TC'!$S$4,OR(TH!N373="1111",TH!O373="1111")),TH!D373,""),"")</f>
        <v/>
      </c>
      <c r="B373" s="63">
        <f t="shared" si="35"/>
        <v>2</v>
      </c>
      <c r="C373" s="150">
        <v>42402</v>
      </c>
      <c r="D373" s="150" t="s">
        <v>708</v>
      </c>
      <c r="E373" s="150">
        <v>42402</v>
      </c>
      <c r="F373" s="94" t="s">
        <v>751</v>
      </c>
      <c r="G373" s="67" t="s">
        <v>929</v>
      </c>
      <c r="H373" s="74"/>
      <c r="I373" s="452"/>
      <c r="J373" s="452"/>
      <c r="K373" s="443"/>
      <c r="L373" s="452"/>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x</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hidden="1" customHeight="1">
      <c r="A374" s="343" t="str">
        <f>IF(B374&lt;&gt;"",IF(AND(B374='IN-TC'!$S$4,OR(TH!N374="1111",TH!O374="1111")),TH!D374,""),"")</f>
        <v/>
      </c>
      <c r="B374" s="63">
        <f t="shared" si="35"/>
        <v>2</v>
      </c>
      <c r="C374" s="64">
        <v>42402</v>
      </c>
      <c r="D374" s="64" t="s">
        <v>708</v>
      </c>
      <c r="E374" s="64">
        <v>42402</v>
      </c>
      <c r="F374" s="67" t="s">
        <v>753</v>
      </c>
      <c r="G374" s="67" t="s">
        <v>929</v>
      </c>
      <c r="H374" s="74"/>
      <c r="I374" s="447"/>
      <c r="J374" s="447"/>
      <c r="K374" s="438"/>
      <c r="L374" s="447"/>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x</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hidden="1" customHeight="1">
      <c r="A375" s="343" t="str">
        <f>IF(B375&lt;&gt;"",IF(AND(B375='IN-TC'!$S$4,OR(TH!N375="1111",TH!O375="1111")),TH!D375,""),"")</f>
        <v/>
      </c>
      <c r="B375" s="63">
        <f t="shared" si="35"/>
        <v>2</v>
      </c>
      <c r="C375" s="64">
        <v>42403</v>
      </c>
      <c r="D375" s="64" t="s">
        <v>705</v>
      </c>
      <c r="E375" s="64">
        <v>42403</v>
      </c>
      <c r="F375" s="67" t="s">
        <v>1064</v>
      </c>
      <c r="G375" s="67" t="s">
        <v>928</v>
      </c>
      <c r="H375" s="7" t="s">
        <v>602</v>
      </c>
      <c r="I375" s="447"/>
      <c r="J375" s="447"/>
      <c r="K375" s="438">
        <v>97740.36</v>
      </c>
      <c r="L375" s="447">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x</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hidden="1" customHeight="1">
      <c r="A376" s="343" t="str">
        <f>IF(B376&lt;&gt;"",IF(AND(B376='IN-TC'!$S$4,OR(TH!N376="1111",TH!O376="1111")),TH!D376,""),"")</f>
        <v/>
      </c>
      <c r="B376" s="63">
        <f t="shared" si="35"/>
        <v>2</v>
      </c>
      <c r="C376" s="64">
        <f>E376</f>
        <v>42403</v>
      </c>
      <c r="D376" s="320" t="s">
        <v>585</v>
      </c>
      <c r="E376" s="320">
        <v>42403</v>
      </c>
      <c r="F376" s="321" t="s">
        <v>1080</v>
      </c>
      <c r="G376" s="67" t="s">
        <v>928</v>
      </c>
      <c r="H376" s="322" t="s">
        <v>602</v>
      </c>
      <c r="I376" s="447"/>
      <c r="J376" s="447"/>
      <c r="K376" s="438">
        <v>54.22</v>
      </c>
      <c r="L376" s="447">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x</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hidden="1" customHeight="1">
      <c r="A377" s="343" t="str">
        <f>IF(B377&lt;&gt;"",IF(AND(B377='IN-TC'!$S$4,OR(TH!N377="1111",TH!O377="1111")),TH!D377,""),"")</f>
        <v/>
      </c>
      <c r="B377" s="63">
        <f t="shared" si="35"/>
        <v>2</v>
      </c>
      <c r="C377" s="64">
        <f>E377</f>
        <v>42403</v>
      </c>
      <c r="D377" s="320" t="s">
        <v>585</v>
      </c>
      <c r="E377" s="320">
        <v>42403</v>
      </c>
      <c r="F377" s="321" t="s">
        <v>1081</v>
      </c>
      <c r="G377" s="67" t="s">
        <v>928</v>
      </c>
      <c r="H377" s="322" t="s">
        <v>602</v>
      </c>
      <c r="I377" s="447"/>
      <c r="J377" s="447"/>
      <c r="K377" s="438">
        <v>5.42</v>
      </c>
      <c r="L377" s="447">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x</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hidden="1" customHeight="1">
      <c r="A378" s="343" t="str">
        <f>IF(B378&lt;&gt;"",IF(AND(B378='IN-TC'!$S$4,OR(TH!N378="1111",TH!O378="1111")),TH!D378,""),"")</f>
        <v/>
      </c>
      <c r="B378" s="63">
        <f t="shared" si="35"/>
        <v>2</v>
      </c>
      <c r="C378" s="64">
        <v>42403</v>
      </c>
      <c r="D378" s="64" t="s">
        <v>708</v>
      </c>
      <c r="E378" s="64">
        <v>42403</v>
      </c>
      <c r="F378" s="67" t="s">
        <v>716</v>
      </c>
      <c r="G378" s="67" t="s">
        <v>928</v>
      </c>
      <c r="H378" s="74"/>
      <c r="I378" s="447"/>
      <c r="J378" s="447"/>
      <c r="K378" s="438">
        <v>97700</v>
      </c>
      <c r="L378" s="447">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hidden="1" customHeight="1">
      <c r="A379" s="343" t="str">
        <f>IF(B379&lt;&gt;"",IF(AND(B379='IN-TC'!$S$4,OR(TH!N379="1111",TH!O379="1111")),TH!D379,""),"")</f>
        <v>C03</v>
      </c>
      <c r="B379" s="63">
        <f t="shared" si="35"/>
        <v>2</v>
      </c>
      <c r="C379" s="64">
        <v>42403</v>
      </c>
      <c r="D379" s="64" t="s">
        <v>880</v>
      </c>
      <c r="E379" s="64">
        <v>42403</v>
      </c>
      <c r="F379" s="67" t="s">
        <v>1013</v>
      </c>
      <c r="G379" s="996" t="s">
        <v>1032</v>
      </c>
      <c r="H379" s="74" t="s">
        <v>824</v>
      </c>
      <c r="I379" s="447"/>
      <c r="J379" s="447"/>
      <c r="K379" s="438"/>
      <c r="L379" s="447"/>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hidden="1" customHeight="1">
      <c r="A380" s="343" t="str">
        <f>IF(B380&lt;&gt;"",IF(AND(B380='IN-TC'!$S$4,OR(TH!N380="1111",TH!O380="1111")),TH!D380,""),"")</f>
        <v>C03</v>
      </c>
      <c r="B380" s="63">
        <f t="shared" si="35"/>
        <v>2</v>
      </c>
      <c r="C380" s="64">
        <v>42403</v>
      </c>
      <c r="D380" s="64" t="s">
        <v>880</v>
      </c>
      <c r="E380" s="64">
        <v>42403</v>
      </c>
      <c r="F380" s="67" t="s">
        <v>1014</v>
      </c>
      <c r="G380" s="996" t="s">
        <v>1032</v>
      </c>
      <c r="H380" s="74" t="s">
        <v>824</v>
      </c>
      <c r="I380" s="447"/>
      <c r="J380" s="447"/>
      <c r="K380" s="438"/>
      <c r="L380" s="447"/>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hidden="1" customHeight="1">
      <c r="A381" s="343" t="str">
        <f>IF(B381&lt;&gt;"",IF(AND(B381='IN-TC'!$S$4,OR(TH!N381="1111",TH!O381="1111")),TH!D381,""),"")</f>
        <v>C04</v>
      </c>
      <c r="B381" s="63">
        <f t="shared" si="35"/>
        <v>2</v>
      </c>
      <c r="C381" s="64">
        <v>42403</v>
      </c>
      <c r="D381" s="64" t="s">
        <v>881</v>
      </c>
      <c r="E381" s="64">
        <v>42403</v>
      </c>
      <c r="F381" s="67" t="s">
        <v>1015</v>
      </c>
      <c r="G381" s="996" t="s">
        <v>1033</v>
      </c>
      <c r="H381" s="74" t="s">
        <v>818</v>
      </c>
      <c r="I381" s="447"/>
      <c r="J381" s="447"/>
      <c r="K381" s="438"/>
      <c r="L381" s="447"/>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hidden="1" customHeight="1">
      <c r="A382" s="343" t="str">
        <f>IF(B382&lt;&gt;"",IF(AND(B382='IN-TC'!$S$4,OR(TH!N382="1111",TH!O382="1111")),TH!D382,""),"")</f>
        <v>C04</v>
      </c>
      <c r="B382" s="63">
        <f t="shared" si="35"/>
        <v>2</v>
      </c>
      <c r="C382" s="64">
        <v>42403</v>
      </c>
      <c r="D382" s="64" t="s">
        <v>881</v>
      </c>
      <c r="E382" s="64">
        <v>42403</v>
      </c>
      <c r="F382" s="67" t="s">
        <v>1016</v>
      </c>
      <c r="G382" s="996" t="s">
        <v>1033</v>
      </c>
      <c r="H382" s="74" t="s">
        <v>818</v>
      </c>
      <c r="I382" s="447"/>
      <c r="J382" s="447"/>
      <c r="K382" s="438"/>
      <c r="L382" s="447"/>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hidden="1" customHeight="1">
      <c r="A383" s="343" t="str">
        <f>IF(B383&lt;&gt;"",IF(AND(B383='IN-TC'!$S$4,OR(TH!N383="1111",TH!O383="1111")),TH!D383,""),"")</f>
        <v/>
      </c>
      <c r="B383" s="63">
        <f t="shared" si="35"/>
        <v>2</v>
      </c>
      <c r="C383" s="64">
        <v>42403</v>
      </c>
      <c r="D383" s="64" t="s">
        <v>705</v>
      </c>
      <c r="E383" s="64">
        <v>42403</v>
      </c>
      <c r="F383" s="67" t="s">
        <v>1055</v>
      </c>
      <c r="G383" s="67" t="s">
        <v>930</v>
      </c>
      <c r="H383" s="74"/>
      <c r="I383" s="447"/>
      <c r="J383" s="447"/>
      <c r="K383" s="438"/>
      <c r="L383" s="447"/>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x</v>
      </c>
      <c r="V383" s="85" t="str">
        <f>IF(ISERROR(FIND('112'!$M$9,G383,1)),"",IF((AND(RIGHT(G383,2)=RIGHT('112'!$M$9,2),B383&lt;'112'!$K$9,$O383='112'!$I$6)),"x",""))</f>
        <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hidden="1" customHeight="1">
      <c r="A384" s="343" t="str">
        <f>IF(B384&lt;&gt;"",IF(AND(B384='IN-TC'!$S$4,OR(TH!N384="1111",TH!O384="1111")),TH!D384,""),"")</f>
        <v/>
      </c>
      <c r="B384" s="63">
        <f t="shared" si="35"/>
        <v>2</v>
      </c>
      <c r="C384" s="64">
        <v>42403</v>
      </c>
      <c r="D384" s="64" t="s">
        <v>705</v>
      </c>
      <c r="E384" s="64">
        <v>42403</v>
      </c>
      <c r="F384" s="67" t="s">
        <v>1056</v>
      </c>
      <c r="G384" s="67" t="s">
        <v>929</v>
      </c>
      <c r="H384" s="74" t="s">
        <v>1233</v>
      </c>
      <c r="I384" s="447"/>
      <c r="J384" s="447"/>
      <c r="K384" s="438"/>
      <c r="L384" s="447"/>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x</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hidden="1" customHeight="1">
      <c r="A385" s="343" t="str">
        <f>IF(B385&lt;&gt;"",IF(AND(B385='IN-TC'!$S$4,OR(TH!N385="1111",TH!O385="1111")),TH!D385,""),"")</f>
        <v/>
      </c>
      <c r="B385" s="63">
        <f t="shared" si="35"/>
        <v>2</v>
      </c>
      <c r="C385" s="64">
        <v>42403</v>
      </c>
      <c r="D385" s="64" t="s">
        <v>708</v>
      </c>
      <c r="E385" s="64">
        <v>42403</v>
      </c>
      <c r="F385" s="67" t="s">
        <v>1109</v>
      </c>
      <c r="G385" s="67" t="s">
        <v>929</v>
      </c>
      <c r="H385" s="7" t="s">
        <v>634</v>
      </c>
      <c r="I385" s="447"/>
      <c r="J385" s="447"/>
      <c r="K385" s="438"/>
      <c r="L385" s="447"/>
      <c r="M385" s="65">
        <v>100000000</v>
      </c>
      <c r="N385" s="66" t="s">
        <v>8</v>
      </c>
      <c r="O385" s="66" t="s">
        <v>26</v>
      </c>
      <c r="P385" s="85" t="str">
        <f>IF(AND('331-CT'!$E$7=TH!H385,OR(N385="331",O385="331")),"x","")</f>
        <v>x</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x</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hidden="1" customHeight="1">
      <c r="A386" s="343" t="str">
        <f>IF(B386&lt;&gt;"",IF(AND(B386='IN-TC'!$S$4,OR(TH!N386="1111",TH!O386="1111")),TH!D386,""),"")</f>
        <v/>
      </c>
      <c r="B386" s="63">
        <f t="shared" si="35"/>
        <v>2</v>
      </c>
      <c r="C386" s="64">
        <v>42403</v>
      </c>
      <c r="D386" s="64" t="s">
        <v>708</v>
      </c>
      <c r="E386" s="64">
        <v>42403</v>
      </c>
      <c r="F386" s="67" t="s">
        <v>751</v>
      </c>
      <c r="G386" s="67" t="s">
        <v>929</v>
      </c>
      <c r="H386" s="74"/>
      <c r="I386" s="447"/>
      <c r="J386" s="447"/>
      <c r="K386" s="438"/>
      <c r="L386" s="447"/>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x</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hidden="1" customHeight="1">
      <c r="A387" s="343" t="str">
        <f>IF(B387&lt;&gt;"",IF(AND(B387='IN-TC'!$S$4,OR(TH!N387="1111",TH!O387="1111")),TH!D387,""),"")</f>
        <v/>
      </c>
      <c r="B387" s="63">
        <f t="shared" si="35"/>
        <v>2</v>
      </c>
      <c r="C387" s="64">
        <v>42403</v>
      </c>
      <c r="D387" s="64" t="s">
        <v>708</v>
      </c>
      <c r="E387" s="64">
        <v>42403</v>
      </c>
      <c r="F387" s="67" t="s">
        <v>753</v>
      </c>
      <c r="G387" s="67" t="s">
        <v>929</v>
      </c>
      <c r="H387" s="74"/>
      <c r="I387" s="447"/>
      <c r="J387" s="447"/>
      <c r="K387" s="438"/>
      <c r="L387" s="447"/>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x</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hidden="1" customHeight="1">
      <c r="A388" s="343" t="str">
        <f>IF(B388&lt;&gt;"",IF(AND(B388='IN-TC'!$S$4,OR(TH!N388="1111",TH!O388="1111")),TH!D388,""),"")</f>
        <v/>
      </c>
      <c r="B388" s="63">
        <f t="shared" si="35"/>
        <v>2</v>
      </c>
      <c r="C388" s="64">
        <v>42403</v>
      </c>
      <c r="D388" s="64" t="s">
        <v>708</v>
      </c>
      <c r="E388" s="64">
        <v>42403</v>
      </c>
      <c r="F388" s="67" t="s">
        <v>1110</v>
      </c>
      <c r="G388" s="67" t="s">
        <v>929</v>
      </c>
      <c r="H388" s="7" t="s">
        <v>631</v>
      </c>
      <c r="I388" s="447"/>
      <c r="J388" s="447"/>
      <c r="K388" s="438"/>
      <c r="L388" s="447"/>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x</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hidden="1" customHeight="1">
      <c r="A389" s="343" t="str">
        <f>IF(B389&lt;&gt;"",IF(AND(B389='IN-TC'!$S$4,OR(TH!N389="1111",TH!O389="1111")),TH!D389,""),"")</f>
        <v/>
      </c>
      <c r="B389" s="63">
        <f t="shared" si="35"/>
        <v>2</v>
      </c>
      <c r="C389" s="64">
        <v>42403</v>
      </c>
      <c r="D389" s="64" t="s">
        <v>708</v>
      </c>
      <c r="E389" s="64">
        <v>42403</v>
      </c>
      <c r="F389" s="67" t="s">
        <v>751</v>
      </c>
      <c r="G389" s="67" t="s">
        <v>929</v>
      </c>
      <c r="H389" s="74"/>
      <c r="I389" s="447"/>
      <c r="J389" s="447"/>
      <c r="K389" s="438"/>
      <c r="L389" s="447"/>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x</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hidden="1" customHeight="1">
      <c r="A390" s="343" t="str">
        <f>IF(B390&lt;&gt;"",IF(AND(B390='IN-TC'!$S$4,OR(TH!N390="1111",TH!O390="1111")),TH!D390,""),"")</f>
        <v/>
      </c>
      <c r="B390" s="63">
        <f t="shared" si="35"/>
        <v>2</v>
      </c>
      <c r="C390" s="64">
        <v>42403</v>
      </c>
      <c r="D390" s="64" t="s">
        <v>708</v>
      </c>
      <c r="E390" s="64">
        <v>42403</v>
      </c>
      <c r="F390" s="67" t="s">
        <v>753</v>
      </c>
      <c r="G390" s="67" t="s">
        <v>929</v>
      </c>
      <c r="H390" s="74"/>
      <c r="I390" s="447"/>
      <c r="J390" s="447"/>
      <c r="K390" s="438"/>
      <c r="L390" s="447"/>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x</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hidden="1" customHeight="1">
      <c r="A391" s="343" t="str">
        <f>IF(B391&lt;&gt;"",IF(AND(B391='IN-TC'!$S$4,OR(TH!N391="1111",TH!O391="1111")),TH!D391,""),"")</f>
        <v/>
      </c>
      <c r="B391" s="63">
        <f t="shared" si="35"/>
        <v>2</v>
      </c>
      <c r="C391" s="64">
        <v>42403</v>
      </c>
      <c r="D391" s="64" t="s">
        <v>708</v>
      </c>
      <c r="E391" s="64">
        <v>42403</v>
      </c>
      <c r="F391" s="67" t="s">
        <v>1111</v>
      </c>
      <c r="G391" s="67" t="s">
        <v>929</v>
      </c>
      <c r="H391" s="74" t="s">
        <v>627</v>
      </c>
      <c r="I391" s="447"/>
      <c r="J391" s="447"/>
      <c r="K391" s="438"/>
      <c r="L391" s="447"/>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x</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hidden="1" customHeight="1">
      <c r="A392" s="343" t="str">
        <f>IF(B392&lt;&gt;"",IF(AND(B392='IN-TC'!$S$4,OR(TH!N392="1111",TH!O392="1111")),TH!D392,""),"")</f>
        <v/>
      </c>
      <c r="B392" s="63">
        <f t="shared" si="35"/>
        <v>2</v>
      </c>
      <c r="C392" s="64">
        <v>42403</v>
      </c>
      <c r="D392" s="64" t="s">
        <v>708</v>
      </c>
      <c r="E392" s="64">
        <v>42403</v>
      </c>
      <c r="F392" s="67" t="s">
        <v>751</v>
      </c>
      <c r="G392" s="67" t="s">
        <v>929</v>
      </c>
      <c r="H392" s="74"/>
      <c r="I392" s="447"/>
      <c r="J392" s="447"/>
      <c r="K392" s="438"/>
      <c r="L392" s="447"/>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x</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hidden="1" customHeight="1">
      <c r="A393" s="343" t="str">
        <f>IF(B393&lt;&gt;"",IF(AND(B393='IN-TC'!$S$4,OR(TH!N393="1111",TH!O393="1111")),TH!D393,""),"")</f>
        <v/>
      </c>
      <c r="B393" s="63">
        <f t="shared" si="35"/>
        <v>2</v>
      </c>
      <c r="C393" s="64">
        <v>42403</v>
      </c>
      <c r="D393" s="64" t="s">
        <v>708</v>
      </c>
      <c r="E393" s="64">
        <v>42403</v>
      </c>
      <c r="F393" s="67" t="s">
        <v>753</v>
      </c>
      <c r="G393" s="67" t="s">
        <v>929</v>
      </c>
      <c r="H393" s="74"/>
      <c r="I393" s="447"/>
      <c r="J393" s="447"/>
      <c r="K393" s="438"/>
      <c r="L393" s="447"/>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x</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hidden="1" customHeight="1">
      <c r="A394" s="343" t="str">
        <f>IF(B394&lt;&gt;"",IF(AND(B394='IN-TC'!$S$4,OR(TH!N394="1111",TH!O394="1111")),TH!D394,""),"")</f>
        <v/>
      </c>
      <c r="B394" s="63">
        <f t="shared" si="35"/>
        <v>2</v>
      </c>
      <c r="C394" s="64">
        <v>42403</v>
      </c>
      <c r="D394" s="64" t="s">
        <v>708</v>
      </c>
      <c r="E394" s="64">
        <v>42403</v>
      </c>
      <c r="F394" s="67" t="s">
        <v>1112</v>
      </c>
      <c r="G394" s="67" t="s">
        <v>929</v>
      </c>
      <c r="H394" s="74"/>
      <c r="I394" s="447"/>
      <c r="J394" s="447"/>
      <c r="K394" s="438"/>
      <c r="L394" s="447"/>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x</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hidden="1" customHeight="1">
      <c r="A395" s="343" t="str">
        <f>IF(B395&lt;&gt;"",IF(AND(B395='IN-TC'!$S$4,OR(TH!N395="1111",TH!O395="1111")),TH!D395,""),"")</f>
        <v/>
      </c>
      <c r="B395" s="63">
        <f t="shared" ref="B395:B458" si="36">IF(C395&lt;&gt;"",MONTH(C395),"")</f>
        <v>2</v>
      </c>
      <c r="C395" s="64">
        <v>42403</v>
      </c>
      <c r="D395" s="64" t="s">
        <v>708</v>
      </c>
      <c r="E395" s="64">
        <v>42403</v>
      </c>
      <c r="F395" s="67" t="s">
        <v>751</v>
      </c>
      <c r="G395" s="67" t="s">
        <v>929</v>
      </c>
      <c r="H395" s="74"/>
      <c r="I395" s="447"/>
      <c r="J395" s="447"/>
      <c r="K395" s="438"/>
      <c r="L395" s="447"/>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x</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hidden="1" customHeight="1">
      <c r="A396" s="343" t="str">
        <f>IF(B396&lt;&gt;"",IF(AND(B396='IN-TC'!$S$4,OR(TH!N396="1111",TH!O396="1111")),TH!D396,""),"")</f>
        <v/>
      </c>
      <c r="B396" s="63">
        <f t="shared" si="36"/>
        <v>2</v>
      </c>
      <c r="C396" s="150">
        <v>42403</v>
      </c>
      <c r="D396" s="64" t="s">
        <v>708</v>
      </c>
      <c r="E396" s="150">
        <v>42403</v>
      </c>
      <c r="F396" s="94" t="s">
        <v>753</v>
      </c>
      <c r="G396" s="67" t="s">
        <v>929</v>
      </c>
      <c r="H396" s="74"/>
      <c r="I396" s="452"/>
      <c r="J396" s="452"/>
      <c r="K396" s="443"/>
      <c r="L396" s="452"/>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x</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hidden="1" customHeight="1">
      <c r="A397" s="343" t="str">
        <f>IF(B397&lt;&gt;"",IF(AND(B397='IN-TC'!$S$4,OR(TH!N397="1111",TH!O397="1111")),TH!D397,""),"")</f>
        <v>T01</v>
      </c>
      <c r="B397" s="63">
        <f t="shared" si="36"/>
        <v>2</v>
      </c>
      <c r="C397" s="64">
        <v>42403</v>
      </c>
      <c r="D397" s="64" t="s">
        <v>884</v>
      </c>
      <c r="E397" s="64">
        <v>42403</v>
      </c>
      <c r="F397" s="67" t="s">
        <v>764</v>
      </c>
      <c r="G397" s="67" t="s">
        <v>928</v>
      </c>
      <c r="H397" s="75" t="s">
        <v>772</v>
      </c>
      <c r="I397" s="447"/>
      <c r="J397" s="447"/>
      <c r="K397" s="438"/>
      <c r="L397" s="447"/>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hidden="1" customHeight="1">
      <c r="A398" s="343" t="str">
        <f>IF(B398&lt;&gt;"",IF(AND(B398='IN-TC'!$S$4,OR(TH!N398="1111",TH!O398="1111")),TH!D398,""),"")</f>
        <v>C05</v>
      </c>
      <c r="B398" s="63">
        <f t="shared" si="36"/>
        <v>2</v>
      </c>
      <c r="C398" s="64">
        <v>42404</v>
      </c>
      <c r="D398" s="64" t="s">
        <v>882</v>
      </c>
      <c r="E398" s="64">
        <v>42404</v>
      </c>
      <c r="F398" s="67" t="s">
        <v>780</v>
      </c>
      <c r="G398" s="67" t="s">
        <v>1034</v>
      </c>
      <c r="H398" s="353" t="s">
        <v>818</v>
      </c>
      <c r="I398" s="451"/>
      <c r="J398" s="451"/>
      <c r="K398" s="442"/>
      <c r="L398" s="451"/>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hidden="1" customHeight="1">
      <c r="A399" s="343" t="str">
        <f>IF(B399&lt;&gt;"",IF(AND(B399='IN-TC'!$S$4,OR(TH!N399="1111",TH!O399="1111")),TH!D399,""),"")</f>
        <v>C05</v>
      </c>
      <c r="B399" s="63">
        <f t="shared" si="36"/>
        <v>2</v>
      </c>
      <c r="C399" s="64">
        <v>42404</v>
      </c>
      <c r="D399" s="64" t="s">
        <v>882</v>
      </c>
      <c r="E399" s="64">
        <v>42404</v>
      </c>
      <c r="F399" s="67" t="s">
        <v>781</v>
      </c>
      <c r="G399" s="67" t="s">
        <v>1034</v>
      </c>
      <c r="H399" s="74" t="s">
        <v>818</v>
      </c>
      <c r="I399" s="447"/>
      <c r="J399" s="447"/>
      <c r="K399" s="438"/>
      <c r="L399" s="447"/>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hidden="1" customHeight="1">
      <c r="A400" s="343" t="str">
        <f>IF(B400&lt;&gt;"",IF(AND(B400='IN-TC'!$S$4,OR(TH!N400="1111",TH!O400="1111")),TH!D400,""),"")</f>
        <v>T02</v>
      </c>
      <c r="B400" s="63">
        <f t="shared" si="36"/>
        <v>2</v>
      </c>
      <c r="C400" s="150">
        <v>42404</v>
      </c>
      <c r="D400" s="64" t="s">
        <v>913</v>
      </c>
      <c r="E400" s="150">
        <v>42404</v>
      </c>
      <c r="F400" s="94" t="s">
        <v>754</v>
      </c>
      <c r="G400" s="67" t="s">
        <v>929</v>
      </c>
      <c r="H400" s="75" t="s">
        <v>772</v>
      </c>
      <c r="I400" s="452"/>
      <c r="J400" s="452"/>
      <c r="K400" s="443"/>
      <c r="L400" s="452"/>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x</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hidden="1" customHeight="1">
      <c r="A401" s="343" t="str">
        <f>IF(B401&lt;&gt;"",IF(AND(B401='IN-TC'!$S$4,OR(TH!N401="1111",TH!O401="1111")),TH!D401,""),"")</f>
        <v/>
      </c>
      <c r="B401" s="63">
        <f t="shared" si="36"/>
        <v>2</v>
      </c>
      <c r="C401" s="64">
        <v>42405</v>
      </c>
      <c r="D401" s="64" t="s">
        <v>705</v>
      </c>
      <c r="E401" s="64">
        <v>42405</v>
      </c>
      <c r="F401" s="67" t="s">
        <v>1057</v>
      </c>
      <c r="G401" s="67" t="s">
        <v>929</v>
      </c>
      <c r="H401" s="74"/>
      <c r="I401" s="447"/>
      <c r="J401" s="447"/>
      <c r="K401" s="438"/>
      <c r="L401" s="447"/>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x</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hidden="1" customHeight="1">
      <c r="A402" s="343" t="str">
        <f>IF(B402&lt;&gt;"",IF(AND(B402='IN-TC'!$S$4,OR(TH!N402="1111",TH!O402="1111")),TH!D402,""),"")</f>
        <v/>
      </c>
      <c r="B402" s="63">
        <f t="shared" si="36"/>
        <v>2</v>
      </c>
      <c r="C402" s="64">
        <v>42405</v>
      </c>
      <c r="D402" s="64" t="s">
        <v>705</v>
      </c>
      <c r="E402" s="64">
        <v>42405</v>
      </c>
      <c r="F402" s="67" t="s">
        <v>1062</v>
      </c>
      <c r="G402" s="67" t="s">
        <v>929</v>
      </c>
      <c r="H402" s="74" t="s">
        <v>604</v>
      </c>
      <c r="I402" s="447"/>
      <c r="J402" s="447"/>
      <c r="K402" s="438">
        <v>7743.32</v>
      </c>
      <c r="L402" s="447">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hidden="1" customHeight="1">
      <c r="A403" s="343" t="str">
        <f>IF(B403&lt;&gt;"",IF(AND(B403='IN-TC'!$S$4,OR(TH!N403="1111",TH!O403="1111")),TH!D403,""),"")</f>
        <v/>
      </c>
      <c r="B403" s="63">
        <f t="shared" si="36"/>
        <v>2</v>
      </c>
      <c r="C403" s="64">
        <f t="shared" ref="C403:C408" si="37">E403</f>
        <v>42405</v>
      </c>
      <c r="D403" s="64" t="s">
        <v>585</v>
      </c>
      <c r="E403" s="64">
        <v>42405</v>
      </c>
      <c r="F403" s="67" t="s">
        <v>1075</v>
      </c>
      <c r="G403" s="67" t="s">
        <v>929</v>
      </c>
      <c r="H403" s="74" t="s">
        <v>604</v>
      </c>
      <c r="I403" s="447"/>
      <c r="J403" s="447"/>
      <c r="K403" s="438">
        <v>107.34</v>
      </c>
      <c r="L403" s="447">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hidden="1" customHeight="1">
      <c r="A404" s="343" t="str">
        <f>IF(B404&lt;&gt;"",IF(AND(B404='IN-TC'!$S$4,OR(TH!N404="1111",TH!O404="1111")),TH!D404,""),"")</f>
        <v/>
      </c>
      <c r="B404" s="63">
        <f t="shared" si="36"/>
        <v>2</v>
      </c>
      <c r="C404" s="64">
        <f t="shared" si="37"/>
        <v>42405</v>
      </c>
      <c r="D404" s="64" t="s">
        <v>585</v>
      </c>
      <c r="E404" s="64">
        <v>42405</v>
      </c>
      <c r="F404" s="67" t="s">
        <v>1076</v>
      </c>
      <c r="G404" s="67" t="s">
        <v>929</v>
      </c>
      <c r="H404" s="74" t="s">
        <v>604</v>
      </c>
      <c r="I404" s="447"/>
      <c r="J404" s="447"/>
      <c r="K404" s="438">
        <v>10.73</v>
      </c>
      <c r="L404" s="447">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hidden="1" customHeight="1">
      <c r="A405" s="343" t="str">
        <f>IF(B405&lt;&gt;"",IF(AND(B405='IN-TC'!$S$4,OR(TH!N405="1111",TH!O405="1111")),TH!D405,""),"")</f>
        <v/>
      </c>
      <c r="B405" s="63">
        <f t="shared" si="36"/>
        <v>2</v>
      </c>
      <c r="C405" s="64">
        <f t="shared" si="37"/>
        <v>42405</v>
      </c>
      <c r="D405" s="64" t="s">
        <v>585</v>
      </c>
      <c r="E405" s="64">
        <v>42405</v>
      </c>
      <c r="F405" s="67" t="s">
        <v>1077</v>
      </c>
      <c r="G405" s="67" t="s">
        <v>929</v>
      </c>
      <c r="H405" s="74" t="s">
        <v>604</v>
      </c>
      <c r="I405" s="447"/>
      <c r="J405" s="447"/>
      <c r="K405" s="438">
        <v>63.61</v>
      </c>
      <c r="L405" s="447">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hidden="1" customHeight="1">
      <c r="A406" s="343" t="str">
        <f>IF(B406&lt;&gt;"",IF(AND(B406='IN-TC'!$S$4,OR(TH!N406="1111",TH!O406="1111")),TH!D406,""),"")</f>
        <v/>
      </c>
      <c r="B406" s="63">
        <f t="shared" si="36"/>
        <v>2</v>
      </c>
      <c r="C406" s="64">
        <f t="shared" si="37"/>
        <v>42405</v>
      </c>
      <c r="D406" s="64" t="s">
        <v>585</v>
      </c>
      <c r="E406" s="64">
        <v>42405</v>
      </c>
      <c r="F406" s="67" t="s">
        <v>1078</v>
      </c>
      <c r="G406" s="67" t="s">
        <v>929</v>
      </c>
      <c r="H406" s="74" t="s">
        <v>604</v>
      </c>
      <c r="I406" s="447"/>
      <c r="J406" s="447"/>
      <c r="K406" s="438">
        <v>35</v>
      </c>
      <c r="L406" s="447">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hidden="1" customHeight="1">
      <c r="A407" s="343" t="str">
        <f>IF(B407&lt;&gt;"",IF(AND(B407='IN-TC'!$S$4,OR(TH!N407="1111",TH!O407="1111")),TH!D407,""),"")</f>
        <v/>
      </c>
      <c r="B407" s="63">
        <f t="shared" si="36"/>
        <v>2</v>
      </c>
      <c r="C407" s="64">
        <f t="shared" si="37"/>
        <v>42405</v>
      </c>
      <c r="D407" s="64" t="s">
        <v>585</v>
      </c>
      <c r="E407" s="64">
        <v>42405</v>
      </c>
      <c r="F407" s="67" t="s">
        <v>1079</v>
      </c>
      <c r="G407" s="67"/>
      <c r="H407" s="74" t="s">
        <v>604</v>
      </c>
      <c r="I407" s="447"/>
      <c r="J407" s="447"/>
      <c r="K407" s="438"/>
      <c r="L407" s="447"/>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hidden="1" customHeight="1">
      <c r="A408" s="343" t="str">
        <f>IF(B408&lt;&gt;"",IF(AND(B408='IN-TC'!$S$4,OR(TH!N408="1111",TH!O408="1111")),TH!D408,""),"")</f>
        <v>C06</v>
      </c>
      <c r="B408" s="63">
        <f t="shared" si="36"/>
        <v>2</v>
      </c>
      <c r="C408" s="320">
        <f t="shared" si="37"/>
        <v>42405</v>
      </c>
      <c r="D408" s="64" t="s">
        <v>883</v>
      </c>
      <c r="E408" s="320">
        <v>42405</v>
      </c>
      <c r="F408" s="82" t="s">
        <v>974</v>
      </c>
      <c r="G408" s="82"/>
      <c r="H408" s="83" t="s">
        <v>973</v>
      </c>
      <c r="I408" s="445"/>
      <c r="J408" s="445"/>
      <c r="K408" s="436"/>
      <c r="L408" s="445"/>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hidden="1" customHeight="1">
      <c r="A409" s="343" t="str">
        <f>IF(B409&lt;&gt;"",IF(AND(B409='IN-TC'!$S$4,OR(TH!N409="1111",TH!O409="1111")),TH!D409,""),"")</f>
        <v>C07</v>
      </c>
      <c r="B409" s="63">
        <f t="shared" si="36"/>
        <v>2</v>
      </c>
      <c r="C409" s="64">
        <v>42406</v>
      </c>
      <c r="D409" s="64" t="s">
        <v>885</v>
      </c>
      <c r="E409" s="64">
        <v>42406</v>
      </c>
      <c r="F409" s="67" t="s">
        <v>1015</v>
      </c>
      <c r="G409" s="67" t="s">
        <v>1035</v>
      </c>
      <c r="H409" s="74" t="s">
        <v>818</v>
      </c>
      <c r="I409" s="447"/>
      <c r="J409" s="447"/>
      <c r="K409" s="438"/>
      <c r="L409" s="447"/>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hidden="1" customHeight="1">
      <c r="A410" s="343" t="str">
        <f>IF(B410&lt;&gt;"",IF(AND(B410='IN-TC'!$S$4,OR(TH!N410="1111",TH!O410="1111")),TH!D410,""),"")</f>
        <v>C07</v>
      </c>
      <c r="B410" s="63">
        <f t="shared" si="36"/>
        <v>2</v>
      </c>
      <c r="C410" s="64">
        <v>42406</v>
      </c>
      <c r="D410" s="64" t="s">
        <v>885</v>
      </c>
      <c r="E410" s="64">
        <v>42406</v>
      </c>
      <c r="F410" s="67" t="s">
        <v>1016</v>
      </c>
      <c r="G410" s="67" t="s">
        <v>1035</v>
      </c>
      <c r="H410" s="74" t="s">
        <v>818</v>
      </c>
      <c r="I410" s="447"/>
      <c r="J410" s="447"/>
      <c r="K410" s="438"/>
      <c r="L410" s="447"/>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hidden="1" customHeight="1">
      <c r="A411" s="343" t="str">
        <f>IF(B411&lt;&gt;"",IF(AND(B411='IN-TC'!$S$4,OR(TH!N411="1111",TH!O411="1111")),TH!D411,""),"")</f>
        <v/>
      </c>
      <c r="B411" s="63">
        <f t="shared" si="36"/>
        <v>2</v>
      </c>
      <c r="C411" s="150">
        <v>42415</v>
      </c>
      <c r="D411" s="64" t="s">
        <v>708</v>
      </c>
      <c r="E411" s="150">
        <v>42415</v>
      </c>
      <c r="F411" s="94" t="s">
        <v>1058</v>
      </c>
      <c r="G411" s="67" t="s">
        <v>929</v>
      </c>
      <c r="H411" s="74" t="s">
        <v>719</v>
      </c>
      <c r="I411" s="447"/>
      <c r="J411" s="447"/>
      <c r="K411" s="438"/>
      <c r="L411" s="447"/>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x</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hidden="1" customHeight="1">
      <c r="A412" s="343" t="str">
        <f>IF(B412&lt;&gt;"",IF(AND(B412='IN-TC'!$S$4,OR(TH!N412="1111",TH!O412="1111")),TH!D412,""),"")</f>
        <v/>
      </c>
      <c r="B412" s="63">
        <f t="shared" si="36"/>
        <v>2</v>
      </c>
      <c r="C412" s="64">
        <v>42415</v>
      </c>
      <c r="D412" s="64" t="s">
        <v>708</v>
      </c>
      <c r="E412" s="64">
        <v>42415</v>
      </c>
      <c r="F412" s="67" t="s">
        <v>1059</v>
      </c>
      <c r="G412" s="67" t="s">
        <v>929</v>
      </c>
      <c r="H412" s="351" t="s">
        <v>720</v>
      </c>
      <c r="I412" s="449"/>
      <c r="J412" s="449"/>
      <c r="K412" s="440"/>
      <c r="L412" s="449"/>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x</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hidden="1" customHeight="1">
      <c r="A413" s="343" t="str">
        <f>IF(B413&lt;&gt;"",IF(AND(B413='IN-TC'!$S$4,OR(TH!N413="1111",TH!O413="1111")),TH!D413,""),"")</f>
        <v/>
      </c>
      <c r="B413" s="63">
        <f t="shared" si="36"/>
        <v>2</v>
      </c>
      <c r="C413" s="64">
        <v>42415</v>
      </c>
      <c r="D413" s="64" t="s">
        <v>708</v>
      </c>
      <c r="E413" s="64">
        <v>42415</v>
      </c>
      <c r="F413" s="67" t="s">
        <v>1060</v>
      </c>
      <c r="G413" s="67" t="s">
        <v>929</v>
      </c>
      <c r="H413" s="351" t="s">
        <v>721</v>
      </c>
      <c r="I413" s="449"/>
      <c r="J413" s="449"/>
      <c r="K413" s="440"/>
      <c r="L413" s="449"/>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x</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hidden="1" customHeight="1">
      <c r="A414" s="343" t="str">
        <f>IF(B414&lt;&gt;"",IF(AND(B414='IN-TC'!$S$4,OR(TH!N414="1111",TH!O414="1111")),TH!D414,""),"")</f>
        <v/>
      </c>
      <c r="B414" s="63">
        <f t="shared" si="36"/>
        <v>2</v>
      </c>
      <c r="C414" s="64">
        <v>42415</v>
      </c>
      <c r="D414" s="64" t="s">
        <v>708</v>
      </c>
      <c r="E414" s="64">
        <v>42415</v>
      </c>
      <c r="F414" s="67" t="s">
        <v>1061</v>
      </c>
      <c r="G414" s="67" t="s">
        <v>929</v>
      </c>
      <c r="H414" s="74" t="s">
        <v>722</v>
      </c>
      <c r="I414" s="447"/>
      <c r="J414" s="447"/>
      <c r="K414" s="438"/>
      <c r="L414" s="447"/>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x</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hidden="1" customHeight="1">
      <c r="A415" s="343" t="str">
        <f>IF(B415&lt;&gt;"",IF(AND(B415='IN-TC'!$S$4,OR(TH!N415="1111",TH!O415="1111")),TH!D415,""),"")</f>
        <v/>
      </c>
      <c r="B415" s="63">
        <f t="shared" si="36"/>
        <v>2</v>
      </c>
      <c r="C415" s="64">
        <v>42415</v>
      </c>
      <c r="D415" s="64" t="s">
        <v>708</v>
      </c>
      <c r="E415" s="64">
        <v>42415</v>
      </c>
      <c r="F415" s="67" t="s">
        <v>769</v>
      </c>
      <c r="G415" s="67" t="s">
        <v>928</v>
      </c>
      <c r="H415" s="74"/>
      <c r="I415" s="447"/>
      <c r="J415" s="447"/>
      <c r="K415" s="438"/>
      <c r="L415" s="447"/>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hidden="1" customHeight="1">
      <c r="A416" s="343" t="str">
        <f>IF(B416&lt;&gt;"",IF(AND(B416='IN-TC'!$S$4,OR(TH!N416="1111",TH!O416="1111")),TH!D416,""),"")</f>
        <v/>
      </c>
      <c r="B416" s="63">
        <f t="shared" si="36"/>
        <v>2</v>
      </c>
      <c r="C416" s="64">
        <v>42415</v>
      </c>
      <c r="D416" s="64" t="s">
        <v>708</v>
      </c>
      <c r="E416" s="64">
        <v>42415</v>
      </c>
      <c r="F416" s="67" t="s">
        <v>770</v>
      </c>
      <c r="G416" s="67" t="s">
        <v>928</v>
      </c>
      <c r="H416" s="74"/>
      <c r="I416" s="447"/>
      <c r="J416" s="447"/>
      <c r="K416" s="438"/>
      <c r="L416" s="447"/>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hidden="1" customHeight="1">
      <c r="A417" s="343" t="str">
        <f>IF(B417&lt;&gt;"",IF(AND(B417='IN-TC'!$S$4,OR(TH!N417="1111",TH!O417="1111")),TH!D417,""),"")</f>
        <v/>
      </c>
      <c r="B417" s="63">
        <f t="shared" si="36"/>
        <v>2</v>
      </c>
      <c r="C417" s="64">
        <v>42415</v>
      </c>
      <c r="D417" s="64" t="s">
        <v>708</v>
      </c>
      <c r="E417" s="64">
        <v>42415</v>
      </c>
      <c r="F417" s="67" t="s">
        <v>769</v>
      </c>
      <c r="G417" s="67" t="s">
        <v>928</v>
      </c>
      <c r="H417" s="74"/>
      <c r="I417" s="447"/>
      <c r="J417" s="447"/>
      <c r="K417" s="438"/>
      <c r="L417" s="447"/>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hidden="1" customHeight="1">
      <c r="A418" s="343" t="str">
        <f>IF(B418&lt;&gt;"",IF(AND(B418='IN-TC'!$S$4,OR(TH!N418="1111",TH!O418="1111")),TH!D418,""),"")</f>
        <v/>
      </c>
      <c r="B418" s="63">
        <f t="shared" si="36"/>
        <v>2</v>
      </c>
      <c r="C418" s="64">
        <v>42415</v>
      </c>
      <c r="D418" s="64" t="s">
        <v>708</v>
      </c>
      <c r="E418" s="64">
        <v>42415</v>
      </c>
      <c r="F418" s="67" t="s">
        <v>770</v>
      </c>
      <c r="G418" s="67" t="s">
        <v>928</v>
      </c>
      <c r="H418" s="74"/>
      <c r="I418" s="447"/>
      <c r="J418" s="447"/>
      <c r="K418" s="438"/>
      <c r="L418" s="447"/>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hidden="1" customHeight="1">
      <c r="A419" s="343" t="str">
        <f>IF(B419&lt;&gt;"",IF(AND(B419='IN-TC'!$S$4,OR(TH!N419="1111",TH!O419="1111")),TH!D419,""),"")</f>
        <v>C08</v>
      </c>
      <c r="B419" s="63">
        <f t="shared" si="36"/>
        <v>2</v>
      </c>
      <c r="C419" s="320">
        <f>E419</f>
        <v>42417</v>
      </c>
      <c r="D419" s="64" t="s">
        <v>886</v>
      </c>
      <c r="E419" s="320">
        <v>42417</v>
      </c>
      <c r="F419" s="82" t="s">
        <v>974</v>
      </c>
      <c r="G419" s="82"/>
      <c r="H419" s="83" t="s">
        <v>973</v>
      </c>
      <c r="I419" s="445"/>
      <c r="J419" s="445"/>
      <c r="K419" s="436"/>
      <c r="L419" s="445"/>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5" customFormat="1" ht="15.75" hidden="1" customHeight="1">
      <c r="A420" s="343" t="str">
        <f>IF(B420&lt;&gt;"",IF(AND(B420='IN-TC'!$S$4,OR(TH!N420="1111",TH!O420="1111")),TH!D420,""),"")</f>
        <v>C09</v>
      </c>
      <c r="B420" s="63">
        <f t="shared" si="36"/>
        <v>2</v>
      </c>
      <c r="C420" s="64">
        <v>42418</v>
      </c>
      <c r="D420" s="64" t="s">
        <v>887</v>
      </c>
      <c r="E420" s="64">
        <v>42418</v>
      </c>
      <c r="F420" s="67" t="s">
        <v>1015</v>
      </c>
      <c r="G420" s="67" t="s">
        <v>1036</v>
      </c>
      <c r="H420" s="74" t="s">
        <v>818</v>
      </c>
      <c r="I420" s="447"/>
      <c r="J420" s="447"/>
      <c r="K420" s="438"/>
      <c r="L420" s="447"/>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hidden="1" customHeight="1">
      <c r="A421" s="343" t="str">
        <f>IF(B421&lt;&gt;"",IF(AND(B421='IN-TC'!$S$4,OR(TH!N421="1111",TH!O421="1111")),TH!D421,""),"")</f>
        <v>C09</v>
      </c>
      <c r="B421" s="63">
        <f t="shared" si="36"/>
        <v>2</v>
      </c>
      <c r="C421" s="64">
        <v>42418</v>
      </c>
      <c r="D421" s="64" t="s">
        <v>887</v>
      </c>
      <c r="E421" s="64">
        <v>42418</v>
      </c>
      <c r="F421" s="67" t="s">
        <v>1016</v>
      </c>
      <c r="G421" s="67" t="s">
        <v>1036</v>
      </c>
      <c r="H421" s="74" t="s">
        <v>818</v>
      </c>
      <c r="I421" s="447"/>
      <c r="J421" s="447"/>
      <c r="K421" s="438"/>
      <c r="L421" s="447"/>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hidden="1" customHeight="1">
      <c r="A422" s="343" t="str">
        <f>IF(B422&lt;&gt;"",IF(AND(B422='IN-TC'!$S$4,OR(TH!N422="1111",TH!O422="1111")),TH!D422,""),"")</f>
        <v>C10</v>
      </c>
      <c r="B422" s="63">
        <f t="shared" si="36"/>
        <v>2</v>
      </c>
      <c r="C422" s="64">
        <v>42418</v>
      </c>
      <c r="D422" s="64" t="s">
        <v>888</v>
      </c>
      <c r="E422" s="64">
        <v>42418</v>
      </c>
      <c r="F422" s="67" t="s">
        <v>1013</v>
      </c>
      <c r="G422" s="67" t="s">
        <v>1037</v>
      </c>
      <c r="H422" s="74" t="s">
        <v>824</v>
      </c>
      <c r="I422" s="447"/>
      <c r="J422" s="447"/>
      <c r="K422" s="438"/>
      <c r="L422" s="447"/>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5"/>
    </row>
    <row r="423" spans="1:31" ht="15.75" hidden="1" customHeight="1">
      <c r="A423" s="343" t="str">
        <f>IF(B423&lt;&gt;"",IF(AND(B423='IN-TC'!$S$4,OR(TH!N423="1111",TH!O423="1111")),TH!D423,""),"")</f>
        <v>C10</v>
      </c>
      <c r="B423" s="63">
        <f t="shared" si="36"/>
        <v>2</v>
      </c>
      <c r="C423" s="64">
        <v>42418</v>
      </c>
      <c r="D423" s="64" t="s">
        <v>888</v>
      </c>
      <c r="E423" s="64">
        <v>42418</v>
      </c>
      <c r="F423" s="67" t="s">
        <v>1014</v>
      </c>
      <c r="G423" s="67" t="s">
        <v>1037</v>
      </c>
      <c r="H423" s="74" t="s">
        <v>824</v>
      </c>
      <c r="I423" s="447"/>
      <c r="J423" s="447"/>
      <c r="K423" s="438"/>
      <c r="L423" s="447"/>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hidden="1" customHeight="1">
      <c r="A424" s="343" t="str">
        <f>IF(B424&lt;&gt;"",IF(AND(B424='IN-TC'!$S$4,OR(TH!N424="1111",TH!O424="1111")),TH!D424,""),"")</f>
        <v/>
      </c>
      <c r="B424" s="63">
        <f t="shared" si="36"/>
        <v>2</v>
      </c>
      <c r="C424" s="64">
        <v>42418</v>
      </c>
      <c r="D424" s="64" t="s">
        <v>705</v>
      </c>
      <c r="E424" s="64">
        <v>42418</v>
      </c>
      <c r="F424" s="67" t="s">
        <v>1063</v>
      </c>
      <c r="G424" s="67" t="s">
        <v>929</v>
      </c>
      <c r="H424" s="74" t="s">
        <v>601</v>
      </c>
      <c r="I424" s="447"/>
      <c r="J424" s="447"/>
      <c r="K424" s="438">
        <v>1750.86</v>
      </c>
      <c r="L424" s="447">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hidden="1" customHeight="1">
      <c r="A425" s="343" t="str">
        <f>IF(B425&lt;&gt;"",IF(AND(B425='IN-TC'!$S$4,OR(TH!N425="1111",TH!O425="1111")),TH!D425,""),"")</f>
        <v/>
      </c>
      <c r="B425" s="63">
        <f t="shared" si="36"/>
        <v>2</v>
      </c>
      <c r="C425" s="64">
        <f>E425</f>
        <v>42418</v>
      </c>
      <c r="D425" s="64" t="s">
        <v>585</v>
      </c>
      <c r="E425" s="64">
        <v>42418</v>
      </c>
      <c r="F425" s="67" t="s">
        <v>1075</v>
      </c>
      <c r="G425" s="67" t="s">
        <v>929</v>
      </c>
      <c r="H425" s="74" t="s">
        <v>601</v>
      </c>
      <c r="I425" s="447"/>
      <c r="J425" s="447"/>
      <c r="K425" s="438">
        <v>59.4</v>
      </c>
      <c r="L425" s="447">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hidden="1" customHeight="1">
      <c r="A426" s="343" t="str">
        <f>IF(B426&lt;&gt;"",IF(AND(B426='IN-TC'!$S$4,OR(TH!N426="1111",TH!O426="1111")),TH!D426,""),"")</f>
        <v/>
      </c>
      <c r="B426" s="63">
        <f t="shared" si="36"/>
        <v>2</v>
      </c>
      <c r="C426" s="64">
        <f>E426</f>
        <v>42418</v>
      </c>
      <c r="D426" s="64" t="s">
        <v>585</v>
      </c>
      <c r="E426" s="64">
        <v>42418</v>
      </c>
      <c r="F426" s="67" t="s">
        <v>1076</v>
      </c>
      <c r="G426" s="67" t="s">
        <v>929</v>
      </c>
      <c r="H426" s="74" t="s">
        <v>601</v>
      </c>
      <c r="I426" s="447"/>
      <c r="J426" s="447"/>
      <c r="K426" s="438">
        <v>5.94</v>
      </c>
      <c r="L426" s="447">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hidden="1" customHeight="1">
      <c r="A427" s="343" t="str">
        <f>IF(B427&lt;&gt;"",IF(AND(B427='IN-TC'!$S$4,OR(TH!N427="1111",TH!O427="1111")),TH!D427,""),"")</f>
        <v/>
      </c>
      <c r="B427" s="63">
        <f t="shared" si="36"/>
        <v>2</v>
      </c>
      <c r="C427" s="64">
        <f>E427</f>
        <v>42418</v>
      </c>
      <c r="D427" s="64" t="s">
        <v>585</v>
      </c>
      <c r="E427" s="64">
        <v>42418</v>
      </c>
      <c r="F427" s="67" t="s">
        <v>1077</v>
      </c>
      <c r="G427" s="67" t="s">
        <v>929</v>
      </c>
      <c r="H427" s="74" t="s">
        <v>601</v>
      </c>
      <c r="I427" s="447"/>
      <c r="J427" s="447"/>
      <c r="K427" s="438">
        <v>96.8</v>
      </c>
      <c r="L427" s="447">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4" customFormat="1" ht="15.75" hidden="1" customHeight="1">
      <c r="A428" s="343" t="str">
        <f>IF(B428&lt;&gt;"",IF(AND(B428='IN-TC'!$S$4,OR(TH!N428="1111",TH!O428="1111")),TH!D428,""),"")</f>
        <v/>
      </c>
      <c r="B428" s="63">
        <f t="shared" si="36"/>
        <v>2</v>
      </c>
      <c r="C428" s="64">
        <f>E428</f>
        <v>42418</v>
      </c>
      <c r="D428" s="64" t="s">
        <v>585</v>
      </c>
      <c r="E428" s="64">
        <v>42418</v>
      </c>
      <c r="F428" s="67" t="s">
        <v>1104</v>
      </c>
      <c r="G428" s="67" t="s">
        <v>929</v>
      </c>
      <c r="H428" s="74" t="s">
        <v>601</v>
      </c>
      <c r="I428" s="447"/>
      <c r="J428" s="447"/>
      <c r="K428" s="438">
        <v>247</v>
      </c>
      <c r="L428" s="447">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hidden="1" customHeight="1">
      <c r="A429" s="343" t="str">
        <f>IF(B429&lt;&gt;"",IF(AND(B429='IN-TC'!$S$4,OR(TH!N429="1111",TH!O429="1111")),TH!D429,""),"")</f>
        <v/>
      </c>
      <c r="B429" s="63">
        <f t="shared" si="36"/>
        <v>2</v>
      </c>
      <c r="C429" s="64">
        <f>E429</f>
        <v>42418</v>
      </c>
      <c r="D429" s="64" t="s">
        <v>585</v>
      </c>
      <c r="E429" s="64">
        <v>42418</v>
      </c>
      <c r="F429" s="67" t="s">
        <v>1079</v>
      </c>
      <c r="G429" s="67"/>
      <c r="H429" s="74" t="s">
        <v>601</v>
      </c>
      <c r="I429" s="447"/>
      <c r="J429" s="447"/>
      <c r="K429" s="438"/>
      <c r="L429" s="447"/>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hidden="1" customHeight="1">
      <c r="A430" s="343" t="str">
        <f>IF(B430&lt;&gt;"",IF(AND(B430='IN-TC'!$S$4,OR(TH!N430="1111",TH!O430="1111")),TH!D430,""),"")</f>
        <v/>
      </c>
      <c r="B430" s="63">
        <f t="shared" si="36"/>
        <v>2</v>
      </c>
      <c r="C430" s="64">
        <v>42418</v>
      </c>
      <c r="D430" s="64" t="s">
        <v>708</v>
      </c>
      <c r="E430" s="64">
        <v>42418</v>
      </c>
      <c r="F430" s="67" t="s">
        <v>1065</v>
      </c>
      <c r="G430" s="67" t="s">
        <v>929</v>
      </c>
      <c r="H430" s="74" t="s">
        <v>730</v>
      </c>
      <c r="I430" s="447"/>
      <c r="J430" s="447"/>
      <c r="K430" s="438">
        <v>282.44</v>
      </c>
      <c r="L430" s="447">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4"/>
    </row>
    <row r="431" spans="1:31" ht="15.75" hidden="1" customHeight="1">
      <c r="A431" s="343" t="str">
        <f>IF(B431&lt;&gt;"",IF(AND(B431='IN-TC'!$S$4,OR(TH!N431="1111",TH!O431="1111")),TH!D431,""),"")</f>
        <v/>
      </c>
      <c r="B431" s="63">
        <f t="shared" si="36"/>
        <v>2</v>
      </c>
      <c r="C431" s="64">
        <v>42418</v>
      </c>
      <c r="D431" s="64" t="s">
        <v>708</v>
      </c>
      <c r="E431" s="64">
        <v>42418</v>
      </c>
      <c r="F431" s="67" t="s">
        <v>1066</v>
      </c>
      <c r="G431" s="67" t="s">
        <v>929</v>
      </c>
      <c r="H431" s="74" t="s">
        <v>731</v>
      </c>
      <c r="I431" s="447"/>
      <c r="J431" s="447"/>
      <c r="K431" s="438">
        <v>137.78</v>
      </c>
      <c r="L431" s="447">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hidden="1" customHeight="1">
      <c r="A432" s="343" t="str">
        <f>IF(B432&lt;&gt;"",IF(AND(B432='IN-TC'!$S$4,OR(TH!N432="1111",TH!O432="1111")),TH!D432,""),"")</f>
        <v/>
      </c>
      <c r="B432" s="63">
        <f t="shared" si="36"/>
        <v>2</v>
      </c>
      <c r="C432" s="64">
        <v>42418</v>
      </c>
      <c r="D432" s="64" t="s">
        <v>708</v>
      </c>
      <c r="E432" s="64">
        <v>42418</v>
      </c>
      <c r="F432" s="67" t="s">
        <v>1067</v>
      </c>
      <c r="G432" s="67" t="s">
        <v>929</v>
      </c>
      <c r="H432" s="74" t="s">
        <v>732</v>
      </c>
      <c r="I432" s="447"/>
      <c r="J432" s="447"/>
      <c r="K432" s="438">
        <v>172.22</v>
      </c>
      <c r="L432" s="447">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hidden="1" customHeight="1">
      <c r="A433" s="343" t="str">
        <f>IF(B433&lt;&gt;"",IF(AND(B433='IN-TC'!$S$4,OR(TH!N433="1111",TH!O433="1111")),TH!D433,""),"")</f>
        <v/>
      </c>
      <c r="B433" s="63">
        <f t="shared" si="36"/>
        <v>2</v>
      </c>
      <c r="C433" s="64">
        <v>42418</v>
      </c>
      <c r="D433" s="64" t="s">
        <v>708</v>
      </c>
      <c r="E433" s="64">
        <v>42418</v>
      </c>
      <c r="F433" s="67" t="s">
        <v>1068</v>
      </c>
      <c r="G433" s="67" t="s">
        <v>929</v>
      </c>
      <c r="H433" s="74" t="s">
        <v>733</v>
      </c>
      <c r="I433" s="447"/>
      <c r="J433" s="447"/>
      <c r="K433" s="438">
        <v>308.27999999999997</v>
      </c>
      <c r="L433" s="447">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hidden="1" customHeight="1">
      <c r="A434" s="343" t="str">
        <f>IF(B434&lt;&gt;"",IF(AND(B434='IN-TC'!$S$4,OR(TH!N434="1111",TH!O434="1111")),TH!D434,""),"")</f>
        <v/>
      </c>
      <c r="B434" s="63">
        <f t="shared" si="36"/>
        <v>2</v>
      </c>
      <c r="C434" s="64">
        <v>42418</v>
      </c>
      <c r="D434" s="64" t="s">
        <v>708</v>
      </c>
      <c r="E434" s="64">
        <v>42418</v>
      </c>
      <c r="F434" s="67" t="s">
        <v>1069</v>
      </c>
      <c r="G434" s="67" t="s">
        <v>929</v>
      </c>
      <c r="H434" s="74" t="s">
        <v>734</v>
      </c>
      <c r="I434" s="447"/>
      <c r="J434" s="447"/>
      <c r="K434" s="438">
        <v>306.56</v>
      </c>
      <c r="L434" s="447">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hidden="1" customHeight="1">
      <c r="A435" s="343" t="str">
        <f>IF(B435&lt;&gt;"",IF(AND(B435='IN-TC'!$S$4,OR(TH!N435="1111",TH!O435="1111")),TH!D435,""),"")</f>
        <v/>
      </c>
      <c r="B435" s="63">
        <f t="shared" si="36"/>
        <v>2</v>
      </c>
      <c r="C435" s="64">
        <v>42418</v>
      </c>
      <c r="D435" s="64" t="s">
        <v>708</v>
      </c>
      <c r="E435" s="64">
        <v>42418</v>
      </c>
      <c r="F435" s="67" t="s">
        <v>1070</v>
      </c>
      <c r="G435" s="67" t="s">
        <v>929</v>
      </c>
      <c r="H435" s="74" t="s">
        <v>741</v>
      </c>
      <c r="I435" s="447"/>
      <c r="J435" s="447"/>
      <c r="K435" s="438">
        <v>210.11</v>
      </c>
      <c r="L435" s="447">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hidden="1" customHeight="1">
      <c r="A436" s="343" t="str">
        <f>IF(B436&lt;&gt;"",IF(AND(B436='IN-TC'!$S$4,OR(TH!N436="1111",TH!O436="1111")),TH!D436,""),"")</f>
        <v/>
      </c>
      <c r="B436" s="63">
        <f t="shared" si="36"/>
        <v>2</v>
      </c>
      <c r="C436" s="64">
        <v>42418</v>
      </c>
      <c r="D436" s="64" t="s">
        <v>708</v>
      </c>
      <c r="E436" s="64">
        <v>42418</v>
      </c>
      <c r="F436" s="67" t="s">
        <v>1071</v>
      </c>
      <c r="G436" s="67" t="s">
        <v>929</v>
      </c>
      <c r="H436" s="74" t="s">
        <v>736</v>
      </c>
      <c r="I436" s="447"/>
      <c r="J436" s="447"/>
      <c r="K436" s="438">
        <v>567.11</v>
      </c>
      <c r="L436" s="447">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hidden="1" customHeight="1">
      <c r="A437" s="343" t="str">
        <f>IF(B437&lt;&gt;"",IF(AND(B437='IN-TC'!$S$4,OR(TH!N437="1111",TH!O437="1111")),TH!D437,""),"")</f>
        <v/>
      </c>
      <c r="B437" s="63">
        <f t="shared" si="36"/>
        <v>2</v>
      </c>
      <c r="C437" s="64">
        <v>42418</v>
      </c>
      <c r="D437" s="64" t="s">
        <v>708</v>
      </c>
      <c r="E437" s="64">
        <v>42418</v>
      </c>
      <c r="F437" s="67" t="s">
        <v>1072</v>
      </c>
      <c r="G437" s="67" t="s">
        <v>929</v>
      </c>
      <c r="H437" s="74" t="s">
        <v>735</v>
      </c>
      <c r="I437" s="447"/>
      <c r="J437" s="447"/>
      <c r="K437" s="438">
        <v>306.56</v>
      </c>
      <c r="L437" s="447">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5" customFormat="1" ht="15.75" hidden="1" customHeight="1">
      <c r="A438" s="343" t="str">
        <f>IF(B438&lt;&gt;"",IF(AND(B438='IN-TC'!$S$4,OR(TH!N438="1111",TH!O438="1111")),TH!D438,""),"")</f>
        <v>C11</v>
      </c>
      <c r="B438" s="63">
        <f t="shared" si="36"/>
        <v>2</v>
      </c>
      <c r="C438" s="64">
        <v>42419</v>
      </c>
      <c r="D438" s="64" t="s">
        <v>889</v>
      </c>
      <c r="E438" s="64">
        <v>42419</v>
      </c>
      <c r="F438" s="67" t="s">
        <v>1017</v>
      </c>
      <c r="G438" s="67" t="s">
        <v>1038</v>
      </c>
      <c r="H438" s="74" t="s">
        <v>1039</v>
      </c>
      <c r="I438" s="452"/>
      <c r="J438" s="452"/>
      <c r="K438" s="443"/>
      <c r="L438" s="452"/>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5" customFormat="1" ht="15.75" hidden="1" customHeight="1">
      <c r="A439" s="343" t="str">
        <f>IF(B439&lt;&gt;"",IF(AND(B439='IN-TC'!$S$4,OR(TH!N439="1111",TH!O439="1111")),TH!D439,""),"")</f>
        <v>C11</v>
      </c>
      <c r="B439" s="63">
        <f t="shared" si="36"/>
        <v>2</v>
      </c>
      <c r="C439" s="64">
        <v>42419</v>
      </c>
      <c r="D439" s="64" t="s">
        <v>889</v>
      </c>
      <c r="E439" s="64">
        <v>42419</v>
      </c>
      <c r="F439" s="67" t="s">
        <v>1018</v>
      </c>
      <c r="G439" s="67" t="s">
        <v>1038</v>
      </c>
      <c r="H439" s="74" t="s">
        <v>1039</v>
      </c>
      <c r="I439" s="452"/>
      <c r="J439" s="452"/>
      <c r="K439" s="443"/>
      <c r="L439" s="452"/>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6" customFormat="1" ht="15.75" hidden="1" customHeight="1">
      <c r="A440" s="343" t="str">
        <f>IF(B440&lt;&gt;"",IF(AND(B440='IN-TC'!$S$4,OR(TH!N440="1111",TH!O440="1111")),TH!D440,""),"")</f>
        <v/>
      </c>
      <c r="B440" s="63">
        <f t="shared" si="36"/>
        <v>2</v>
      </c>
      <c r="C440" s="64">
        <v>42419</v>
      </c>
      <c r="D440" s="64" t="s">
        <v>705</v>
      </c>
      <c r="E440" s="64">
        <v>42419</v>
      </c>
      <c r="F440" s="67" t="s">
        <v>1055</v>
      </c>
      <c r="G440" s="67" t="s">
        <v>930</v>
      </c>
      <c r="H440" s="74"/>
      <c r="I440" s="447"/>
      <c r="J440" s="447"/>
      <c r="K440" s="438"/>
      <c r="L440" s="447"/>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x</v>
      </c>
      <c r="V440" s="85" t="str">
        <f>IF(ISERROR(FIND('112'!$M$9,G440,1)),"",IF((AND(RIGHT(G440,2)=RIGHT('112'!$M$9,2),B440&lt;'112'!$K$9,$O440='112'!$I$6)),"x",""))</f>
        <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5"/>
    </row>
    <row r="441" spans="1:31" ht="15.75" hidden="1" customHeight="1">
      <c r="A441" s="343" t="str">
        <f>IF(B441&lt;&gt;"",IF(AND(B441='IN-TC'!$S$4,OR(TH!N441="1111",TH!O441="1111")),TH!D441,""),"")</f>
        <v/>
      </c>
      <c r="B441" s="63">
        <f t="shared" si="36"/>
        <v>2</v>
      </c>
      <c r="C441" s="64">
        <v>42419</v>
      </c>
      <c r="D441" s="64" t="s">
        <v>705</v>
      </c>
      <c r="E441" s="64">
        <v>42419</v>
      </c>
      <c r="F441" s="67" t="s">
        <v>1114</v>
      </c>
      <c r="G441" s="67" t="s">
        <v>929</v>
      </c>
      <c r="H441" s="67" t="s">
        <v>635</v>
      </c>
      <c r="I441" s="449"/>
      <c r="J441" s="449"/>
      <c r="K441" s="440"/>
      <c r="L441" s="449"/>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x</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5"/>
    </row>
    <row r="442" spans="1:31" ht="15.75" hidden="1" customHeight="1">
      <c r="A442" s="343" t="str">
        <f>IF(B442&lt;&gt;"",IF(AND(B442='IN-TC'!$S$4,OR(TH!N442="1111",TH!O442="1111")),TH!D442,""),"")</f>
        <v/>
      </c>
      <c r="B442" s="63">
        <f t="shared" si="36"/>
        <v>2</v>
      </c>
      <c r="C442" s="64">
        <v>42420</v>
      </c>
      <c r="D442" s="64" t="s">
        <v>705</v>
      </c>
      <c r="E442" s="64">
        <v>42420</v>
      </c>
      <c r="F442" s="67" t="s">
        <v>1064</v>
      </c>
      <c r="G442" s="67" t="s">
        <v>928</v>
      </c>
      <c r="H442" s="7" t="s">
        <v>602</v>
      </c>
      <c r="I442" s="447"/>
      <c r="J442" s="447"/>
      <c r="K442" s="438">
        <v>4819.12</v>
      </c>
      <c r="L442" s="447">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x</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6"/>
    </row>
    <row r="443" spans="1:31" ht="15.75" hidden="1" customHeight="1">
      <c r="A443" s="343" t="str">
        <f>IF(B443&lt;&gt;"",IF(AND(B443='IN-TC'!$S$4,OR(TH!N443="1111",TH!O443="1111")),TH!D443,""),"")</f>
        <v/>
      </c>
      <c r="B443" s="63">
        <f t="shared" si="36"/>
        <v>2</v>
      </c>
      <c r="C443" s="64">
        <f>E443</f>
        <v>42420</v>
      </c>
      <c r="D443" s="320" t="s">
        <v>585</v>
      </c>
      <c r="E443" s="320">
        <v>42420</v>
      </c>
      <c r="F443" s="321" t="s">
        <v>1082</v>
      </c>
      <c r="G443" s="67" t="s">
        <v>928</v>
      </c>
      <c r="H443" s="322" t="s">
        <v>602</v>
      </c>
      <c r="I443" s="447"/>
      <c r="J443" s="447"/>
      <c r="K443" s="438">
        <v>154.44</v>
      </c>
      <c r="L443" s="447">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x</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hidden="1" customHeight="1">
      <c r="A444" s="343" t="str">
        <f>IF(B444&lt;&gt;"",IF(AND(B444='IN-TC'!$S$4,OR(TH!N444="1111",TH!O444="1111")),TH!D444,""),"")</f>
        <v/>
      </c>
      <c r="B444" s="63">
        <f t="shared" si="36"/>
        <v>2</v>
      </c>
      <c r="C444" s="64">
        <f>E444</f>
        <v>42420</v>
      </c>
      <c r="D444" s="320" t="s">
        <v>585</v>
      </c>
      <c r="E444" s="320">
        <v>42420</v>
      </c>
      <c r="F444" s="321" t="s">
        <v>1083</v>
      </c>
      <c r="G444" s="67" t="s">
        <v>928</v>
      </c>
      <c r="H444" s="322" t="s">
        <v>602</v>
      </c>
      <c r="I444" s="447"/>
      <c r="J444" s="447"/>
      <c r="K444" s="438">
        <v>15.44</v>
      </c>
      <c r="L444" s="447">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x</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hidden="1" customHeight="1">
      <c r="A445" s="343" t="str">
        <f>IF(B445&lt;&gt;"",IF(AND(B445='IN-TC'!$S$4,OR(TH!N445="1111",TH!O445="1111")),TH!D445,""),"")</f>
        <v/>
      </c>
      <c r="B445" s="63">
        <f t="shared" si="36"/>
        <v>2</v>
      </c>
      <c r="C445" s="64">
        <f>E445</f>
        <v>42420</v>
      </c>
      <c r="D445" s="320" t="s">
        <v>585</v>
      </c>
      <c r="E445" s="320">
        <v>42420</v>
      </c>
      <c r="F445" s="67" t="s">
        <v>1085</v>
      </c>
      <c r="G445" s="67" t="s">
        <v>928</v>
      </c>
      <c r="H445" s="7" t="s">
        <v>602</v>
      </c>
      <c r="I445" s="447"/>
      <c r="J445" s="447"/>
      <c r="K445" s="438">
        <v>171</v>
      </c>
      <c r="L445" s="447">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x</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hidden="1" customHeight="1">
      <c r="A446" s="343" t="str">
        <f>IF(B446&lt;&gt;"",IF(AND(B446='IN-TC'!$S$4,OR(TH!N446="1111",TH!O446="1111")),TH!D446,""),"")</f>
        <v/>
      </c>
      <c r="B446" s="63">
        <f t="shared" si="36"/>
        <v>2</v>
      </c>
      <c r="C446" s="64">
        <f>E446</f>
        <v>42420</v>
      </c>
      <c r="D446" s="320" t="s">
        <v>585</v>
      </c>
      <c r="E446" s="320">
        <v>42420</v>
      </c>
      <c r="F446" s="67" t="s">
        <v>1079</v>
      </c>
      <c r="G446" s="67"/>
      <c r="H446" s="7" t="s">
        <v>602</v>
      </c>
      <c r="I446" s="447"/>
      <c r="J446" s="447"/>
      <c r="K446" s="438"/>
      <c r="L446" s="447"/>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x</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7" customFormat="1" ht="15.75" hidden="1" customHeight="1">
      <c r="A447" s="343" t="str">
        <f>IF(B447&lt;&gt;"",IF(AND(B447='IN-TC'!$S$4,OR(TH!N447="1111",TH!O447="1111")),TH!D447,""),"")</f>
        <v/>
      </c>
      <c r="B447" s="63">
        <f t="shared" si="36"/>
        <v>2</v>
      </c>
      <c r="C447" s="64">
        <v>42420</v>
      </c>
      <c r="D447" s="64" t="s">
        <v>708</v>
      </c>
      <c r="E447" s="64">
        <v>42420</v>
      </c>
      <c r="F447" s="67" t="s">
        <v>717</v>
      </c>
      <c r="G447" s="67" t="s">
        <v>928</v>
      </c>
      <c r="H447" s="74"/>
      <c r="I447" s="447"/>
      <c r="J447" s="447"/>
      <c r="K447" s="438">
        <v>161.63999999999999</v>
      </c>
      <c r="L447" s="447">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7" customFormat="1" ht="15.75" hidden="1" customHeight="1">
      <c r="A448" s="343" t="str">
        <f>IF(B448&lt;&gt;"",IF(AND(B448='IN-TC'!$S$4,OR(TH!N448="1111",TH!O448="1111")),TH!D448,""),"")</f>
        <v>C12</v>
      </c>
      <c r="B448" s="63">
        <f t="shared" si="36"/>
        <v>2</v>
      </c>
      <c r="C448" s="64">
        <v>42422</v>
      </c>
      <c r="D448" s="64" t="s">
        <v>890</v>
      </c>
      <c r="E448" s="64">
        <v>42422</v>
      </c>
      <c r="F448" s="67" t="s">
        <v>1015</v>
      </c>
      <c r="G448" s="67" t="s">
        <v>1040</v>
      </c>
      <c r="H448" s="353" t="s">
        <v>818</v>
      </c>
      <c r="I448" s="451"/>
      <c r="J448" s="451"/>
      <c r="K448" s="442"/>
      <c r="L448" s="451"/>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hidden="1" customHeight="1">
      <c r="A449" s="343" t="str">
        <f>IF(B449&lt;&gt;"",IF(AND(B449='IN-TC'!$S$4,OR(TH!N449="1111",TH!O449="1111")),TH!D449,""),"")</f>
        <v>C12</v>
      </c>
      <c r="B449" s="63">
        <f t="shared" si="36"/>
        <v>2</v>
      </c>
      <c r="C449" s="64">
        <v>42422</v>
      </c>
      <c r="D449" s="64" t="s">
        <v>890</v>
      </c>
      <c r="E449" s="64">
        <v>42422</v>
      </c>
      <c r="F449" s="67" t="s">
        <v>1016</v>
      </c>
      <c r="G449" s="67" t="s">
        <v>1040</v>
      </c>
      <c r="H449" s="74" t="s">
        <v>818</v>
      </c>
      <c r="I449" s="447"/>
      <c r="J449" s="447"/>
      <c r="K449" s="438"/>
      <c r="L449" s="447"/>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7"/>
    </row>
    <row r="450" spans="1:31" ht="15.75" hidden="1" customHeight="1">
      <c r="A450" s="343" t="str">
        <f>IF(B450&lt;&gt;"",IF(AND(B450='IN-TC'!$S$4,OR(TH!N450="1111",TH!O450="1111")),TH!D450,""),"")</f>
        <v/>
      </c>
      <c r="B450" s="63">
        <f t="shared" si="36"/>
        <v>2</v>
      </c>
      <c r="C450" s="64">
        <v>42422</v>
      </c>
      <c r="D450" s="64" t="s">
        <v>705</v>
      </c>
      <c r="E450" s="64">
        <v>42422</v>
      </c>
      <c r="F450" s="67" t="s">
        <v>706</v>
      </c>
      <c r="G450" s="67" t="s">
        <v>930</v>
      </c>
      <c r="H450" s="74"/>
      <c r="I450" s="447"/>
      <c r="J450" s="447"/>
      <c r="K450" s="438">
        <v>3600</v>
      </c>
      <c r="L450" s="447">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7"/>
    </row>
    <row r="451" spans="1:31" ht="15.75" hidden="1" customHeight="1">
      <c r="A451" s="343" t="str">
        <f>IF(B451&lt;&gt;"",IF(AND(B451='IN-TC'!$S$4,OR(TH!N451="1111",TH!O451="1111")),TH!D451,""),"")</f>
        <v/>
      </c>
      <c r="B451" s="63">
        <f t="shared" si="36"/>
        <v>2</v>
      </c>
      <c r="C451" s="64">
        <v>42422</v>
      </c>
      <c r="D451" s="64" t="s">
        <v>708</v>
      </c>
      <c r="E451" s="64">
        <v>42422</v>
      </c>
      <c r="F451" s="67" t="s">
        <v>715</v>
      </c>
      <c r="G451" s="67" t="s">
        <v>929</v>
      </c>
      <c r="H451" s="74"/>
      <c r="I451" s="447"/>
      <c r="J451" s="447"/>
      <c r="K451" s="438">
        <v>10800</v>
      </c>
      <c r="L451" s="447">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x</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hidden="1" customHeight="1">
      <c r="A452" s="343" t="str">
        <f>IF(B452&lt;&gt;"",IF(AND(B452='IN-TC'!$S$4,OR(TH!N452="1111",TH!O452="1111")),TH!D452,""),"")</f>
        <v/>
      </c>
      <c r="B452" s="63">
        <f t="shared" si="36"/>
        <v>2</v>
      </c>
      <c r="C452" s="64">
        <v>42422</v>
      </c>
      <c r="D452" s="64" t="s">
        <v>708</v>
      </c>
      <c r="E452" s="64">
        <v>42422</v>
      </c>
      <c r="F452" s="67" t="s">
        <v>766</v>
      </c>
      <c r="G452" s="67" t="s">
        <v>928</v>
      </c>
      <c r="H452" s="74" t="s">
        <v>737</v>
      </c>
      <c r="I452" s="447"/>
      <c r="J452" s="447"/>
      <c r="K452" s="438">
        <v>244.49</v>
      </c>
      <c r="L452" s="447">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hidden="1" customHeight="1">
      <c r="A453" s="343" t="str">
        <f>IF(B453&lt;&gt;"",IF(AND(B453='IN-TC'!$S$4,OR(TH!N453="1111",TH!O453="1111")),TH!D453,""),"")</f>
        <v/>
      </c>
      <c r="B453" s="63">
        <f t="shared" si="36"/>
        <v>2</v>
      </c>
      <c r="C453" s="64">
        <v>42422</v>
      </c>
      <c r="D453" s="64" t="s">
        <v>708</v>
      </c>
      <c r="E453" s="64">
        <v>42422</v>
      </c>
      <c r="F453" s="67" t="s">
        <v>767</v>
      </c>
      <c r="G453" s="67" t="s">
        <v>928</v>
      </c>
      <c r="H453" s="74" t="s">
        <v>738</v>
      </c>
      <c r="I453" s="447"/>
      <c r="J453" s="447"/>
      <c r="K453" s="438">
        <v>213.81</v>
      </c>
      <c r="L453" s="447">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hidden="1" customHeight="1">
      <c r="A454" s="343" t="str">
        <f>IF(B454&lt;&gt;"",IF(AND(B454='IN-TC'!$S$4,OR(TH!N454="1111",TH!O454="1111")),TH!D454,""),"")</f>
        <v/>
      </c>
      <c r="B454" s="63">
        <f t="shared" si="36"/>
        <v>2</v>
      </c>
      <c r="C454" s="64">
        <v>42422</v>
      </c>
      <c r="D454" s="64" t="s">
        <v>708</v>
      </c>
      <c r="E454" s="64">
        <v>42422</v>
      </c>
      <c r="F454" s="67" t="s">
        <v>768</v>
      </c>
      <c r="G454" s="67" t="s">
        <v>928</v>
      </c>
      <c r="H454" s="74" t="s">
        <v>739</v>
      </c>
      <c r="I454" s="447"/>
      <c r="J454" s="447"/>
      <c r="K454" s="438">
        <v>113.8</v>
      </c>
      <c r="L454" s="447">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hidden="1" customHeight="1">
      <c r="A455" s="343" t="str">
        <f>IF(B455&lt;&gt;"",IF(AND(B455='IN-TC'!$S$4,OR(TH!N455="1111",TH!O455="1111")),TH!D455,""),"")</f>
        <v/>
      </c>
      <c r="B455" s="63">
        <f t="shared" si="36"/>
        <v>2</v>
      </c>
      <c r="C455" s="64">
        <v>42422</v>
      </c>
      <c r="D455" s="64" t="s">
        <v>708</v>
      </c>
      <c r="E455" s="64">
        <v>42422</v>
      </c>
      <c r="F455" s="67" t="s">
        <v>1074</v>
      </c>
      <c r="G455" s="67" t="s">
        <v>928</v>
      </c>
      <c r="H455" s="74" t="s">
        <v>740</v>
      </c>
      <c r="I455" s="447"/>
      <c r="J455" s="447"/>
      <c r="K455" s="438">
        <v>248.73</v>
      </c>
      <c r="L455" s="447">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hidden="1" customHeight="1">
      <c r="A456" s="343" t="str">
        <f>IF(B456&lt;&gt;"",IF(AND(B456='IN-TC'!$S$4,OR(TH!N456="1111",TH!O456="1111")),TH!D456,""),"")</f>
        <v>C13</v>
      </c>
      <c r="B456" s="63">
        <f t="shared" si="36"/>
        <v>2</v>
      </c>
      <c r="C456" s="64">
        <v>42423</v>
      </c>
      <c r="D456" s="64" t="s">
        <v>891</v>
      </c>
      <c r="E456" s="64">
        <v>42423</v>
      </c>
      <c r="F456" s="69" t="s">
        <v>1019</v>
      </c>
      <c r="G456" s="67" t="s">
        <v>1041</v>
      </c>
      <c r="H456" s="74" t="s">
        <v>1042</v>
      </c>
      <c r="I456" s="447"/>
      <c r="J456" s="447"/>
      <c r="K456" s="438"/>
      <c r="L456" s="447"/>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hidden="1" customHeight="1">
      <c r="A457" s="343" t="str">
        <f>IF(B457&lt;&gt;"",IF(AND(B457='IN-TC'!$S$4,OR(TH!N457="1111",TH!O457="1111")),TH!D457,""),"")</f>
        <v>T03</v>
      </c>
      <c r="B457" s="63">
        <f t="shared" si="36"/>
        <v>2</v>
      </c>
      <c r="C457" s="64">
        <v>42423</v>
      </c>
      <c r="D457" s="64" t="s">
        <v>916</v>
      </c>
      <c r="E457" s="64">
        <v>42423</v>
      </c>
      <c r="F457" s="67" t="s">
        <v>754</v>
      </c>
      <c r="G457" s="67" t="s">
        <v>929</v>
      </c>
      <c r="H457" s="75" t="s">
        <v>772</v>
      </c>
      <c r="I457" s="447"/>
      <c r="J457" s="447"/>
      <c r="K457" s="438"/>
      <c r="L457" s="447"/>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x</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hidden="1" customHeight="1">
      <c r="A458" s="343" t="str">
        <f>IF(B458&lt;&gt;"",IF(AND(B458='IN-TC'!$S$4,OR(TH!N458="1111",TH!O458="1111")),TH!D458,""),"")</f>
        <v>C14</v>
      </c>
      <c r="B458" s="63">
        <f t="shared" si="36"/>
        <v>2</v>
      </c>
      <c r="C458" s="64">
        <v>42424</v>
      </c>
      <c r="D458" s="64" t="s">
        <v>892</v>
      </c>
      <c r="E458" s="64">
        <v>42424</v>
      </c>
      <c r="F458" s="67" t="s">
        <v>780</v>
      </c>
      <c r="G458" s="996" t="s">
        <v>1043</v>
      </c>
      <c r="H458" s="74" t="s">
        <v>818</v>
      </c>
      <c r="I458" s="447"/>
      <c r="J458" s="447"/>
      <c r="K458" s="438"/>
      <c r="L458" s="447"/>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hidden="1" customHeight="1">
      <c r="A459" s="343" t="str">
        <f>IF(B459&lt;&gt;"",IF(AND(B459='IN-TC'!$S$4,OR(TH!N459="1111",TH!O459="1111")),TH!D459,""),"")</f>
        <v>C14</v>
      </c>
      <c r="B459" s="63">
        <f t="shared" ref="B459:B530" si="40">IF(C459&lt;&gt;"",MONTH(C459),"")</f>
        <v>2</v>
      </c>
      <c r="C459" s="64">
        <v>42424</v>
      </c>
      <c r="D459" s="64" t="s">
        <v>892</v>
      </c>
      <c r="E459" s="64">
        <v>42424</v>
      </c>
      <c r="F459" s="67" t="s">
        <v>781</v>
      </c>
      <c r="G459" s="996" t="s">
        <v>1043</v>
      </c>
      <c r="H459" s="74" t="s">
        <v>818</v>
      </c>
      <c r="I459" s="447"/>
      <c r="J459" s="447"/>
      <c r="K459" s="438"/>
      <c r="L459" s="447"/>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hidden="1" customHeight="1">
      <c r="A460" s="343" t="str">
        <f>IF(B460&lt;&gt;"",IF(AND(B460='IN-TC'!$S$4,OR(TH!N460="1111",TH!O460="1111")),TH!D460,""),"")</f>
        <v>C15</v>
      </c>
      <c r="B460" s="63">
        <f t="shared" si="40"/>
        <v>2</v>
      </c>
      <c r="C460" s="64">
        <v>42424</v>
      </c>
      <c r="D460" s="64" t="s">
        <v>893</v>
      </c>
      <c r="E460" s="64">
        <v>42424</v>
      </c>
      <c r="F460" s="67" t="s">
        <v>745</v>
      </c>
      <c r="G460" s="67" t="s">
        <v>929</v>
      </c>
      <c r="H460" s="67" t="s">
        <v>772</v>
      </c>
      <c r="I460" s="447"/>
      <c r="J460" s="447"/>
      <c r="K460" s="438"/>
      <c r="L460" s="447"/>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x</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hidden="1" customHeight="1">
      <c r="A461" s="343" t="str">
        <f>IF(B461&lt;&gt;"",IF(AND(B461='IN-TC'!$S$4,OR(TH!N461="1111",TH!O461="1111")),TH!D461,""),"")</f>
        <v/>
      </c>
      <c r="B461" s="63">
        <f t="shared" si="40"/>
        <v>2</v>
      </c>
      <c r="C461" s="64">
        <v>42424</v>
      </c>
      <c r="D461" s="64" t="s">
        <v>705</v>
      </c>
      <c r="E461" s="64">
        <v>42424</v>
      </c>
      <c r="F461" s="67" t="s">
        <v>746</v>
      </c>
      <c r="G461" s="67" t="s">
        <v>929</v>
      </c>
      <c r="H461" s="74"/>
      <c r="I461" s="447"/>
      <c r="J461" s="447"/>
      <c r="K461" s="438"/>
      <c r="L461" s="447"/>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x</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hidden="1" customHeight="1">
      <c r="A462" s="343" t="str">
        <f>IF(B462&lt;&gt;"",IF(AND(B462='IN-TC'!$S$4,OR(TH!N462="1111",TH!O462="1111")),TH!D462,""),"")</f>
        <v/>
      </c>
      <c r="B462" s="63">
        <f t="shared" si="40"/>
        <v>2</v>
      </c>
      <c r="C462" s="64">
        <v>42424</v>
      </c>
      <c r="D462" s="64" t="s">
        <v>705</v>
      </c>
      <c r="E462" s="64">
        <v>42424</v>
      </c>
      <c r="F462" s="67" t="s">
        <v>748</v>
      </c>
      <c r="G462" s="67" t="s">
        <v>928</v>
      </c>
      <c r="H462" s="74"/>
      <c r="I462" s="447"/>
      <c r="J462" s="447"/>
      <c r="K462" s="438"/>
      <c r="L462" s="447"/>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hidden="1" customHeight="1">
      <c r="A463" s="343" t="str">
        <f>IF(B463&lt;&gt;"",IF(AND(B463='IN-TC'!$S$4,OR(TH!N463="1111",TH!O463="1111")),TH!D463,""),"")</f>
        <v/>
      </c>
      <c r="B463" s="63">
        <f t="shared" si="40"/>
        <v>2</v>
      </c>
      <c r="C463" s="64">
        <v>42424</v>
      </c>
      <c r="D463" s="64" t="s">
        <v>708</v>
      </c>
      <c r="E463" s="64">
        <v>42424</v>
      </c>
      <c r="F463" s="67" t="s">
        <v>1115</v>
      </c>
      <c r="G463" s="67" t="s">
        <v>929</v>
      </c>
      <c r="H463" s="67" t="s">
        <v>635</v>
      </c>
      <c r="I463" s="447"/>
      <c r="J463" s="447"/>
      <c r="K463" s="438"/>
      <c r="L463" s="447"/>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x</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hidden="1" customHeight="1">
      <c r="A464" s="343" t="str">
        <f>IF(B464&lt;&gt;"",IF(AND(B464='IN-TC'!$S$4,OR(TH!N464="1111",TH!O464="1111")),TH!D464,""),"")</f>
        <v/>
      </c>
      <c r="B464" s="63">
        <f t="shared" si="40"/>
        <v>2</v>
      </c>
      <c r="C464" s="64">
        <v>42424</v>
      </c>
      <c r="D464" s="64" t="s">
        <v>708</v>
      </c>
      <c r="E464" s="64">
        <v>42424</v>
      </c>
      <c r="F464" s="67" t="s">
        <v>751</v>
      </c>
      <c r="G464" s="67" t="s">
        <v>929</v>
      </c>
      <c r="H464" s="74"/>
      <c r="I464" s="447"/>
      <c r="J464" s="447"/>
      <c r="K464" s="438"/>
      <c r="L464" s="447"/>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x</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hidden="1" customHeight="1">
      <c r="A465" s="343" t="str">
        <f>IF(B465&lt;&gt;"",IF(AND(B465='IN-TC'!$S$4,OR(TH!N465="1111",TH!O465="1111")),TH!D465,""),"")</f>
        <v/>
      </c>
      <c r="B465" s="63">
        <f t="shared" si="40"/>
        <v>2</v>
      </c>
      <c r="C465" s="64">
        <v>42424</v>
      </c>
      <c r="D465" s="64" t="s">
        <v>708</v>
      </c>
      <c r="E465" s="64">
        <v>42424</v>
      </c>
      <c r="F465" s="67" t="s">
        <v>753</v>
      </c>
      <c r="G465" s="67" t="s">
        <v>929</v>
      </c>
      <c r="H465" s="74"/>
      <c r="I465" s="447"/>
      <c r="J465" s="447"/>
      <c r="K465" s="438"/>
      <c r="L465" s="447"/>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x</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hidden="1" customHeight="1">
      <c r="A466" s="343" t="str">
        <f>IF(B466&lt;&gt;"",IF(AND(B466='IN-TC'!$S$4,OR(TH!N466="1111",TH!O466="1111")),TH!D466,""),"")</f>
        <v/>
      </c>
      <c r="B466" s="63">
        <f t="shared" si="40"/>
        <v>2</v>
      </c>
      <c r="C466" s="64">
        <v>42424</v>
      </c>
      <c r="D466" s="64" t="s">
        <v>708</v>
      </c>
      <c r="E466" s="64">
        <v>42424</v>
      </c>
      <c r="F466" s="67" t="s">
        <v>1073</v>
      </c>
      <c r="G466" s="67" t="s">
        <v>929</v>
      </c>
      <c r="H466" s="74"/>
      <c r="I466" s="447"/>
      <c r="J466" s="447"/>
      <c r="K466" s="438">
        <v>3</v>
      </c>
      <c r="L466" s="447">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hidden="1" customHeight="1">
      <c r="A467" s="343" t="str">
        <f>IF(B467&lt;&gt;"",IF(AND(B467='IN-TC'!$S$4,OR(TH!N467="1111",TH!O467="1111")),TH!D467,""),"")</f>
        <v>C16</v>
      </c>
      <c r="B467" s="63">
        <f t="shared" si="40"/>
        <v>2</v>
      </c>
      <c r="C467" s="64">
        <v>42425</v>
      </c>
      <c r="D467" s="320" t="s">
        <v>894</v>
      </c>
      <c r="E467" s="64">
        <v>42425</v>
      </c>
      <c r="F467" s="67" t="s">
        <v>1020</v>
      </c>
      <c r="G467" s="996" t="s">
        <v>1044</v>
      </c>
      <c r="H467" s="74" t="s">
        <v>849</v>
      </c>
      <c r="I467" s="447"/>
      <c r="J467" s="447"/>
      <c r="K467" s="438"/>
      <c r="L467" s="447"/>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hidden="1" customHeight="1">
      <c r="A468" s="343" t="str">
        <f>IF(B468&lt;&gt;"",IF(AND(B468='IN-TC'!$S$4,OR(TH!N468="1111",TH!O468="1111")),TH!D468,""),"")</f>
        <v>C16</v>
      </c>
      <c r="B468" s="63">
        <f t="shared" si="40"/>
        <v>2</v>
      </c>
      <c r="C468" s="64">
        <v>42425</v>
      </c>
      <c r="D468" s="320" t="s">
        <v>894</v>
      </c>
      <c r="E468" s="64">
        <v>42425</v>
      </c>
      <c r="F468" s="67" t="s">
        <v>1021</v>
      </c>
      <c r="G468" s="67" t="s">
        <v>1044</v>
      </c>
      <c r="H468" s="74" t="s">
        <v>849</v>
      </c>
      <c r="I468" s="447"/>
      <c r="J468" s="447"/>
      <c r="K468" s="438"/>
      <c r="L468" s="447"/>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hidden="1" customHeight="1">
      <c r="A469" s="343" t="str">
        <f>IF(B469&lt;&gt;"",IF(AND(B469='IN-TC'!$S$4,OR(TH!N469="1111",TH!O469="1111")),TH!D469,""),"")</f>
        <v/>
      </c>
      <c r="B469" s="63">
        <f t="shared" si="40"/>
        <v>2</v>
      </c>
      <c r="C469" s="64">
        <v>42425</v>
      </c>
      <c r="D469" s="64" t="s">
        <v>708</v>
      </c>
      <c r="E469" s="64">
        <v>42425</v>
      </c>
      <c r="F469" s="67" t="s">
        <v>1056</v>
      </c>
      <c r="G469" s="67" t="s">
        <v>929</v>
      </c>
      <c r="H469" s="74" t="s">
        <v>1233</v>
      </c>
      <c r="I469" s="447"/>
      <c r="J469" s="447"/>
      <c r="K469" s="438"/>
      <c r="L469" s="447"/>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x</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hidden="1" customHeight="1">
      <c r="A470" s="343" t="str">
        <f>IF(B470&lt;&gt;"",IF(AND(B470='IN-TC'!$S$4,OR(TH!N470="1111",TH!O470="1111")),TH!D470,""),"")</f>
        <v>C17</v>
      </c>
      <c r="B470" s="63">
        <f t="shared" si="40"/>
        <v>2</v>
      </c>
      <c r="C470" s="64">
        <v>42426</v>
      </c>
      <c r="D470" s="64" t="s">
        <v>895</v>
      </c>
      <c r="E470" s="64">
        <v>42426</v>
      </c>
      <c r="F470" s="67" t="s">
        <v>1022</v>
      </c>
      <c r="G470" s="67" t="s">
        <v>1045</v>
      </c>
      <c r="H470" s="74" t="s">
        <v>1046</v>
      </c>
      <c r="I470" s="447"/>
      <c r="J470" s="447"/>
      <c r="K470" s="438"/>
      <c r="L470" s="447"/>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hidden="1" customHeight="1">
      <c r="A471" s="343" t="str">
        <f>IF(B471&lt;&gt;"",IF(AND(B471='IN-TC'!$S$4,OR(TH!N471="1111",TH!O471="1111")),TH!D471,""),"")</f>
        <v>C17</v>
      </c>
      <c r="B471" s="63">
        <f t="shared" si="40"/>
        <v>2</v>
      </c>
      <c r="C471" s="64">
        <v>42426</v>
      </c>
      <c r="D471" s="64" t="s">
        <v>895</v>
      </c>
      <c r="E471" s="64">
        <v>42426</v>
      </c>
      <c r="F471" s="67" t="s">
        <v>1023</v>
      </c>
      <c r="G471" s="67" t="s">
        <v>1045</v>
      </c>
      <c r="H471" s="74" t="s">
        <v>1046</v>
      </c>
      <c r="I471" s="447"/>
      <c r="J471" s="447"/>
      <c r="K471" s="438"/>
      <c r="L471" s="447"/>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hidden="1" customHeight="1">
      <c r="A472" s="343" t="str">
        <f>IF(B472&lt;&gt;"",IF(AND(B472='IN-TC'!$S$4,OR(TH!N472="1111",TH!O472="1111")),TH!D472,""),"")</f>
        <v>C18</v>
      </c>
      <c r="B472" s="63">
        <f t="shared" si="40"/>
        <v>2</v>
      </c>
      <c r="C472" s="64">
        <v>42427</v>
      </c>
      <c r="D472" s="64" t="s">
        <v>896</v>
      </c>
      <c r="E472" s="64">
        <v>42427</v>
      </c>
      <c r="F472" s="67" t="s">
        <v>1024</v>
      </c>
      <c r="G472" s="67" t="s">
        <v>1047</v>
      </c>
      <c r="H472" s="74" t="s">
        <v>1048</v>
      </c>
      <c r="I472" s="447"/>
      <c r="J472" s="447"/>
      <c r="K472" s="438"/>
      <c r="L472" s="447"/>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hidden="1" customHeight="1">
      <c r="A473" s="343" t="str">
        <f>IF(B473&lt;&gt;"",IF(AND(B473='IN-TC'!$S$4,OR(TH!N473="1111",TH!O473="1111")),TH!D473,""),"")</f>
        <v>C19</v>
      </c>
      <c r="B473" s="63">
        <f t="shared" si="40"/>
        <v>2</v>
      </c>
      <c r="C473" s="64">
        <v>42427</v>
      </c>
      <c r="D473" s="64" t="s">
        <v>897</v>
      </c>
      <c r="E473" s="64">
        <v>42427</v>
      </c>
      <c r="F473" s="67" t="s">
        <v>1015</v>
      </c>
      <c r="G473" s="67" t="s">
        <v>1049</v>
      </c>
      <c r="H473" s="74" t="s">
        <v>818</v>
      </c>
      <c r="I473" s="447"/>
      <c r="J473" s="447"/>
      <c r="K473" s="438"/>
      <c r="L473" s="447"/>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hidden="1" customHeight="1">
      <c r="A474" s="343" t="str">
        <f>IF(B474&lt;&gt;"",IF(AND(B474='IN-TC'!$S$4,OR(TH!N474="1111",TH!O474="1111")),TH!D474,""),"")</f>
        <v>C19</v>
      </c>
      <c r="B474" s="63">
        <f t="shared" si="40"/>
        <v>2</v>
      </c>
      <c r="C474" s="64">
        <v>42427</v>
      </c>
      <c r="D474" s="64" t="s">
        <v>897</v>
      </c>
      <c r="E474" s="64">
        <v>42427</v>
      </c>
      <c r="F474" s="67" t="s">
        <v>1016</v>
      </c>
      <c r="G474" s="67" t="s">
        <v>1049</v>
      </c>
      <c r="H474" s="74" t="s">
        <v>818</v>
      </c>
      <c r="I474" s="447"/>
      <c r="J474" s="447"/>
      <c r="K474" s="438"/>
      <c r="L474" s="447"/>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hidden="1" customHeight="1">
      <c r="A475" s="343" t="str">
        <f>IF(B475&lt;&gt;"",IF(AND(B475='IN-TC'!$S$4,OR(TH!N475="1111",TH!O475="1111")),TH!D475,""),"")</f>
        <v>C20</v>
      </c>
      <c r="B475" s="63">
        <f t="shared" si="40"/>
        <v>2</v>
      </c>
      <c r="C475" s="64">
        <v>42429</v>
      </c>
      <c r="D475" s="64" t="s">
        <v>898</v>
      </c>
      <c r="E475" s="64">
        <v>42429</v>
      </c>
      <c r="F475" s="67" t="s">
        <v>1025</v>
      </c>
      <c r="G475" s="67" t="s">
        <v>1050</v>
      </c>
      <c r="H475" s="74" t="s">
        <v>824</v>
      </c>
      <c r="I475" s="447"/>
      <c r="J475" s="447"/>
      <c r="K475" s="438"/>
      <c r="L475" s="447"/>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hidden="1" customHeight="1">
      <c r="A476" s="343" t="str">
        <f>IF(B476&lt;&gt;"",IF(AND(B476='IN-TC'!$S$4,OR(TH!N476="1111",TH!O476="1111")),TH!D476,""),"")</f>
        <v>C20</v>
      </c>
      <c r="B476" s="63">
        <f t="shared" si="40"/>
        <v>2</v>
      </c>
      <c r="C476" s="64">
        <v>42429</v>
      </c>
      <c r="D476" s="64" t="s">
        <v>898</v>
      </c>
      <c r="E476" s="64">
        <v>42429</v>
      </c>
      <c r="F476" s="67" t="s">
        <v>1026</v>
      </c>
      <c r="G476" s="67" t="s">
        <v>1050</v>
      </c>
      <c r="H476" s="74" t="s">
        <v>824</v>
      </c>
      <c r="I476" s="447"/>
      <c r="J476" s="447"/>
      <c r="K476" s="438"/>
      <c r="L476" s="447"/>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hidden="1" customHeight="1">
      <c r="A477" s="343" t="str">
        <f>IF(B477&lt;&gt;"",IF(AND(B477='IN-TC'!$S$4,OR(TH!N477="1111",TH!O477="1111")),TH!D477,""),"")</f>
        <v>C21</v>
      </c>
      <c r="B477" s="63">
        <f t="shared" si="40"/>
        <v>2</v>
      </c>
      <c r="C477" s="64">
        <v>42429</v>
      </c>
      <c r="D477" s="64" t="s">
        <v>899</v>
      </c>
      <c r="E477" s="64">
        <v>42429</v>
      </c>
      <c r="F477" s="67" t="s">
        <v>1011</v>
      </c>
      <c r="G477" s="67" t="s">
        <v>1051</v>
      </c>
      <c r="H477" s="74" t="s">
        <v>841</v>
      </c>
      <c r="I477" s="447"/>
      <c r="J477" s="447"/>
      <c r="K477" s="438"/>
      <c r="L477" s="447"/>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hidden="1" customHeight="1">
      <c r="A478" s="343" t="str">
        <f>IF(B478&lt;&gt;"",IF(AND(B478='IN-TC'!$S$4,OR(TH!N478="1111",TH!O478="1111")),TH!D478,""),"")</f>
        <v>C21</v>
      </c>
      <c r="B478" s="63">
        <f t="shared" si="40"/>
        <v>2</v>
      </c>
      <c r="C478" s="64">
        <v>42429</v>
      </c>
      <c r="D478" s="64" t="s">
        <v>899</v>
      </c>
      <c r="E478" s="64">
        <v>42429</v>
      </c>
      <c r="F478" s="67" t="s">
        <v>1012</v>
      </c>
      <c r="G478" s="67" t="s">
        <v>1051</v>
      </c>
      <c r="H478" s="74" t="s">
        <v>841</v>
      </c>
      <c r="I478" s="447"/>
      <c r="J478" s="447"/>
      <c r="K478" s="438"/>
      <c r="L478" s="447"/>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hidden="1" customHeight="1">
      <c r="A479" s="343" t="str">
        <f>IF(B479&lt;&gt;"",IF(AND(B479='IN-TC'!$S$4,OR(TH!N479="1111",TH!O479="1111")),TH!D479,""),"")</f>
        <v>C22</v>
      </c>
      <c r="B479" s="63">
        <f t="shared" si="40"/>
        <v>2</v>
      </c>
      <c r="C479" s="64">
        <v>42429</v>
      </c>
      <c r="D479" s="64" t="s">
        <v>900</v>
      </c>
      <c r="E479" s="64">
        <v>42429</v>
      </c>
      <c r="F479" s="67" t="s">
        <v>1027</v>
      </c>
      <c r="G479" s="67" t="s">
        <v>1052</v>
      </c>
      <c r="H479" s="74" t="s">
        <v>1053</v>
      </c>
      <c r="I479" s="447"/>
      <c r="J479" s="447"/>
      <c r="K479" s="438"/>
      <c r="L479" s="447"/>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hidden="1" customHeight="1">
      <c r="A480" s="343" t="str">
        <f>IF(B480&lt;&gt;"",IF(AND(B480='IN-TC'!$S$4,OR(TH!N480="1111",TH!O480="1111")),TH!D480,""),"")</f>
        <v>C22</v>
      </c>
      <c r="B480" s="63">
        <f t="shared" si="40"/>
        <v>2</v>
      </c>
      <c r="C480" s="64">
        <v>42429</v>
      </c>
      <c r="D480" s="64" t="s">
        <v>900</v>
      </c>
      <c r="E480" s="64">
        <v>42429</v>
      </c>
      <c r="F480" s="67" t="s">
        <v>1028</v>
      </c>
      <c r="G480" s="67" t="s">
        <v>1052</v>
      </c>
      <c r="H480" s="74" t="s">
        <v>1053</v>
      </c>
      <c r="I480" s="447"/>
      <c r="J480" s="447"/>
      <c r="K480" s="438"/>
      <c r="L480" s="447"/>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hidden="1" customHeight="1">
      <c r="A481" s="343" t="str">
        <f>IF(B481&lt;&gt;"",IF(AND(B481='IN-TC'!$S$4,OR(TH!N481="1111",TH!O481="1111")),TH!D481,""),"")</f>
        <v>C23</v>
      </c>
      <c r="B481" s="63">
        <f t="shared" si="40"/>
        <v>2</v>
      </c>
      <c r="C481" s="95">
        <v>42429</v>
      </c>
      <c r="D481" s="64" t="s">
        <v>901</v>
      </c>
      <c r="E481" s="95">
        <v>42429</v>
      </c>
      <c r="F481" s="96" t="s">
        <v>1029</v>
      </c>
      <c r="G481" s="96"/>
      <c r="H481" s="1002" t="s">
        <v>859</v>
      </c>
      <c r="I481" s="1003"/>
      <c r="J481" s="1003"/>
      <c r="K481" s="1004"/>
      <c r="L481" s="1003"/>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hidden="1" customHeight="1">
      <c r="A482" s="343" t="str">
        <f>IF(B482&lt;&gt;"",IF(AND(B482='IN-TC'!$S$4,OR(TH!N482="1111",TH!O482="1111")),TH!D482,""),"")</f>
        <v>C24</v>
      </c>
      <c r="B482" s="63">
        <f t="shared" si="40"/>
        <v>2</v>
      </c>
      <c r="C482" s="320">
        <v>42429</v>
      </c>
      <c r="D482" s="64" t="s">
        <v>902</v>
      </c>
      <c r="E482" s="320">
        <v>42416</v>
      </c>
      <c r="F482" s="321" t="s">
        <v>1096</v>
      </c>
      <c r="G482" s="1000" t="s">
        <v>1090</v>
      </c>
      <c r="H482" s="322" t="s">
        <v>635</v>
      </c>
      <c r="I482" s="447"/>
      <c r="J482" s="447"/>
      <c r="K482" s="438"/>
      <c r="L482" s="447"/>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hidden="1" customHeight="1">
      <c r="A483" s="343" t="str">
        <f>IF(B483&lt;&gt;"",IF(AND(B483='IN-TC'!$S$4,OR(TH!N483="1111",TH!O483="1111")),TH!D483,""),"")</f>
        <v>C24</v>
      </c>
      <c r="B483" s="63">
        <f t="shared" si="40"/>
        <v>2</v>
      </c>
      <c r="C483" s="320">
        <v>42429</v>
      </c>
      <c r="D483" s="64" t="s">
        <v>902</v>
      </c>
      <c r="E483" s="320">
        <v>42416</v>
      </c>
      <c r="F483" s="321" t="s">
        <v>1097</v>
      </c>
      <c r="G483" s="1000" t="s">
        <v>1090</v>
      </c>
      <c r="H483" s="322" t="s">
        <v>635</v>
      </c>
      <c r="I483" s="447"/>
      <c r="J483" s="447"/>
      <c r="K483" s="438"/>
      <c r="L483" s="447"/>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hidden="1" customHeight="1">
      <c r="A484" s="343" t="str">
        <f>IF(B484&lt;&gt;"",IF(AND(B484='IN-TC'!$S$4,OR(TH!N484="1111",TH!O484="1111")),TH!D484,""),"")</f>
        <v/>
      </c>
      <c r="B484" s="63">
        <f t="shared" si="40"/>
        <v>3</v>
      </c>
      <c r="C484" s="320">
        <v>42430</v>
      </c>
      <c r="D484" s="320" t="s">
        <v>878</v>
      </c>
      <c r="E484" s="320">
        <v>42400</v>
      </c>
      <c r="F484" s="67" t="s">
        <v>1195</v>
      </c>
      <c r="G484" s="996" t="s">
        <v>1197</v>
      </c>
      <c r="H484" s="74" t="s">
        <v>1117</v>
      </c>
      <c r="I484" s="447"/>
      <c r="J484" s="447"/>
      <c r="K484" s="438"/>
      <c r="L484" s="447"/>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8"/>
    </row>
    <row r="485" spans="1:31" ht="15.75" hidden="1" customHeight="1">
      <c r="A485" s="343" t="str">
        <f>IF(B485&lt;&gt;"",IF(AND(B485='IN-TC'!$S$4,OR(TH!N485="1111",TH!O485="1111")),TH!D485,""),"")</f>
        <v/>
      </c>
      <c r="B485" s="63">
        <f t="shared" si="40"/>
        <v>3</v>
      </c>
      <c r="C485" s="320">
        <v>42430</v>
      </c>
      <c r="D485" s="320" t="s">
        <v>878</v>
      </c>
      <c r="E485" s="320">
        <v>42400</v>
      </c>
      <c r="F485" s="67" t="s">
        <v>1196</v>
      </c>
      <c r="G485" s="996" t="s">
        <v>1197</v>
      </c>
      <c r="H485" s="74" t="s">
        <v>1117</v>
      </c>
      <c r="I485" s="447"/>
      <c r="J485" s="447"/>
      <c r="K485" s="438"/>
      <c r="L485" s="447"/>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8"/>
    </row>
    <row r="486" spans="1:31" ht="15.75" hidden="1" customHeight="1">
      <c r="A486" s="343" t="str">
        <f>IF(B486&lt;&gt;"",IF(AND(B486='IN-TC'!$S$4,OR(TH!N486="1111",TH!O486="1111")),TH!D486,""),"")</f>
        <v/>
      </c>
      <c r="B486" s="63">
        <f t="shared" ref="B486:B493" si="41">IF(C486&lt;&gt;"",MONTH(C486),"")</f>
        <v>3</v>
      </c>
      <c r="C486" s="320">
        <v>42430</v>
      </c>
      <c r="D486" s="320" t="s">
        <v>879</v>
      </c>
      <c r="E486" s="320">
        <v>42395</v>
      </c>
      <c r="F486" s="67" t="s">
        <v>1390</v>
      </c>
      <c r="G486" s="67" t="s">
        <v>1392</v>
      </c>
      <c r="H486" s="74" t="s">
        <v>1393</v>
      </c>
      <c r="I486" s="447"/>
      <c r="J486" s="447"/>
      <c r="K486" s="438"/>
      <c r="L486" s="447"/>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8"/>
    </row>
    <row r="487" spans="1:31" ht="15.75" hidden="1" customHeight="1">
      <c r="A487" s="343" t="str">
        <f>IF(B487&lt;&gt;"",IF(AND(B487='IN-TC'!$S$4,OR(TH!N487="1111",TH!O487="1111")),TH!D487,""),"")</f>
        <v/>
      </c>
      <c r="B487" s="63">
        <f t="shared" si="41"/>
        <v>3</v>
      </c>
      <c r="C487" s="320">
        <v>42430</v>
      </c>
      <c r="D487" s="320" t="s">
        <v>879</v>
      </c>
      <c r="E487" s="320">
        <v>42395</v>
      </c>
      <c r="F487" s="67" t="s">
        <v>1391</v>
      </c>
      <c r="G487" s="67" t="s">
        <v>1392</v>
      </c>
      <c r="H487" s="74" t="s">
        <v>1393</v>
      </c>
      <c r="I487" s="447"/>
      <c r="J487" s="447"/>
      <c r="K487" s="438"/>
      <c r="L487" s="447"/>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8"/>
    </row>
    <row r="488" spans="1:31" ht="15.75" hidden="1" customHeight="1">
      <c r="A488" s="343"/>
      <c r="B488" s="63">
        <f t="shared" si="41"/>
        <v>3</v>
      </c>
      <c r="C488" s="320">
        <v>42430</v>
      </c>
      <c r="D488" s="320" t="s">
        <v>880</v>
      </c>
      <c r="E488" s="320">
        <v>42397</v>
      </c>
      <c r="F488" s="67" t="s">
        <v>1400</v>
      </c>
      <c r="G488" s="996" t="s">
        <v>1402</v>
      </c>
      <c r="H488" s="74" t="s">
        <v>1403</v>
      </c>
      <c r="I488" s="447"/>
      <c r="J488" s="447"/>
      <c r="K488" s="438"/>
      <c r="L488" s="447"/>
      <c r="M488" s="65">
        <v>17766750</v>
      </c>
      <c r="N488" s="66" t="s">
        <v>101</v>
      </c>
      <c r="O488" s="66" t="s">
        <v>63</v>
      </c>
      <c r="P488" s="85"/>
      <c r="Q488" s="85"/>
      <c r="R488" s="85"/>
      <c r="S488" s="85"/>
      <c r="T488" s="85"/>
      <c r="U488" s="85"/>
      <c r="V488" s="85"/>
      <c r="W488" s="85"/>
      <c r="X488" s="85"/>
      <c r="Y488" s="85"/>
      <c r="Z488" s="85"/>
      <c r="AA488" s="85"/>
      <c r="AB488" s="85"/>
      <c r="AC488" s="85"/>
      <c r="AD488" s="85"/>
      <c r="AE488" s="358"/>
    </row>
    <row r="489" spans="1:31" ht="15.75" hidden="1" customHeight="1">
      <c r="A489" s="343"/>
      <c r="B489" s="63">
        <f t="shared" si="41"/>
        <v>3</v>
      </c>
      <c r="C489" s="320">
        <v>42430</v>
      </c>
      <c r="D489" s="320" t="s">
        <v>880</v>
      </c>
      <c r="E489" s="320">
        <v>42397</v>
      </c>
      <c r="F489" s="67" t="s">
        <v>1401</v>
      </c>
      <c r="G489" s="996" t="s">
        <v>1402</v>
      </c>
      <c r="H489" s="74" t="s">
        <v>1403</v>
      </c>
      <c r="I489" s="447"/>
      <c r="J489" s="447"/>
      <c r="K489" s="438"/>
      <c r="L489" s="447"/>
      <c r="M489" s="65">
        <v>1078675</v>
      </c>
      <c r="N489" s="66" t="s">
        <v>9</v>
      </c>
      <c r="O489" s="66" t="s">
        <v>63</v>
      </c>
      <c r="P489" s="85"/>
      <c r="Q489" s="85"/>
      <c r="R489" s="85"/>
      <c r="S489" s="85"/>
      <c r="T489" s="85"/>
      <c r="U489" s="85"/>
      <c r="V489" s="85"/>
      <c r="W489" s="85"/>
      <c r="X489" s="85"/>
      <c r="Y489" s="85"/>
      <c r="Z489" s="85"/>
      <c r="AA489" s="85"/>
      <c r="AB489" s="85"/>
      <c r="AC489" s="85"/>
      <c r="AD489" s="85"/>
      <c r="AE489" s="358"/>
    </row>
    <row r="490" spans="1:31" s="358" customFormat="1" ht="15.75" hidden="1" customHeight="1">
      <c r="A490" s="343" t="str">
        <f>IF(B490&lt;&gt;"",IF(AND(B490='IN-TC'!$S$4,OR(TH!N490="1111",TH!O490="1111")),TH!D490,""),"")</f>
        <v/>
      </c>
      <c r="B490" s="63">
        <f t="shared" si="40"/>
        <v>3</v>
      </c>
      <c r="C490" s="320">
        <v>42430</v>
      </c>
      <c r="D490" s="320" t="s">
        <v>881</v>
      </c>
      <c r="E490" s="320">
        <v>42372</v>
      </c>
      <c r="F490" s="67" t="s">
        <v>1163</v>
      </c>
      <c r="G490" s="996" t="s">
        <v>1165</v>
      </c>
      <c r="H490" s="74" t="s">
        <v>1166</v>
      </c>
      <c r="I490" s="447"/>
      <c r="J490" s="447"/>
      <c r="K490" s="438"/>
      <c r="L490" s="447"/>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8" customFormat="1" ht="15.75" hidden="1" customHeight="1">
      <c r="A491" s="343" t="str">
        <f>IF(B491&lt;&gt;"",IF(AND(B491='IN-TC'!$S$4,OR(TH!N491="1111",TH!O491="1111")),TH!D491,""),"")</f>
        <v/>
      </c>
      <c r="B491" s="63">
        <f t="shared" si="41"/>
        <v>3</v>
      </c>
      <c r="C491" s="320">
        <v>42430</v>
      </c>
      <c r="D491" s="320" t="s">
        <v>881</v>
      </c>
      <c r="E491" s="320">
        <v>42372</v>
      </c>
      <c r="F491" s="67" t="s">
        <v>1164</v>
      </c>
      <c r="G491" s="996" t="s">
        <v>1165</v>
      </c>
      <c r="H491" s="74" t="s">
        <v>1166</v>
      </c>
      <c r="I491" s="447"/>
      <c r="J491" s="447"/>
      <c r="K491" s="438"/>
      <c r="L491" s="447"/>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8" customFormat="1" ht="15.75" hidden="1" customHeight="1">
      <c r="A492" s="343" t="str">
        <f>IF(B492&lt;&gt;"",IF(AND(B492='IN-TC'!$S$4,OR(TH!N492="1111",TH!O492="1111")),TH!D492,""),"")</f>
        <v/>
      </c>
      <c r="B492" s="63">
        <f>IF(C492&lt;&gt;"",MONTH(C492),"")</f>
        <v>3</v>
      </c>
      <c r="C492" s="320">
        <v>42430</v>
      </c>
      <c r="D492" s="320" t="s">
        <v>882</v>
      </c>
      <c r="E492" s="320">
        <v>42416</v>
      </c>
      <c r="F492" s="67" t="s">
        <v>778</v>
      </c>
      <c r="G492" s="996" t="s">
        <v>1389</v>
      </c>
      <c r="H492" s="74" t="s">
        <v>816</v>
      </c>
      <c r="I492" s="447"/>
      <c r="J492" s="447"/>
      <c r="K492" s="438"/>
      <c r="L492" s="447"/>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8" customFormat="1" ht="15.75" hidden="1" customHeight="1">
      <c r="A493" s="343" t="str">
        <f>IF(B493&lt;&gt;"",IF(AND(B493='IN-TC'!$S$4,OR(TH!N493="1111",TH!O493="1111")),TH!D493,""),"")</f>
        <v/>
      </c>
      <c r="B493" s="63">
        <f t="shared" si="41"/>
        <v>3</v>
      </c>
      <c r="C493" s="320">
        <v>42430</v>
      </c>
      <c r="D493" s="320" t="s">
        <v>882</v>
      </c>
      <c r="E493" s="320">
        <v>42416</v>
      </c>
      <c r="F493" s="67" t="s">
        <v>779</v>
      </c>
      <c r="G493" s="996" t="s">
        <v>1389</v>
      </c>
      <c r="H493" s="74" t="s">
        <v>816</v>
      </c>
      <c r="I493" s="447"/>
      <c r="J493" s="447"/>
      <c r="K493" s="438"/>
      <c r="L493" s="447"/>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8" customFormat="1" ht="15.75" hidden="1" customHeight="1">
      <c r="A494" s="343" t="str">
        <f>IF(B494&lt;&gt;"",IF(AND(B494='IN-TC'!$S$4,OR(TH!N494="1111",TH!O494="1111")),TH!D494,""),"")</f>
        <v/>
      </c>
      <c r="B494" s="63">
        <f t="shared" si="40"/>
        <v>3</v>
      </c>
      <c r="C494" s="320">
        <v>42430</v>
      </c>
      <c r="D494" s="320" t="s">
        <v>883</v>
      </c>
      <c r="E494" s="320">
        <v>42430</v>
      </c>
      <c r="F494" s="321" t="s">
        <v>1118</v>
      </c>
      <c r="G494" s="321" t="s">
        <v>929</v>
      </c>
      <c r="H494" s="322" t="s">
        <v>772</v>
      </c>
      <c r="I494" s="447"/>
      <c r="J494" s="447"/>
      <c r="K494" s="438"/>
      <c r="L494" s="447"/>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x</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8" customFormat="1" ht="15.75" hidden="1" customHeight="1">
      <c r="A495" s="343" t="str">
        <f>IF(B495&lt;&gt;"",IF(AND(B495='IN-TC'!$S$4,OR(TH!N495="1111",TH!O495="1111")),TH!D495,""),"")</f>
        <v/>
      </c>
      <c r="B495" s="63">
        <f t="shared" si="40"/>
        <v>3</v>
      </c>
      <c r="C495" s="320">
        <v>42430</v>
      </c>
      <c r="D495" s="320" t="s">
        <v>885</v>
      </c>
      <c r="E495" s="320">
        <v>42430</v>
      </c>
      <c r="F495" s="321" t="s">
        <v>780</v>
      </c>
      <c r="G495" s="1000" t="s">
        <v>1119</v>
      </c>
      <c r="H495" s="322" t="s">
        <v>1120</v>
      </c>
      <c r="I495" s="447"/>
      <c r="J495" s="447"/>
      <c r="K495" s="438"/>
      <c r="L495" s="447"/>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hidden="1" customHeight="1">
      <c r="A496" s="343" t="str">
        <f>IF(B496&lt;&gt;"",IF(AND(B496='IN-TC'!$S$4,OR(TH!N496="1111",TH!O496="1111")),TH!D496,""),"")</f>
        <v/>
      </c>
      <c r="B496" s="63">
        <f t="shared" si="40"/>
        <v>3</v>
      </c>
      <c r="C496" s="320">
        <v>42430</v>
      </c>
      <c r="D496" s="320" t="s">
        <v>885</v>
      </c>
      <c r="E496" s="320">
        <v>42430</v>
      </c>
      <c r="F496" s="321" t="s">
        <v>781</v>
      </c>
      <c r="G496" s="1000" t="s">
        <v>1119</v>
      </c>
      <c r="H496" s="322" t="s">
        <v>1120</v>
      </c>
      <c r="I496" s="447"/>
      <c r="J496" s="447"/>
      <c r="K496" s="438"/>
      <c r="L496" s="447"/>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hidden="1" customHeight="1">
      <c r="A497" s="343" t="str">
        <f>IF(B497&lt;&gt;"",IF(AND(B497='IN-TC'!$S$4,OR(TH!N497="1111",TH!O497="1111")),TH!D497,""),"")</f>
        <v/>
      </c>
      <c r="B497" s="63">
        <f t="shared" si="40"/>
        <v>3</v>
      </c>
      <c r="C497" s="320">
        <v>42430</v>
      </c>
      <c r="D497" s="320" t="s">
        <v>886</v>
      </c>
      <c r="E497" s="320">
        <v>42430</v>
      </c>
      <c r="F497" s="321" t="s">
        <v>1121</v>
      </c>
      <c r="G497" s="1000" t="s">
        <v>1122</v>
      </c>
      <c r="H497" s="322" t="s">
        <v>1124</v>
      </c>
      <c r="I497" s="447"/>
      <c r="J497" s="447"/>
      <c r="K497" s="438"/>
      <c r="L497" s="447"/>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hidden="1" customHeight="1">
      <c r="A498" s="343" t="str">
        <f>IF(B498&lt;&gt;"",IF(AND(B498='IN-TC'!$S$4,OR(TH!N498="1111",TH!O498="1111")),TH!D498,""),"")</f>
        <v/>
      </c>
      <c r="B498" s="63">
        <f t="shared" si="40"/>
        <v>3</v>
      </c>
      <c r="C498" s="320">
        <v>42430</v>
      </c>
      <c r="D498" s="320" t="s">
        <v>886</v>
      </c>
      <c r="E498" s="320">
        <v>42430</v>
      </c>
      <c r="F498" s="321" t="s">
        <v>1123</v>
      </c>
      <c r="G498" s="1000" t="s">
        <v>1122</v>
      </c>
      <c r="H498" s="322" t="s">
        <v>1124</v>
      </c>
      <c r="I498" s="447"/>
      <c r="J498" s="447"/>
      <c r="K498" s="438"/>
      <c r="L498" s="447"/>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hidden="1" customHeight="1">
      <c r="A499" s="343" t="str">
        <f>IF(B499&lt;&gt;"",IF(AND(B499='IN-TC'!$S$4,OR(TH!N499="1111",TH!O499="1111")),TH!D499,""),"")</f>
        <v/>
      </c>
      <c r="B499" s="63">
        <f t="shared" si="40"/>
        <v>3</v>
      </c>
      <c r="C499" s="64">
        <v>42430</v>
      </c>
      <c r="D499" s="320" t="s">
        <v>708</v>
      </c>
      <c r="E499" s="64">
        <v>42430</v>
      </c>
      <c r="F499" s="67" t="s">
        <v>1220</v>
      </c>
      <c r="G499" s="67" t="s">
        <v>929</v>
      </c>
      <c r="H499" s="7" t="s">
        <v>635</v>
      </c>
      <c r="I499" s="447"/>
      <c r="J499" s="447"/>
      <c r="K499" s="438"/>
      <c r="L499" s="447"/>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x</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hidden="1" customHeight="1">
      <c r="A500" s="343" t="str">
        <f>IF(B500&lt;&gt;"",IF(AND(B500='IN-TC'!$S$4,OR(TH!N500="1111",TH!O500="1111")),TH!D500,""),"")</f>
        <v/>
      </c>
      <c r="B500" s="63">
        <f t="shared" si="40"/>
        <v>3</v>
      </c>
      <c r="C500" s="64">
        <v>42430</v>
      </c>
      <c r="D500" s="320" t="s">
        <v>708</v>
      </c>
      <c r="E500" s="64">
        <v>42430</v>
      </c>
      <c r="F500" s="67" t="s">
        <v>1214</v>
      </c>
      <c r="G500" s="67" t="s">
        <v>929</v>
      </c>
      <c r="H500" s="74"/>
      <c r="I500" s="447"/>
      <c r="J500" s="447"/>
      <c r="K500" s="438"/>
      <c r="L500" s="447"/>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x</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hidden="1" customHeight="1">
      <c r="A501" s="343" t="str">
        <f>IF(B501&lt;&gt;"",IF(AND(B501='IN-TC'!$S$4,OR(TH!N501="1111",TH!O501="1111")),TH!D501,""),"")</f>
        <v/>
      </c>
      <c r="B501" s="63">
        <f t="shared" si="40"/>
        <v>3</v>
      </c>
      <c r="C501" s="64">
        <v>42430</v>
      </c>
      <c r="D501" s="320" t="s">
        <v>708</v>
      </c>
      <c r="E501" s="64">
        <v>42430</v>
      </c>
      <c r="F501" s="67" t="s">
        <v>1215</v>
      </c>
      <c r="G501" s="67" t="s">
        <v>929</v>
      </c>
      <c r="H501" s="74"/>
      <c r="I501" s="447"/>
      <c r="J501" s="447"/>
      <c r="K501" s="438"/>
      <c r="L501" s="447"/>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x</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hidden="1" customHeight="1">
      <c r="A502" s="343" t="str">
        <f>IF(B502&lt;&gt;"",IF(AND(B502='IN-TC'!$S$4,OR(TH!N502="1111",TH!O502="1111")),TH!D502,""),"")</f>
        <v/>
      </c>
      <c r="B502" s="63">
        <f t="shared" si="40"/>
        <v>3</v>
      </c>
      <c r="C502" s="320">
        <v>42431</v>
      </c>
      <c r="D502" s="320" t="s">
        <v>887</v>
      </c>
      <c r="E502" s="320">
        <v>42373</v>
      </c>
      <c r="F502" s="321" t="s">
        <v>1163</v>
      </c>
      <c r="G502" s="1000" t="s">
        <v>1167</v>
      </c>
      <c r="H502" s="74" t="s">
        <v>1166</v>
      </c>
      <c r="I502" s="447"/>
      <c r="J502" s="447"/>
      <c r="K502" s="438"/>
      <c r="L502" s="447"/>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hidden="1" customHeight="1">
      <c r="A503" s="343" t="str">
        <f>IF(B503&lt;&gt;"",IF(AND(B503='IN-TC'!$S$4,OR(TH!N503="1111",TH!O503="1111")),TH!D503,""),"")</f>
        <v/>
      </c>
      <c r="B503" s="63">
        <f t="shared" si="40"/>
        <v>3</v>
      </c>
      <c r="C503" s="320">
        <v>42431</v>
      </c>
      <c r="D503" s="320" t="s">
        <v>887</v>
      </c>
      <c r="E503" s="320">
        <v>42373</v>
      </c>
      <c r="F503" s="67" t="s">
        <v>1164</v>
      </c>
      <c r="G503" s="1000" t="s">
        <v>1167</v>
      </c>
      <c r="H503" s="74" t="s">
        <v>1166</v>
      </c>
      <c r="I503" s="447"/>
      <c r="J503" s="447"/>
      <c r="K503" s="438"/>
      <c r="L503" s="447"/>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hidden="1" customHeight="1">
      <c r="A504" s="343" t="str">
        <f>IF(B504&lt;&gt;"",IF(AND(B504='IN-TC'!$S$4,OR(TH!N504="1111",TH!O504="1111")),TH!D504,""),"")</f>
        <v/>
      </c>
      <c r="B504" s="63">
        <f t="shared" si="40"/>
        <v>3</v>
      </c>
      <c r="C504" s="320">
        <v>42431</v>
      </c>
      <c r="D504" s="320" t="s">
        <v>888</v>
      </c>
      <c r="E504" s="320">
        <v>42375</v>
      </c>
      <c r="F504" s="67" t="s">
        <v>1168</v>
      </c>
      <c r="G504" s="1000" t="s">
        <v>1170</v>
      </c>
      <c r="H504" s="74" t="s">
        <v>1171</v>
      </c>
      <c r="I504" s="447"/>
      <c r="J504" s="447"/>
      <c r="K504" s="438"/>
      <c r="L504" s="447"/>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hidden="1" customHeight="1">
      <c r="A505" s="343" t="str">
        <f>IF(B505&lt;&gt;"",IF(AND(B505='IN-TC'!$S$4,OR(TH!N505="1111",TH!O505="1111")),TH!D505,""),"")</f>
        <v/>
      </c>
      <c r="B505" s="63">
        <f t="shared" si="40"/>
        <v>3</v>
      </c>
      <c r="C505" s="320">
        <v>42431</v>
      </c>
      <c r="D505" s="320" t="s">
        <v>888</v>
      </c>
      <c r="E505" s="320">
        <v>42375</v>
      </c>
      <c r="F505" s="67" t="s">
        <v>1169</v>
      </c>
      <c r="G505" s="1000" t="s">
        <v>1170</v>
      </c>
      <c r="H505" s="74" t="s">
        <v>1171</v>
      </c>
      <c r="I505" s="447"/>
      <c r="J505" s="447"/>
      <c r="K505" s="438"/>
      <c r="L505" s="447"/>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hidden="1" customHeight="1">
      <c r="A506" s="343" t="str">
        <f>IF(B506&lt;&gt;"",IF(AND(B506='IN-TC'!$S$4,OR(TH!N506="1111",TH!O506="1111")),TH!D506,""),"")</f>
        <v/>
      </c>
      <c r="B506" s="63">
        <f t="shared" si="40"/>
        <v>3</v>
      </c>
      <c r="C506" s="320">
        <v>42431</v>
      </c>
      <c r="D506" s="320" t="s">
        <v>889</v>
      </c>
      <c r="E506" s="320">
        <v>42375</v>
      </c>
      <c r="F506" s="67" t="s">
        <v>1172</v>
      </c>
      <c r="G506" s="1000" t="s">
        <v>1174</v>
      </c>
      <c r="H506" s="74" t="s">
        <v>1175</v>
      </c>
      <c r="I506" s="447"/>
      <c r="J506" s="447"/>
      <c r="K506" s="438"/>
      <c r="L506" s="447"/>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hidden="1" customHeight="1">
      <c r="A507" s="343" t="str">
        <f>IF(B507&lt;&gt;"",IF(AND(B507='IN-TC'!$S$4,OR(TH!N507="1111",TH!O507="1111")),TH!D507,""),"")</f>
        <v/>
      </c>
      <c r="B507" s="63">
        <f t="shared" si="40"/>
        <v>3</v>
      </c>
      <c r="C507" s="320">
        <v>42431</v>
      </c>
      <c r="D507" s="320" t="s">
        <v>889</v>
      </c>
      <c r="E507" s="320">
        <v>42375</v>
      </c>
      <c r="F507" s="67" t="s">
        <v>1173</v>
      </c>
      <c r="G507" s="1000" t="s">
        <v>1174</v>
      </c>
      <c r="H507" s="74" t="s">
        <v>1175</v>
      </c>
      <c r="I507" s="447"/>
      <c r="J507" s="447"/>
      <c r="K507" s="438"/>
      <c r="L507" s="447"/>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hidden="1" customHeight="1">
      <c r="A508" s="343"/>
      <c r="B508" s="63">
        <f t="shared" si="40"/>
        <v>3</v>
      </c>
      <c r="C508" s="320">
        <v>42431</v>
      </c>
      <c r="D508" s="320" t="s">
        <v>890</v>
      </c>
      <c r="E508" s="320">
        <v>42429</v>
      </c>
      <c r="F508" s="67" t="s">
        <v>1400</v>
      </c>
      <c r="G508" s="1000" t="s">
        <v>1404</v>
      </c>
      <c r="H508" s="74" t="s">
        <v>1403</v>
      </c>
      <c r="I508" s="447"/>
      <c r="J508" s="447"/>
      <c r="K508" s="438"/>
      <c r="L508" s="447"/>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hidden="1" customHeight="1">
      <c r="A509" s="343"/>
      <c r="B509" s="63">
        <f t="shared" si="40"/>
        <v>3</v>
      </c>
      <c r="C509" s="320">
        <v>42431</v>
      </c>
      <c r="D509" s="320" t="s">
        <v>890</v>
      </c>
      <c r="E509" s="320">
        <v>42429</v>
      </c>
      <c r="F509" s="67" t="s">
        <v>1401</v>
      </c>
      <c r="G509" s="1000" t="s">
        <v>1404</v>
      </c>
      <c r="H509" s="74" t="s">
        <v>1403</v>
      </c>
      <c r="I509" s="447"/>
      <c r="J509" s="447"/>
      <c r="K509" s="438"/>
      <c r="L509" s="447"/>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hidden="1" customHeight="1">
      <c r="A510" s="343" t="str">
        <f>IF(B510&lt;&gt;"",IF(AND(B510='IN-TC'!$S$4,OR(TH!N510="1111",TH!O510="1111")),TH!D510,""),"")</f>
        <v/>
      </c>
      <c r="B510" s="63">
        <f t="shared" si="40"/>
        <v>3</v>
      </c>
      <c r="C510" s="320">
        <v>42433</v>
      </c>
      <c r="D510" s="320" t="s">
        <v>891</v>
      </c>
      <c r="E510" s="320">
        <v>42433</v>
      </c>
      <c r="F510" s="321" t="s">
        <v>800</v>
      </c>
      <c r="G510" s="1000" t="s">
        <v>1126</v>
      </c>
      <c r="H510" s="322" t="s">
        <v>1120</v>
      </c>
      <c r="I510" s="451"/>
      <c r="J510" s="451"/>
      <c r="K510" s="442"/>
      <c r="L510" s="451"/>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hidden="1" customHeight="1">
      <c r="A511" s="343" t="str">
        <f>IF(B511&lt;&gt;"",IF(AND(B511='IN-TC'!$S$4,OR(TH!N511="1111",TH!O511="1111")),TH!D511,""),"")</f>
        <v/>
      </c>
      <c r="B511" s="63">
        <f t="shared" si="40"/>
        <v>3</v>
      </c>
      <c r="C511" s="320">
        <v>42433</v>
      </c>
      <c r="D511" s="320" t="s">
        <v>891</v>
      </c>
      <c r="E511" s="320">
        <v>42433</v>
      </c>
      <c r="F511" s="321" t="s">
        <v>1026</v>
      </c>
      <c r="G511" s="1000" t="s">
        <v>1126</v>
      </c>
      <c r="H511" s="322" t="s">
        <v>1120</v>
      </c>
      <c r="I511" s="447"/>
      <c r="J511" s="447"/>
      <c r="K511" s="438"/>
      <c r="L511" s="447"/>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hidden="1" customHeight="1">
      <c r="A512" s="343" t="str">
        <f>IF(B512&lt;&gt;"",IF(AND(B512='IN-TC'!$S$4,OR(TH!N512="1111",TH!O512="1111")),TH!D512,""),"")</f>
        <v/>
      </c>
      <c r="B512" s="63">
        <f t="shared" si="40"/>
        <v>3</v>
      </c>
      <c r="C512" s="320">
        <v>42433</v>
      </c>
      <c r="D512" s="320" t="s">
        <v>892</v>
      </c>
      <c r="E512" s="320">
        <v>42377</v>
      </c>
      <c r="F512" s="321" t="s">
        <v>1163</v>
      </c>
      <c r="G512" s="1000" t="s">
        <v>1176</v>
      </c>
      <c r="H512" s="74" t="s">
        <v>1166</v>
      </c>
      <c r="I512" s="447"/>
      <c r="J512" s="447"/>
      <c r="K512" s="438"/>
      <c r="L512" s="447"/>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hidden="1" customHeight="1">
      <c r="A513" s="343" t="str">
        <f>IF(B513&lt;&gt;"",IF(AND(B513='IN-TC'!$S$4,OR(TH!N513="1111",TH!O513="1111")),TH!D513,""),"")</f>
        <v/>
      </c>
      <c r="B513" s="63">
        <f t="shared" si="40"/>
        <v>3</v>
      </c>
      <c r="C513" s="320">
        <v>42433</v>
      </c>
      <c r="D513" s="320" t="s">
        <v>892</v>
      </c>
      <c r="E513" s="320">
        <v>42377</v>
      </c>
      <c r="F513" s="67" t="s">
        <v>1164</v>
      </c>
      <c r="G513" s="1000" t="s">
        <v>1176</v>
      </c>
      <c r="H513" s="74" t="s">
        <v>1166</v>
      </c>
      <c r="I513" s="447"/>
      <c r="J513" s="447"/>
      <c r="K513" s="438"/>
      <c r="L513" s="447"/>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hidden="1" customHeight="1">
      <c r="A514" s="343" t="str">
        <f>IF(B514&lt;&gt;"",IF(AND(B514='IN-TC'!$S$4,OR(TH!N514="1111",TH!O514="1111")),TH!D514,""),"")</f>
        <v/>
      </c>
      <c r="B514" s="63">
        <f t="shared" si="40"/>
        <v>3</v>
      </c>
      <c r="C514" s="320">
        <v>42434</v>
      </c>
      <c r="D514" s="320" t="s">
        <v>893</v>
      </c>
      <c r="E514" s="320">
        <v>42434</v>
      </c>
      <c r="F514" s="321" t="s">
        <v>1161</v>
      </c>
      <c r="G514" s="1000" t="s">
        <v>1162</v>
      </c>
      <c r="H514" s="322" t="s">
        <v>856</v>
      </c>
      <c r="I514" s="447"/>
      <c r="J514" s="447"/>
      <c r="K514" s="438"/>
      <c r="L514" s="447"/>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hidden="1" customHeight="1">
      <c r="A515" s="343" t="str">
        <f>IF(B515&lt;&gt;"",IF(AND(B515='IN-TC'!$S$4,OR(TH!N515="1111",TH!O515="1111")),TH!D515,""),"")</f>
        <v/>
      </c>
      <c r="B515" s="63">
        <f t="shared" si="40"/>
        <v>3</v>
      </c>
      <c r="C515" s="320">
        <v>42434</v>
      </c>
      <c r="D515" s="320" t="s">
        <v>893</v>
      </c>
      <c r="E515" s="320">
        <v>42434</v>
      </c>
      <c r="F515" s="321" t="s">
        <v>1194</v>
      </c>
      <c r="G515" s="1000" t="s">
        <v>1162</v>
      </c>
      <c r="H515" s="322" t="s">
        <v>856</v>
      </c>
      <c r="I515" s="447"/>
      <c r="J515" s="447"/>
      <c r="K515" s="438"/>
      <c r="L515" s="447"/>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hidden="1" customHeight="1">
      <c r="A516" s="343" t="str">
        <f>IF(B516&lt;&gt;"",IF(AND(B516='IN-TC'!$S$4,OR(TH!N516="1111",TH!O516="1111")),TH!D516,""),"")</f>
        <v/>
      </c>
      <c r="B516" s="63">
        <f t="shared" si="40"/>
        <v>3</v>
      </c>
      <c r="C516" s="320">
        <v>42435</v>
      </c>
      <c r="D516" s="320" t="s">
        <v>894</v>
      </c>
      <c r="E516" s="320">
        <v>42435</v>
      </c>
      <c r="F516" s="321" t="s">
        <v>785</v>
      </c>
      <c r="G516" s="1000" t="s">
        <v>1127</v>
      </c>
      <c r="H516" s="322" t="s">
        <v>1120</v>
      </c>
      <c r="I516" s="451"/>
      <c r="J516" s="451"/>
      <c r="K516" s="442"/>
      <c r="L516" s="451"/>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hidden="1" customHeight="1">
      <c r="A517" s="343" t="str">
        <f>IF(B517&lt;&gt;"",IF(AND(B517='IN-TC'!$S$4,OR(TH!N517="1111",TH!O517="1111")),TH!D517,""),"")</f>
        <v/>
      </c>
      <c r="B517" s="63">
        <f t="shared" si="40"/>
        <v>3</v>
      </c>
      <c r="C517" s="320">
        <v>42435</v>
      </c>
      <c r="D517" s="320" t="s">
        <v>894</v>
      </c>
      <c r="E517" s="320">
        <v>42435</v>
      </c>
      <c r="F517" s="321" t="s">
        <v>786</v>
      </c>
      <c r="G517" s="1000" t="s">
        <v>1127</v>
      </c>
      <c r="H517" s="322" t="s">
        <v>1120</v>
      </c>
      <c r="I517" s="447"/>
      <c r="J517" s="447"/>
      <c r="K517" s="438"/>
      <c r="L517" s="447"/>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hidden="1" customHeight="1">
      <c r="A518" s="343" t="str">
        <f>IF(B518&lt;&gt;"",IF(AND(B518='IN-TC'!$S$4,OR(TH!N518="1111",TH!O518="1111")),TH!D518,""),"")</f>
        <v/>
      </c>
      <c r="B518" s="63">
        <f t="shared" si="40"/>
        <v>3</v>
      </c>
      <c r="C518" s="64">
        <v>42436</v>
      </c>
      <c r="D518" s="320" t="s">
        <v>895</v>
      </c>
      <c r="E518" s="64">
        <v>42436</v>
      </c>
      <c r="F518" s="321" t="s">
        <v>1118</v>
      </c>
      <c r="G518" s="321" t="s">
        <v>929</v>
      </c>
      <c r="H518" s="322" t="s">
        <v>1221</v>
      </c>
      <c r="I518" s="447"/>
      <c r="J518" s="447"/>
      <c r="K518" s="438"/>
      <c r="L518" s="447"/>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x</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hidden="1" customHeight="1">
      <c r="A519" s="343" t="str">
        <f>IF(B519&lt;&gt;"",IF(AND(B519='IN-TC'!$S$4,OR(TH!N519="1111",TH!O519="1111")),TH!D519,""),"")</f>
        <v/>
      </c>
      <c r="B519" s="63">
        <f t="shared" si="40"/>
        <v>3</v>
      </c>
      <c r="C519" s="320">
        <v>42436</v>
      </c>
      <c r="D519" s="320" t="s">
        <v>705</v>
      </c>
      <c r="E519" s="320">
        <v>42436</v>
      </c>
      <c r="F519" s="321" t="s">
        <v>1198</v>
      </c>
      <c r="G519" s="321" t="s">
        <v>929</v>
      </c>
      <c r="H519" s="7"/>
      <c r="I519" s="447"/>
      <c r="J519" s="447"/>
      <c r="K519" s="438">
        <v>82000</v>
      </c>
      <c r="L519" s="447">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x</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7"/>
    </row>
    <row r="520" spans="1:31" ht="15.75" hidden="1" customHeight="1">
      <c r="A520" s="343" t="str">
        <f>IF(B520&lt;&gt;"",IF(AND(B520='IN-TC'!$S$4,OR(TH!N520="1111",TH!O520="1111")),TH!D520,""),"")</f>
        <v/>
      </c>
      <c r="B520" s="63">
        <f t="shared" si="40"/>
        <v>3</v>
      </c>
      <c r="C520" s="320">
        <v>42436</v>
      </c>
      <c r="D520" s="320" t="s">
        <v>705</v>
      </c>
      <c r="E520" s="320">
        <v>42436</v>
      </c>
      <c r="F520" s="67" t="s">
        <v>1200</v>
      </c>
      <c r="G520" s="321" t="s">
        <v>929</v>
      </c>
      <c r="H520" s="74" t="s">
        <v>1199</v>
      </c>
      <c r="I520" s="447"/>
      <c r="J520" s="447"/>
      <c r="K520" s="438">
        <v>82000</v>
      </c>
      <c r="L520" s="447">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hidden="1" customHeight="1">
      <c r="A521" s="343" t="str">
        <f>IF(B521&lt;&gt;"",IF(AND(B521='IN-TC'!$S$4,OR(TH!N521="1111",TH!O521="1111")),TH!D521,""),"")</f>
        <v/>
      </c>
      <c r="B521" s="63">
        <f t="shared" si="40"/>
        <v>3</v>
      </c>
      <c r="C521" s="320">
        <v>42436</v>
      </c>
      <c r="D521" s="320" t="s">
        <v>708</v>
      </c>
      <c r="E521" s="320">
        <v>42436</v>
      </c>
      <c r="F521" s="321" t="s">
        <v>1202</v>
      </c>
      <c r="G521" s="321" t="s">
        <v>929</v>
      </c>
      <c r="H521" s="7" t="s">
        <v>730</v>
      </c>
      <c r="I521" s="447"/>
      <c r="J521" s="447"/>
      <c r="K521" s="438">
        <v>82000</v>
      </c>
      <c r="L521" s="447">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8"/>
    </row>
    <row r="522" spans="1:31" ht="15.75" hidden="1" customHeight="1">
      <c r="A522" s="343" t="str">
        <f>IF(B522&lt;&gt;"",IF(AND(B522='IN-TC'!$S$4,OR(TH!N522="1111",TH!O522="1111")),TH!D522,""),"")</f>
        <v/>
      </c>
      <c r="B522" s="63">
        <f t="shared" si="40"/>
        <v>3</v>
      </c>
      <c r="C522" s="320">
        <v>42436</v>
      </c>
      <c r="D522" s="320" t="s">
        <v>585</v>
      </c>
      <c r="E522" s="320">
        <v>42436</v>
      </c>
      <c r="F522" s="321" t="s">
        <v>1204</v>
      </c>
      <c r="G522" s="321" t="s">
        <v>929</v>
      </c>
      <c r="H522" s="7" t="s">
        <v>730</v>
      </c>
      <c r="I522" s="447"/>
      <c r="J522" s="447"/>
      <c r="K522" s="438"/>
      <c r="L522" s="447"/>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8"/>
    </row>
    <row r="523" spans="1:31" ht="15.75" hidden="1" customHeight="1">
      <c r="A523" s="343" t="str">
        <f>IF(B523&lt;&gt;"",IF(AND(B523='IN-TC'!$S$4,OR(TH!N523="1111",TH!O523="1111")),TH!D523,""),"")</f>
        <v/>
      </c>
      <c r="B523" s="63">
        <f t="shared" si="40"/>
        <v>3</v>
      </c>
      <c r="C523" s="320">
        <v>42436</v>
      </c>
      <c r="D523" s="320" t="s">
        <v>708</v>
      </c>
      <c r="E523" s="320">
        <v>42436</v>
      </c>
      <c r="F523" s="67" t="s">
        <v>1203</v>
      </c>
      <c r="G523" s="321" t="s">
        <v>929</v>
      </c>
      <c r="H523" s="322"/>
      <c r="I523" s="447"/>
      <c r="J523" s="447"/>
      <c r="K523" s="438">
        <v>82000</v>
      </c>
      <c r="L523" s="447">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x</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8"/>
    </row>
    <row r="524" spans="1:31" ht="15.75" hidden="1" customHeight="1">
      <c r="A524" s="343" t="str">
        <f>IF(B524&lt;&gt;"",IF(AND(B524='IN-TC'!$S$4,OR(TH!N524="1111",TH!O524="1111")),TH!D524,""),"")</f>
        <v/>
      </c>
      <c r="B524" s="63">
        <f t="shared" si="40"/>
        <v>3</v>
      </c>
      <c r="C524" s="64">
        <v>42436</v>
      </c>
      <c r="D524" s="320" t="s">
        <v>708</v>
      </c>
      <c r="E524" s="64">
        <v>42436</v>
      </c>
      <c r="F524" s="67" t="s">
        <v>1211</v>
      </c>
      <c r="G524" s="67" t="s">
        <v>929</v>
      </c>
      <c r="H524" s="7" t="s">
        <v>730</v>
      </c>
      <c r="I524" s="447"/>
      <c r="J524" s="447"/>
      <c r="K524" s="438">
        <v>191.33001792114695</v>
      </c>
      <c r="L524" s="447">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x</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hidden="1" customHeight="1">
      <c r="A525" s="343" t="str">
        <f>IF(B525&lt;&gt;"",IF(AND(B525='IN-TC'!$S$4,OR(TH!N525="1111",TH!O525="1111")),TH!D525,""),"")</f>
        <v/>
      </c>
      <c r="B525" s="63">
        <f t="shared" si="40"/>
        <v>3</v>
      </c>
      <c r="C525" s="64">
        <v>42436</v>
      </c>
      <c r="D525" s="320" t="s">
        <v>708</v>
      </c>
      <c r="E525" s="64">
        <v>42436</v>
      </c>
      <c r="F525" s="67" t="s">
        <v>1211</v>
      </c>
      <c r="G525" s="67" t="s">
        <v>929</v>
      </c>
      <c r="H525" s="7" t="s">
        <v>728</v>
      </c>
      <c r="I525" s="447"/>
      <c r="J525" s="447"/>
      <c r="K525" s="438">
        <v>56.05</v>
      </c>
      <c r="L525" s="447">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x</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hidden="1" customHeight="1">
      <c r="A526" s="343" t="str">
        <f>IF(B526&lt;&gt;"",IF(AND(B526='IN-TC'!$S$4,OR(TH!N526="1111",TH!O526="1111")),TH!D526,""),"")</f>
        <v/>
      </c>
      <c r="B526" s="63">
        <f t="shared" si="40"/>
        <v>3</v>
      </c>
      <c r="C526" s="64">
        <v>42436</v>
      </c>
      <c r="D526" s="320" t="s">
        <v>708</v>
      </c>
      <c r="E526" s="64">
        <v>42436</v>
      </c>
      <c r="F526" s="67" t="s">
        <v>1211</v>
      </c>
      <c r="G526" s="67" t="s">
        <v>929</v>
      </c>
      <c r="H526" s="7" t="s">
        <v>720</v>
      </c>
      <c r="I526" s="447"/>
      <c r="J526" s="447"/>
      <c r="K526" s="438">
        <v>120.78001792114695</v>
      </c>
      <c r="L526" s="447">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x</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hidden="1" customHeight="1">
      <c r="A527" s="343" t="str">
        <f>IF(B527&lt;&gt;"",IF(AND(B527='IN-TC'!$S$4,OR(TH!N527="1111",TH!O527="1111")),TH!D527,""),"")</f>
        <v/>
      </c>
      <c r="B527" s="63">
        <f t="shared" si="40"/>
        <v>3</v>
      </c>
      <c r="C527" s="64">
        <v>42436</v>
      </c>
      <c r="D527" s="320" t="s">
        <v>708</v>
      </c>
      <c r="E527" s="64">
        <v>42436</v>
      </c>
      <c r="F527" s="67" t="s">
        <v>1211</v>
      </c>
      <c r="G527" s="67" t="s">
        <v>929</v>
      </c>
      <c r="H527" s="7" t="s">
        <v>721</v>
      </c>
      <c r="I527" s="447"/>
      <c r="J527" s="447"/>
      <c r="K527" s="438">
        <v>74.369982078853042</v>
      </c>
      <c r="L527" s="447">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x</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hidden="1" customHeight="1">
      <c r="A528" s="343" t="str">
        <f>IF(B528&lt;&gt;"",IF(AND(B528='IN-TC'!$S$4,OR(TH!N528="1111",TH!O528="1111")),TH!D528,""),"")</f>
        <v/>
      </c>
      <c r="B528" s="63">
        <f t="shared" si="40"/>
        <v>3</v>
      </c>
      <c r="C528" s="64">
        <v>42436</v>
      </c>
      <c r="D528" s="320" t="s">
        <v>708</v>
      </c>
      <c r="E528" s="64">
        <v>42436</v>
      </c>
      <c r="F528" s="67" t="s">
        <v>1211</v>
      </c>
      <c r="G528" s="67" t="s">
        <v>929</v>
      </c>
      <c r="H528" s="7" t="s">
        <v>729</v>
      </c>
      <c r="I528" s="447"/>
      <c r="J528" s="447"/>
      <c r="K528" s="438">
        <v>104.10999103942652</v>
      </c>
      <c r="L528" s="447">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x</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hidden="1" customHeight="1">
      <c r="A529" s="343" t="str">
        <f>IF(B529&lt;&gt;"",IF(AND(B529='IN-TC'!$S$4,OR(TH!N529="1111",TH!O529="1111")),TH!D529,""),"")</f>
        <v/>
      </c>
      <c r="B529" s="63">
        <f t="shared" si="40"/>
        <v>3</v>
      </c>
      <c r="C529" s="64">
        <v>42436</v>
      </c>
      <c r="D529" s="320" t="s">
        <v>705</v>
      </c>
      <c r="E529" s="64">
        <v>42436</v>
      </c>
      <c r="F529" s="67" t="s">
        <v>1222</v>
      </c>
      <c r="G529" s="67" t="s">
        <v>929</v>
      </c>
      <c r="H529" s="7" t="s">
        <v>728</v>
      </c>
      <c r="I529" s="447"/>
      <c r="J529" s="447"/>
      <c r="K529" s="438"/>
      <c r="L529" s="447"/>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x</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hidden="1" customHeight="1">
      <c r="A530" s="343" t="str">
        <f>IF(B530&lt;&gt;"",IF(AND(B530='IN-TC'!$S$4,OR(TH!N530="1111",TH!O530="1111")),TH!D530,""),"")</f>
        <v/>
      </c>
      <c r="B530" s="63">
        <f t="shared" si="40"/>
        <v>3</v>
      </c>
      <c r="C530" s="64">
        <v>42436</v>
      </c>
      <c r="D530" s="320" t="s">
        <v>708</v>
      </c>
      <c r="E530" s="64">
        <v>42436</v>
      </c>
      <c r="F530" s="67" t="s">
        <v>1211</v>
      </c>
      <c r="G530" s="67" t="s">
        <v>929</v>
      </c>
      <c r="H530" s="7" t="s">
        <v>728</v>
      </c>
      <c r="I530" s="447"/>
      <c r="J530" s="447"/>
      <c r="K530" s="438">
        <v>50.440008960573479</v>
      </c>
      <c r="L530" s="447">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x</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hidden="1" customHeight="1">
      <c r="A531" s="343" t="str">
        <f>IF(B531&lt;&gt;"",IF(AND(B531='IN-TC'!$S$4,OR(TH!N531="1111",TH!O531="1111")),TH!D531,""),"")</f>
        <v/>
      </c>
      <c r="B531" s="63">
        <f t="shared" ref="B531:B600" si="42">IF(C531&lt;&gt;"",MONTH(C531),"")</f>
        <v>3</v>
      </c>
      <c r="C531" s="64">
        <v>42436</v>
      </c>
      <c r="D531" s="320" t="s">
        <v>884</v>
      </c>
      <c r="E531" s="64">
        <v>42436</v>
      </c>
      <c r="F531" s="321" t="s">
        <v>1157</v>
      </c>
      <c r="G531" s="67" t="s">
        <v>929</v>
      </c>
      <c r="H531" s="322" t="s">
        <v>772</v>
      </c>
      <c r="I531" s="447"/>
      <c r="J531" s="447"/>
      <c r="K531" s="438"/>
      <c r="L531" s="447"/>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x</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hidden="1" customHeight="1">
      <c r="A532" s="343" t="str">
        <f>IF(B532&lt;&gt;"",IF(AND(B532='IN-TC'!$S$4,OR(TH!N532="1111",TH!O532="1111")),TH!D532,""),"")</f>
        <v/>
      </c>
      <c r="B532" s="63">
        <f t="shared" si="42"/>
        <v>3</v>
      </c>
      <c r="C532" s="320">
        <v>42437</v>
      </c>
      <c r="D532" s="320" t="s">
        <v>896</v>
      </c>
      <c r="E532" s="320">
        <v>42437</v>
      </c>
      <c r="F532" s="321" t="s">
        <v>1118</v>
      </c>
      <c r="G532" s="321" t="s">
        <v>929</v>
      </c>
      <c r="H532" s="322" t="s">
        <v>772</v>
      </c>
      <c r="I532" s="447"/>
      <c r="J532" s="447"/>
      <c r="K532" s="438"/>
      <c r="L532" s="447"/>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x</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hidden="1" customHeight="1">
      <c r="A533" s="343" t="str">
        <f>IF(B533&lt;&gt;"",IF(AND(B533='IN-TC'!$S$4,OR(TH!N533="1111",TH!O533="1111")),TH!D533,""),"")</f>
        <v/>
      </c>
      <c r="B533" s="63">
        <f t="shared" si="42"/>
        <v>3</v>
      </c>
      <c r="C533" s="320">
        <v>42437</v>
      </c>
      <c r="D533" s="320" t="s">
        <v>897</v>
      </c>
      <c r="E533" s="320">
        <v>42437</v>
      </c>
      <c r="F533" s="321" t="s">
        <v>780</v>
      </c>
      <c r="G533" s="1000" t="s">
        <v>1128</v>
      </c>
      <c r="H533" s="322" t="s">
        <v>1120</v>
      </c>
      <c r="I533" s="447"/>
      <c r="J533" s="447"/>
      <c r="K533" s="438"/>
      <c r="L533" s="447"/>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hidden="1" customHeight="1">
      <c r="A534" s="343" t="str">
        <f>IF(B534&lt;&gt;"",IF(AND(B534='IN-TC'!$S$4,OR(TH!N534="1111",TH!O534="1111")),TH!D534,""),"")</f>
        <v/>
      </c>
      <c r="B534" s="63">
        <f t="shared" si="42"/>
        <v>3</v>
      </c>
      <c r="C534" s="320">
        <v>42437</v>
      </c>
      <c r="D534" s="320" t="s">
        <v>897</v>
      </c>
      <c r="E534" s="320">
        <v>42437</v>
      </c>
      <c r="F534" s="321" t="s">
        <v>781</v>
      </c>
      <c r="G534" s="1000" t="s">
        <v>1128</v>
      </c>
      <c r="H534" s="322" t="s">
        <v>1120</v>
      </c>
      <c r="I534" s="447"/>
      <c r="J534" s="447"/>
      <c r="K534" s="438"/>
      <c r="L534" s="447"/>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hidden="1" customHeight="1">
      <c r="A535" s="343" t="str">
        <f>IF(B535&lt;&gt;"",IF(AND(B535='IN-TC'!$S$4,OR(TH!N535="1111",TH!O535="1111")),TH!D535,""),"")</f>
        <v/>
      </c>
      <c r="B535" s="63">
        <f t="shared" si="42"/>
        <v>3</v>
      </c>
      <c r="C535" s="64">
        <v>42437</v>
      </c>
      <c r="D535" s="320" t="s">
        <v>898</v>
      </c>
      <c r="E535" s="64">
        <v>42437</v>
      </c>
      <c r="F535" s="321" t="s">
        <v>1118</v>
      </c>
      <c r="G535" s="321" t="s">
        <v>929</v>
      </c>
      <c r="H535" s="322" t="s">
        <v>1223</v>
      </c>
      <c r="I535" s="447"/>
      <c r="J535" s="447"/>
      <c r="K535" s="438"/>
      <c r="L535" s="447"/>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x</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hidden="1" customHeight="1">
      <c r="A536" s="343" t="str">
        <f>IF(B536&lt;&gt;"",IF(AND(B536='IN-TC'!$S$4,OR(TH!N536="1111",TH!O536="1111")),TH!D536,""),"")</f>
        <v/>
      </c>
      <c r="B536" s="63">
        <f t="shared" si="42"/>
        <v>3</v>
      </c>
      <c r="C536" s="64">
        <v>42437</v>
      </c>
      <c r="D536" s="320" t="s">
        <v>705</v>
      </c>
      <c r="E536" s="320">
        <v>42437</v>
      </c>
      <c r="F536" s="321" t="s">
        <v>1198</v>
      </c>
      <c r="G536" s="321" t="s">
        <v>929</v>
      </c>
      <c r="H536" s="74"/>
      <c r="I536" s="447"/>
      <c r="J536" s="447"/>
      <c r="K536" s="438">
        <v>90000</v>
      </c>
      <c r="L536" s="447">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x</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4"/>
    </row>
    <row r="537" spans="1:31" s="358" customFormat="1" ht="15.75" hidden="1" customHeight="1">
      <c r="A537" s="343" t="str">
        <f>IF(B537&lt;&gt;"",IF(AND(B537='IN-TC'!$S$4,OR(TH!N537="1111",TH!O537="1111")),TH!D537,""),"")</f>
        <v/>
      </c>
      <c r="B537" s="63">
        <f t="shared" si="42"/>
        <v>3</v>
      </c>
      <c r="C537" s="64">
        <v>42437</v>
      </c>
      <c r="D537" s="320" t="s">
        <v>705</v>
      </c>
      <c r="E537" s="320">
        <v>42437</v>
      </c>
      <c r="F537" s="67" t="s">
        <v>1200</v>
      </c>
      <c r="G537" s="321" t="s">
        <v>929</v>
      </c>
      <c r="H537" s="74" t="s">
        <v>1201</v>
      </c>
      <c r="I537" s="447"/>
      <c r="J537" s="447"/>
      <c r="K537" s="438">
        <v>90000</v>
      </c>
      <c r="L537" s="447">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7" customFormat="1" ht="15.75" hidden="1" customHeight="1">
      <c r="A538" s="343" t="str">
        <f>IF(B538&lt;&gt;"",IF(AND(B538='IN-TC'!$S$4,OR(TH!N538="1111",TH!O538="1111")),TH!D538,""),"")</f>
        <v/>
      </c>
      <c r="B538" s="63">
        <f t="shared" si="42"/>
        <v>3</v>
      </c>
      <c r="C538" s="320">
        <v>42437</v>
      </c>
      <c r="D538" s="320" t="s">
        <v>708</v>
      </c>
      <c r="E538" s="320">
        <v>42437</v>
      </c>
      <c r="F538" s="321" t="s">
        <v>1202</v>
      </c>
      <c r="G538" s="321" t="s">
        <v>929</v>
      </c>
      <c r="H538" s="322" t="s">
        <v>731</v>
      </c>
      <c r="I538" s="447"/>
      <c r="J538" s="447"/>
      <c r="K538" s="438">
        <v>40000</v>
      </c>
      <c r="L538" s="447">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8"/>
    </row>
    <row r="539" spans="1:31" ht="15.75" hidden="1" customHeight="1">
      <c r="A539" s="343" t="str">
        <f>IF(B539&lt;&gt;"",IF(AND(B539='IN-TC'!$S$4,OR(TH!N539="1111",TH!O539="1111")),TH!D539,""),"")</f>
        <v/>
      </c>
      <c r="B539" s="63">
        <f t="shared" si="42"/>
        <v>3</v>
      </c>
      <c r="C539" s="320">
        <v>42437</v>
      </c>
      <c r="D539" s="320" t="s">
        <v>585</v>
      </c>
      <c r="E539" s="320">
        <v>42437</v>
      </c>
      <c r="F539" s="321" t="s">
        <v>1204</v>
      </c>
      <c r="G539" s="321" t="s">
        <v>929</v>
      </c>
      <c r="H539" s="322" t="s">
        <v>731</v>
      </c>
      <c r="I539" s="447"/>
      <c r="J539" s="447"/>
      <c r="K539" s="438"/>
      <c r="L539" s="447">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8"/>
    </row>
    <row r="540" spans="1:31" s="354" customFormat="1" ht="15.75" hidden="1" customHeight="1">
      <c r="A540" s="343" t="str">
        <f>IF(B540&lt;&gt;"",IF(AND(B540='IN-TC'!$S$4,OR(TH!N540="1111",TH!O540="1111")),TH!D540,""),"")</f>
        <v/>
      </c>
      <c r="B540" s="63">
        <f t="shared" si="42"/>
        <v>3</v>
      </c>
      <c r="C540" s="320">
        <v>42437</v>
      </c>
      <c r="D540" s="320" t="s">
        <v>708</v>
      </c>
      <c r="E540" s="320">
        <v>42437</v>
      </c>
      <c r="F540" s="321" t="s">
        <v>1202</v>
      </c>
      <c r="G540" s="321" t="s">
        <v>929</v>
      </c>
      <c r="H540" s="322" t="s">
        <v>732</v>
      </c>
      <c r="I540" s="447"/>
      <c r="J540" s="447"/>
      <c r="K540" s="438">
        <v>50000</v>
      </c>
      <c r="L540" s="447">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x</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8"/>
    </row>
    <row r="541" spans="1:31" s="358" customFormat="1" ht="15.75" hidden="1" customHeight="1">
      <c r="A541" s="343" t="str">
        <f>IF(B541&lt;&gt;"",IF(AND(B541='IN-TC'!$S$4,OR(TH!N541="1111",TH!O541="1111")),TH!D541,""),"")</f>
        <v/>
      </c>
      <c r="B541" s="63">
        <f t="shared" si="42"/>
        <v>3</v>
      </c>
      <c r="C541" s="320">
        <v>42437</v>
      </c>
      <c r="D541" s="320" t="s">
        <v>585</v>
      </c>
      <c r="E541" s="320">
        <v>42437</v>
      </c>
      <c r="F541" s="321" t="s">
        <v>1204</v>
      </c>
      <c r="G541" s="321" t="s">
        <v>929</v>
      </c>
      <c r="H541" s="322" t="s">
        <v>732</v>
      </c>
      <c r="I541" s="447"/>
      <c r="J541" s="447"/>
      <c r="K541" s="438"/>
      <c r="L541" s="447">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x</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8" customFormat="1" ht="15.75" hidden="1" customHeight="1">
      <c r="A542" s="343" t="str">
        <f>IF(B542&lt;&gt;"",IF(AND(B542='IN-TC'!$S$4,OR(TH!N542="1111",TH!O542="1111")),TH!D542,""),"")</f>
        <v/>
      </c>
      <c r="B542" s="63">
        <f t="shared" si="42"/>
        <v>3</v>
      </c>
      <c r="C542" s="320">
        <v>42437</v>
      </c>
      <c r="D542" s="320" t="s">
        <v>708</v>
      </c>
      <c r="E542" s="320">
        <v>42437</v>
      </c>
      <c r="F542" s="67" t="s">
        <v>1203</v>
      </c>
      <c r="G542" s="321" t="s">
        <v>929</v>
      </c>
      <c r="H542" s="322"/>
      <c r="I542" s="447"/>
      <c r="J542" s="447"/>
      <c r="K542" s="438">
        <v>90000</v>
      </c>
      <c r="L542" s="447">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x</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8" customFormat="1" ht="15.75" hidden="1" customHeight="1">
      <c r="A543" s="343" t="str">
        <f>IF(B543&lt;&gt;"",IF(AND(B543='IN-TC'!$S$4,OR(TH!N543="1111",TH!O543="1111")),TH!D543,""),"")</f>
        <v/>
      </c>
      <c r="B543" s="63">
        <f t="shared" si="42"/>
        <v>3</v>
      </c>
      <c r="C543" s="64">
        <v>42437</v>
      </c>
      <c r="D543" s="320" t="s">
        <v>708</v>
      </c>
      <c r="E543" s="64">
        <v>42437</v>
      </c>
      <c r="F543" s="67" t="s">
        <v>1211</v>
      </c>
      <c r="G543" s="67" t="s">
        <v>929</v>
      </c>
      <c r="H543" s="74" t="s">
        <v>731</v>
      </c>
      <c r="I543" s="447"/>
      <c r="J543" s="447"/>
      <c r="K543" s="438">
        <v>93.371818996415769</v>
      </c>
      <c r="L543" s="447">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x</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8" customFormat="1" ht="15.75" hidden="1" customHeight="1">
      <c r="A544" s="343" t="str">
        <f>IF(B544&lt;&gt;"",IF(AND(B544='IN-TC'!$S$4,OR(TH!N544="1111",TH!O544="1111")),TH!D544,""),"")</f>
        <v/>
      </c>
      <c r="B544" s="63">
        <f t="shared" si="42"/>
        <v>3</v>
      </c>
      <c r="C544" s="64">
        <v>42437</v>
      </c>
      <c r="D544" s="320" t="s">
        <v>708</v>
      </c>
      <c r="E544" s="64">
        <v>42437</v>
      </c>
      <c r="F544" s="67" t="s">
        <v>1211</v>
      </c>
      <c r="G544" s="67" t="s">
        <v>929</v>
      </c>
      <c r="H544" s="74" t="s">
        <v>732</v>
      </c>
      <c r="I544" s="447"/>
      <c r="J544" s="447"/>
      <c r="K544" s="438">
        <v>113.9410394265233</v>
      </c>
      <c r="L544" s="447">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x</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8" customFormat="1" ht="15.75" hidden="1" customHeight="1">
      <c r="A545" s="343" t="str">
        <f>IF(B545&lt;&gt;"",IF(AND(B545='IN-TC'!$S$4,OR(TH!N545="1111",TH!O545="1111")),TH!D545,""),"")</f>
        <v/>
      </c>
      <c r="B545" s="63">
        <f t="shared" si="42"/>
        <v>3</v>
      </c>
      <c r="C545" s="64">
        <v>42437</v>
      </c>
      <c r="D545" s="320" t="s">
        <v>913</v>
      </c>
      <c r="E545" s="64">
        <v>42437</v>
      </c>
      <c r="F545" s="321" t="s">
        <v>1157</v>
      </c>
      <c r="G545" s="67" t="s">
        <v>929</v>
      </c>
      <c r="H545" s="322" t="s">
        <v>772</v>
      </c>
      <c r="I545" s="447"/>
      <c r="J545" s="447"/>
      <c r="K545" s="438"/>
      <c r="L545" s="447"/>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x</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8" customFormat="1" ht="15.75" hidden="1" customHeight="1">
      <c r="A546" s="343" t="str">
        <f>IF(B546&lt;&gt;"",IF(AND(B546='IN-TC'!$S$4,OR(TH!N546="1111",TH!O546="1111")),TH!D546,""),"")</f>
        <v/>
      </c>
      <c r="B546" s="63">
        <f t="shared" si="42"/>
        <v>3</v>
      </c>
      <c r="C546" s="64">
        <v>42437</v>
      </c>
      <c r="D546" s="320" t="s">
        <v>898</v>
      </c>
      <c r="E546" s="64">
        <v>42437</v>
      </c>
      <c r="F546" s="67" t="s">
        <v>789</v>
      </c>
      <c r="G546" s="996" t="s">
        <v>661</v>
      </c>
      <c r="H546" s="7" t="s">
        <v>678</v>
      </c>
      <c r="I546" s="447"/>
      <c r="J546" s="447"/>
      <c r="K546" s="438"/>
      <c r="L546" s="447"/>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8" customFormat="1" ht="15.75" hidden="1" customHeight="1">
      <c r="A547" s="343" t="str">
        <f>IF(B547&lt;&gt;"",IF(AND(B547='IN-TC'!$S$4,OR(TH!N547="1111",TH!O547="1111")),TH!D547,""),"")</f>
        <v/>
      </c>
      <c r="B547" s="63">
        <f t="shared" si="42"/>
        <v>3</v>
      </c>
      <c r="C547" s="320">
        <v>42437</v>
      </c>
      <c r="D547" s="320" t="s">
        <v>708</v>
      </c>
      <c r="E547" s="320">
        <v>42437</v>
      </c>
      <c r="F547" s="321" t="s">
        <v>1224</v>
      </c>
      <c r="G547" s="1000" t="s">
        <v>929</v>
      </c>
      <c r="H547" s="322" t="s">
        <v>635</v>
      </c>
      <c r="I547" s="447"/>
      <c r="J547" s="447"/>
      <c r="K547" s="438"/>
      <c r="L547" s="447"/>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x</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8" customFormat="1" ht="15.75" hidden="1" customHeight="1">
      <c r="A548" s="343" t="str">
        <f>IF(B548&lt;&gt;"",IF(AND(B548='IN-TC'!$S$4,OR(TH!N548="1111",TH!O548="1111")),TH!D548,""),"")</f>
        <v/>
      </c>
      <c r="B548" s="63">
        <f t="shared" si="42"/>
        <v>3</v>
      </c>
      <c r="C548" s="320">
        <v>42438</v>
      </c>
      <c r="D548" s="320" t="s">
        <v>899</v>
      </c>
      <c r="E548" s="320">
        <v>42438</v>
      </c>
      <c r="F548" s="321" t="s">
        <v>1129</v>
      </c>
      <c r="G548" s="1000" t="s">
        <v>1130</v>
      </c>
      <c r="H548" s="322" t="s">
        <v>630</v>
      </c>
      <c r="I548" s="447"/>
      <c r="J548" s="447"/>
      <c r="K548" s="438"/>
      <c r="L548" s="447"/>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8" customFormat="1" ht="15.75" hidden="1" customHeight="1">
      <c r="A549" s="343" t="str">
        <f>IF(B549&lt;&gt;"",IF(AND(B549='IN-TC'!$S$4,OR(TH!N549="1111",TH!O549="1111")),TH!D549,""),"")</f>
        <v/>
      </c>
      <c r="B549" s="63">
        <f t="shared" si="42"/>
        <v>3</v>
      </c>
      <c r="C549" s="320">
        <v>42439</v>
      </c>
      <c r="D549" s="320" t="s">
        <v>900</v>
      </c>
      <c r="E549" s="320">
        <v>42439</v>
      </c>
      <c r="F549" s="321" t="s">
        <v>1190</v>
      </c>
      <c r="G549" s="1000" t="s">
        <v>1138</v>
      </c>
      <c r="H549" s="322" t="s">
        <v>1139</v>
      </c>
      <c r="I549" s="447"/>
      <c r="J549" s="447"/>
      <c r="K549" s="438"/>
      <c r="L549" s="447"/>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8" customFormat="1" ht="15.75" hidden="1" customHeight="1">
      <c r="A550" s="343" t="str">
        <f>IF(B550&lt;&gt;"",IF(AND(B550='IN-TC'!$S$4,OR(TH!N550="1111",TH!O550="1111")),TH!D550,""),"")</f>
        <v/>
      </c>
      <c r="B550" s="63">
        <f t="shared" si="42"/>
        <v>3</v>
      </c>
      <c r="C550" s="320">
        <v>42439</v>
      </c>
      <c r="D550" s="320" t="s">
        <v>900</v>
      </c>
      <c r="E550" s="320">
        <v>42439</v>
      </c>
      <c r="F550" s="321" t="s">
        <v>1137</v>
      </c>
      <c r="G550" s="1000" t="s">
        <v>1138</v>
      </c>
      <c r="H550" s="322" t="s">
        <v>1139</v>
      </c>
      <c r="I550" s="447"/>
      <c r="J550" s="447"/>
      <c r="K550" s="438"/>
      <c r="L550" s="447"/>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8" customFormat="1" ht="15.75" hidden="1" customHeight="1">
      <c r="A551" s="343" t="str">
        <f>IF(B551&lt;&gt;"",IF(AND(B551='IN-TC'!$S$4,OR(TH!N551="1111",TH!O551="1111")),TH!D551,""),"")</f>
        <v/>
      </c>
      <c r="B551" s="63">
        <f t="shared" si="42"/>
        <v>3</v>
      </c>
      <c r="C551" s="320">
        <v>42439</v>
      </c>
      <c r="D551" s="320" t="s">
        <v>901</v>
      </c>
      <c r="E551" s="320">
        <v>42439</v>
      </c>
      <c r="F551" s="321" t="s">
        <v>1140</v>
      </c>
      <c r="G551" s="1000" t="s">
        <v>1141</v>
      </c>
      <c r="H551" s="322" t="s">
        <v>1142</v>
      </c>
      <c r="I551" s="447"/>
      <c r="J551" s="447"/>
      <c r="K551" s="438"/>
      <c r="L551" s="447"/>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8" customFormat="1" ht="15.75" hidden="1" customHeight="1">
      <c r="A552" s="343" t="str">
        <f>IF(B552&lt;&gt;"",IF(AND(B552='IN-TC'!$S$4,OR(TH!N552="1111",TH!O552="1111")),TH!D552,""),"")</f>
        <v/>
      </c>
      <c r="B552" s="63">
        <f t="shared" si="42"/>
        <v>3</v>
      </c>
      <c r="C552" s="320">
        <v>42440</v>
      </c>
      <c r="D552" s="320" t="s">
        <v>902</v>
      </c>
      <c r="E552" s="320">
        <v>42440</v>
      </c>
      <c r="F552" s="321" t="s">
        <v>780</v>
      </c>
      <c r="G552" s="1000" t="s">
        <v>1131</v>
      </c>
      <c r="H552" s="322" t="s">
        <v>1120</v>
      </c>
      <c r="I552" s="447"/>
      <c r="J552" s="447"/>
      <c r="K552" s="438"/>
      <c r="L552" s="447"/>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8" customFormat="1" ht="15.75" hidden="1" customHeight="1">
      <c r="A553" s="343" t="str">
        <f>IF(B553&lt;&gt;"",IF(AND(B553='IN-TC'!$S$4,OR(TH!N553="1111",TH!O553="1111")),TH!D553,""),"")</f>
        <v/>
      </c>
      <c r="B553" s="63">
        <f t="shared" si="42"/>
        <v>3</v>
      </c>
      <c r="C553" s="320">
        <v>42440</v>
      </c>
      <c r="D553" s="320" t="s">
        <v>902</v>
      </c>
      <c r="E553" s="320">
        <v>42440</v>
      </c>
      <c r="F553" s="321" t="s">
        <v>781</v>
      </c>
      <c r="G553" s="1000" t="s">
        <v>1131</v>
      </c>
      <c r="H553" s="322" t="s">
        <v>1120</v>
      </c>
      <c r="I553" s="447"/>
      <c r="J553" s="447"/>
      <c r="K553" s="438"/>
      <c r="L553" s="447"/>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8" customFormat="1" ht="15.75" hidden="1" customHeight="1">
      <c r="A554" s="343" t="str">
        <f>IF(B554&lt;&gt;"",IF(AND(B554='IN-TC'!$S$4,OR(TH!N554="1111",TH!O554="1111")),TH!D554,""),"")</f>
        <v/>
      </c>
      <c r="B554" s="63">
        <f t="shared" si="42"/>
        <v>3</v>
      </c>
      <c r="C554" s="320">
        <v>42441</v>
      </c>
      <c r="D554" s="320" t="s">
        <v>903</v>
      </c>
      <c r="E554" s="320">
        <v>42441</v>
      </c>
      <c r="F554" s="321" t="s">
        <v>1132</v>
      </c>
      <c r="G554" s="1000" t="s">
        <v>1134</v>
      </c>
      <c r="H554" s="322" t="s">
        <v>1135</v>
      </c>
      <c r="I554" s="447"/>
      <c r="J554" s="447"/>
      <c r="K554" s="438"/>
      <c r="L554" s="447"/>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8" customFormat="1" ht="15.75" hidden="1" customHeight="1">
      <c r="A555" s="343" t="str">
        <f>IF(B555&lt;&gt;"",IF(AND(B555='IN-TC'!$S$4,OR(TH!N555="1111",TH!O555="1111")),TH!D555,""),"")</f>
        <v/>
      </c>
      <c r="B555" s="63">
        <f t="shared" si="42"/>
        <v>3</v>
      </c>
      <c r="C555" s="320">
        <v>42441</v>
      </c>
      <c r="D555" s="320" t="s">
        <v>903</v>
      </c>
      <c r="E555" s="320">
        <v>42441</v>
      </c>
      <c r="F555" s="321" t="s">
        <v>1133</v>
      </c>
      <c r="G555" s="1000" t="s">
        <v>1134</v>
      </c>
      <c r="H555" s="322" t="s">
        <v>1135</v>
      </c>
      <c r="I555" s="447"/>
      <c r="J555" s="447"/>
      <c r="K555" s="438"/>
      <c r="L555" s="447"/>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8" customFormat="1" ht="15.75" hidden="1" customHeight="1">
      <c r="A556" s="343" t="str">
        <f>IF(B556&lt;&gt;"",IF(AND(B556='IN-TC'!$S$4,OR(TH!N556="1111",TH!O556="1111")),TH!D556,""),"")</f>
        <v/>
      </c>
      <c r="B556" s="63">
        <f t="shared" si="42"/>
        <v>3</v>
      </c>
      <c r="C556" s="320">
        <v>42441</v>
      </c>
      <c r="D556" s="320" t="s">
        <v>904</v>
      </c>
      <c r="E556" s="320">
        <v>42441</v>
      </c>
      <c r="F556" s="321" t="s">
        <v>785</v>
      </c>
      <c r="G556" s="1000" t="s">
        <v>1136</v>
      </c>
      <c r="H556" s="322" t="s">
        <v>1120</v>
      </c>
      <c r="I556" s="447"/>
      <c r="J556" s="447"/>
      <c r="K556" s="438"/>
      <c r="L556" s="447"/>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8" customFormat="1" ht="15.75" hidden="1" customHeight="1">
      <c r="A557" s="343" t="str">
        <f>IF(B557&lt;&gt;"",IF(AND(B557='IN-TC'!$S$4,OR(TH!N557="1111",TH!O557="1111")),TH!D557,""),"")</f>
        <v/>
      </c>
      <c r="B557" s="63">
        <f t="shared" si="42"/>
        <v>3</v>
      </c>
      <c r="C557" s="320">
        <v>42441</v>
      </c>
      <c r="D557" s="320" t="s">
        <v>904</v>
      </c>
      <c r="E557" s="320">
        <v>42441</v>
      </c>
      <c r="F557" s="321" t="s">
        <v>786</v>
      </c>
      <c r="G557" s="1000" t="s">
        <v>1136</v>
      </c>
      <c r="H557" s="322" t="s">
        <v>1120</v>
      </c>
      <c r="I557" s="447"/>
      <c r="J557" s="447"/>
      <c r="K557" s="438"/>
      <c r="L557" s="447"/>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8" customFormat="1" ht="15.75" hidden="1" customHeight="1">
      <c r="A558" s="343" t="str">
        <f>IF(B558&lt;&gt;"",IF(AND(B558='IN-TC'!$S$4,OR(TH!N558="1111",TH!O558="1111")),TH!D558,""),"")</f>
        <v/>
      </c>
      <c r="B558" s="63">
        <f t="shared" si="42"/>
        <v>3</v>
      </c>
      <c r="C558" s="320">
        <v>42443</v>
      </c>
      <c r="D558" s="320" t="s">
        <v>905</v>
      </c>
      <c r="E558" s="320">
        <v>42443</v>
      </c>
      <c r="F558" s="321" t="s">
        <v>1143</v>
      </c>
      <c r="G558" s="1000" t="s">
        <v>1145</v>
      </c>
      <c r="H558" s="322" t="s">
        <v>1146</v>
      </c>
      <c r="I558" s="447"/>
      <c r="J558" s="447"/>
      <c r="K558" s="438"/>
      <c r="L558" s="447"/>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4" customFormat="1" ht="15.75" hidden="1" customHeight="1">
      <c r="A559" s="343" t="str">
        <f>IF(B559&lt;&gt;"",IF(AND(B559='IN-TC'!$S$4,OR(TH!N559="1111",TH!O559="1111")),TH!D559,""),"")</f>
        <v/>
      </c>
      <c r="B559" s="63">
        <f t="shared" si="42"/>
        <v>3</v>
      </c>
      <c r="C559" s="64">
        <v>42443</v>
      </c>
      <c r="D559" s="320" t="s">
        <v>905</v>
      </c>
      <c r="E559" s="64">
        <v>42443</v>
      </c>
      <c r="F559" s="67" t="s">
        <v>1144</v>
      </c>
      <c r="G559" s="1000" t="s">
        <v>1145</v>
      </c>
      <c r="H559" s="74" t="s">
        <v>1146</v>
      </c>
      <c r="I559" s="447"/>
      <c r="J559" s="447"/>
      <c r="K559" s="438"/>
      <c r="L559" s="447"/>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8"/>
    </row>
    <row r="560" spans="1:31" s="354" customFormat="1" ht="15.75" hidden="1" customHeight="1">
      <c r="A560" s="343" t="str">
        <f>IF(B560&lt;&gt;"",IF(AND(B560='IN-TC'!$S$4,OR(TH!N560="1111",TH!O560="1111")),TH!D560,""),"")</f>
        <v/>
      </c>
      <c r="B560" s="63">
        <f t="shared" ref="B560:B565" si="43">IF(C560&lt;&gt;"",MONTH(C560),"")</f>
        <v>3</v>
      </c>
      <c r="C560" s="64">
        <v>42443</v>
      </c>
      <c r="D560" s="320" t="s">
        <v>906</v>
      </c>
      <c r="E560" s="64">
        <v>42443</v>
      </c>
      <c r="F560" s="67" t="s">
        <v>1394</v>
      </c>
      <c r="G560" s="1000" t="s">
        <v>1396</v>
      </c>
      <c r="H560" s="74" t="s">
        <v>1397</v>
      </c>
      <c r="I560" s="447"/>
      <c r="J560" s="447"/>
      <c r="K560" s="438"/>
      <c r="L560" s="447"/>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8"/>
    </row>
    <row r="561" spans="1:31" s="354" customFormat="1" ht="15.75" hidden="1" customHeight="1">
      <c r="A561" s="343" t="str">
        <f>IF(B561&lt;&gt;"",IF(AND(B561='IN-TC'!$S$4,OR(TH!N561="1111",TH!O561="1111")),TH!D561,""),"")</f>
        <v/>
      </c>
      <c r="B561" s="63">
        <f t="shared" si="43"/>
        <v>3</v>
      </c>
      <c r="C561" s="64">
        <v>42443</v>
      </c>
      <c r="D561" s="320" t="s">
        <v>906</v>
      </c>
      <c r="E561" s="64">
        <v>42443</v>
      </c>
      <c r="F561" s="67" t="s">
        <v>1395</v>
      </c>
      <c r="G561" s="1000" t="s">
        <v>1396</v>
      </c>
      <c r="H561" s="74" t="s">
        <v>1397</v>
      </c>
      <c r="I561" s="447"/>
      <c r="J561" s="447"/>
      <c r="K561" s="438"/>
      <c r="L561" s="447"/>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8"/>
    </row>
    <row r="562" spans="1:31" s="354" customFormat="1" ht="15.75" hidden="1" customHeight="1">
      <c r="A562" s="343" t="str">
        <f>IF(B562&lt;&gt;"",IF(AND(B562='IN-TC'!$S$4,OR(TH!N562="1111",TH!O562="1111")),TH!D562,""),"")</f>
        <v/>
      </c>
      <c r="B562" s="63">
        <f t="shared" si="43"/>
        <v>3</v>
      </c>
      <c r="C562" s="64">
        <v>42443</v>
      </c>
      <c r="D562" s="320" t="s">
        <v>907</v>
      </c>
      <c r="E562" s="64">
        <v>42443</v>
      </c>
      <c r="F562" s="67" t="s">
        <v>778</v>
      </c>
      <c r="G562" s="1000" t="s">
        <v>1398</v>
      </c>
      <c r="H562" s="74" t="s">
        <v>816</v>
      </c>
      <c r="I562" s="447"/>
      <c r="J562" s="447"/>
      <c r="K562" s="438"/>
      <c r="L562" s="447"/>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8"/>
    </row>
    <row r="563" spans="1:31" s="354" customFormat="1" ht="15.75" hidden="1" customHeight="1">
      <c r="A563" s="343" t="str">
        <f>IF(B563&lt;&gt;"",IF(AND(B563='IN-TC'!$S$4,OR(TH!N563="1111",TH!O563="1111")),TH!D563,""),"")</f>
        <v/>
      </c>
      <c r="B563" s="63">
        <f t="shared" si="43"/>
        <v>3</v>
      </c>
      <c r="C563" s="64">
        <v>42443</v>
      </c>
      <c r="D563" s="320" t="s">
        <v>907</v>
      </c>
      <c r="E563" s="64">
        <v>42443</v>
      </c>
      <c r="F563" s="67" t="s">
        <v>779</v>
      </c>
      <c r="G563" s="1000" t="s">
        <v>1398</v>
      </c>
      <c r="H563" s="74" t="s">
        <v>816</v>
      </c>
      <c r="I563" s="447"/>
      <c r="J563" s="447"/>
      <c r="K563" s="438"/>
      <c r="L563" s="447"/>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8"/>
    </row>
    <row r="564" spans="1:31" s="354" customFormat="1" ht="15.75" hidden="1" customHeight="1">
      <c r="A564" s="343" t="str">
        <f>IF(B564&lt;&gt;"",IF(AND(B564='IN-TC'!$S$4,OR(TH!N564="1111",TH!O564="1111")),TH!D564,""),"")</f>
        <v/>
      </c>
      <c r="B564" s="63">
        <f t="shared" si="43"/>
        <v>3</v>
      </c>
      <c r="C564" s="64">
        <v>42443</v>
      </c>
      <c r="D564" s="320" t="s">
        <v>908</v>
      </c>
      <c r="E564" s="64">
        <v>42443</v>
      </c>
      <c r="F564" s="67" t="s">
        <v>774</v>
      </c>
      <c r="G564" s="1000" t="s">
        <v>1399</v>
      </c>
      <c r="H564" s="74" t="s">
        <v>1046</v>
      </c>
      <c r="I564" s="447"/>
      <c r="J564" s="447"/>
      <c r="K564" s="438"/>
      <c r="L564" s="447"/>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8"/>
    </row>
    <row r="565" spans="1:31" s="354" customFormat="1" ht="15.75" hidden="1" customHeight="1">
      <c r="A565" s="343" t="str">
        <f>IF(B565&lt;&gt;"",IF(AND(B565='IN-TC'!$S$4,OR(TH!N565="1111",TH!O565="1111")),TH!D565,""),"")</f>
        <v/>
      </c>
      <c r="B565" s="63">
        <f t="shared" si="43"/>
        <v>3</v>
      </c>
      <c r="C565" s="64">
        <v>42443</v>
      </c>
      <c r="D565" s="320" t="s">
        <v>908</v>
      </c>
      <c r="E565" s="64">
        <v>42443</v>
      </c>
      <c r="F565" s="67" t="s">
        <v>775</v>
      </c>
      <c r="G565" s="1000" t="s">
        <v>1399</v>
      </c>
      <c r="H565" s="74" t="s">
        <v>1046</v>
      </c>
      <c r="I565" s="447"/>
      <c r="J565" s="447"/>
      <c r="K565" s="438"/>
      <c r="L565" s="447"/>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8"/>
    </row>
    <row r="566" spans="1:31" s="354" customFormat="1" ht="15.75" hidden="1" customHeight="1">
      <c r="A566" s="343" t="str">
        <f>IF(B566&lt;&gt;"",IF(AND(B566='IN-TC'!$S$4,OR(TH!N566="1111",TH!O566="1111")),TH!D566,""),"")</f>
        <v/>
      </c>
      <c r="B566" s="63">
        <f t="shared" si="42"/>
        <v>3</v>
      </c>
      <c r="C566" s="64">
        <v>42443</v>
      </c>
      <c r="D566" s="320" t="s">
        <v>708</v>
      </c>
      <c r="E566" s="64">
        <v>42443</v>
      </c>
      <c r="F566" s="67" t="s">
        <v>1214</v>
      </c>
      <c r="G566" s="1000" t="s">
        <v>928</v>
      </c>
      <c r="H566" s="74"/>
      <c r="I566" s="447"/>
      <c r="J566" s="447"/>
      <c r="K566" s="438"/>
      <c r="L566" s="447"/>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8"/>
    </row>
    <row r="567" spans="1:31" s="354" customFormat="1" ht="15.75" hidden="1" customHeight="1">
      <c r="A567" s="343" t="str">
        <f>IF(B567&lt;&gt;"",IF(AND(B567='IN-TC'!$S$4,OR(TH!N567="1111",TH!O567="1111")),TH!D567,""),"")</f>
        <v/>
      </c>
      <c r="B567" s="63">
        <f t="shared" si="42"/>
        <v>3</v>
      </c>
      <c r="C567" s="320">
        <v>42443</v>
      </c>
      <c r="D567" s="320" t="s">
        <v>708</v>
      </c>
      <c r="E567" s="320">
        <v>42443</v>
      </c>
      <c r="F567" s="321" t="s">
        <v>1215</v>
      </c>
      <c r="G567" s="321" t="s">
        <v>928</v>
      </c>
      <c r="H567" s="322"/>
      <c r="I567" s="447"/>
      <c r="J567" s="447"/>
      <c r="K567" s="438"/>
      <c r="L567" s="447"/>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4" customFormat="1" ht="15.75" hidden="1" customHeight="1">
      <c r="A568" s="343" t="str">
        <f>IF(B568&lt;&gt;"",IF(AND(B568='IN-TC'!$S$4,OR(TH!N568="1111",TH!O568="1111")),TH!D568,""),"")</f>
        <v/>
      </c>
      <c r="B568" s="63">
        <f t="shared" si="42"/>
        <v>3</v>
      </c>
      <c r="C568" s="320">
        <f>E568</f>
        <v>42444</v>
      </c>
      <c r="D568" s="320" t="s">
        <v>909</v>
      </c>
      <c r="E568" s="320">
        <v>42444</v>
      </c>
      <c r="F568" s="82" t="s">
        <v>974</v>
      </c>
      <c r="G568" s="82"/>
      <c r="H568" s="83" t="s">
        <v>973</v>
      </c>
      <c r="I568" s="445"/>
      <c r="J568" s="445"/>
      <c r="K568" s="436"/>
      <c r="L568" s="445"/>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8" customFormat="1" ht="15.75" hidden="1" customHeight="1">
      <c r="A569" s="343" t="str">
        <f>IF(B569&lt;&gt;"",IF(AND(B569='IN-TC'!$S$4,OR(TH!N569="1111",TH!O569="1111")),TH!D569,""),"")</f>
        <v/>
      </c>
      <c r="B569" s="63">
        <f t="shared" si="42"/>
        <v>3</v>
      </c>
      <c r="C569" s="320">
        <v>42444</v>
      </c>
      <c r="D569" s="320" t="s">
        <v>705</v>
      </c>
      <c r="E569" s="320">
        <v>42444</v>
      </c>
      <c r="F569" s="67" t="s">
        <v>1205</v>
      </c>
      <c r="G569" s="1000" t="s">
        <v>928</v>
      </c>
      <c r="H569" s="322" t="s">
        <v>602</v>
      </c>
      <c r="I569" s="447"/>
      <c r="J569" s="447"/>
      <c r="K569" s="438">
        <v>100100</v>
      </c>
      <c r="L569" s="447">
        <v>22295</v>
      </c>
      <c r="M569" s="65">
        <v>2231729500</v>
      </c>
      <c r="N569" s="323" t="s">
        <v>267</v>
      </c>
      <c r="O569" s="66" t="s">
        <v>591</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x</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8" customFormat="1" ht="15.75" hidden="1" customHeight="1">
      <c r="A570" s="343" t="str">
        <f>IF(B570&lt;&gt;"",IF(AND(B570='IN-TC'!$S$4,OR(TH!N570="1111",TH!O570="1111")),TH!D570,""),"")</f>
        <v/>
      </c>
      <c r="B570" s="63">
        <f t="shared" si="42"/>
        <v>3</v>
      </c>
      <c r="C570" s="320">
        <v>42444</v>
      </c>
      <c r="D570" s="320" t="s">
        <v>708</v>
      </c>
      <c r="E570" s="320">
        <v>42444</v>
      </c>
      <c r="F570" s="67" t="s">
        <v>1203</v>
      </c>
      <c r="G570" s="1000" t="s">
        <v>928</v>
      </c>
      <c r="H570" s="322"/>
      <c r="I570" s="447"/>
      <c r="J570" s="447"/>
      <c r="K570" s="438">
        <v>100000</v>
      </c>
      <c r="L570" s="447">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8" customFormat="1" ht="15.75" hidden="1" customHeight="1">
      <c r="A571" s="343" t="str">
        <f>IF(B571&lt;&gt;"",IF(AND(B571='IN-TC'!$S$4,OR(TH!N571="1111",TH!O571="1111")),TH!D571,""),"")</f>
        <v/>
      </c>
      <c r="B571" s="63">
        <f t="shared" si="42"/>
        <v>3</v>
      </c>
      <c r="C571" s="320">
        <v>42444</v>
      </c>
      <c r="D571" s="320" t="s">
        <v>708</v>
      </c>
      <c r="E571" s="320">
        <v>42444</v>
      </c>
      <c r="F571" s="67" t="s">
        <v>1206</v>
      </c>
      <c r="G571" s="1000" t="s">
        <v>928</v>
      </c>
      <c r="H571" s="322"/>
      <c r="I571" s="447"/>
      <c r="J571" s="447"/>
      <c r="K571" s="438">
        <v>15</v>
      </c>
      <c r="L571" s="447">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8" customFormat="1" ht="15.75" hidden="1" customHeight="1">
      <c r="A572" s="343" t="str">
        <f>IF(B572&lt;&gt;"",IF(AND(B572='IN-TC'!$S$4,OR(TH!N572="1111",TH!O572="1111")),TH!D572,""),"")</f>
        <v/>
      </c>
      <c r="B572" s="63">
        <f t="shared" si="42"/>
        <v>3</v>
      </c>
      <c r="C572" s="320">
        <v>42444</v>
      </c>
      <c r="D572" s="320" t="s">
        <v>708</v>
      </c>
      <c r="E572" s="320">
        <v>42444</v>
      </c>
      <c r="F572" s="67" t="s">
        <v>1207</v>
      </c>
      <c r="G572" s="1000" t="s">
        <v>928</v>
      </c>
      <c r="H572" s="322"/>
      <c r="I572" s="447"/>
      <c r="J572" s="447"/>
      <c r="K572" s="438">
        <v>1.5</v>
      </c>
      <c r="L572" s="447">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hidden="1" customHeight="1">
      <c r="A573" s="343" t="str">
        <f>IF(B573&lt;&gt;"",IF(AND(B573='IN-TC'!$S$4,OR(TH!N573="1111",TH!O573="1111")),TH!D573,""),"")</f>
        <v/>
      </c>
      <c r="B573" s="63">
        <f t="shared" si="42"/>
        <v>3</v>
      </c>
      <c r="C573" s="320">
        <v>42444</v>
      </c>
      <c r="D573" s="320" t="s">
        <v>708</v>
      </c>
      <c r="E573" s="320">
        <v>42444</v>
      </c>
      <c r="F573" s="67" t="s">
        <v>617</v>
      </c>
      <c r="G573" s="1000" t="s">
        <v>928</v>
      </c>
      <c r="H573" s="74"/>
      <c r="I573" s="447"/>
      <c r="J573" s="447"/>
      <c r="K573" s="438">
        <v>10</v>
      </c>
      <c r="L573" s="447">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8"/>
    </row>
    <row r="574" spans="1:31" ht="15.75" hidden="1" customHeight="1">
      <c r="A574" s="343" t="str">
        <f>IF(B574&lt;&gt;"",IF(AND(B574='IN-TC'!$S$4,OR(TH!N574="1111",TH!O574="1111")),TH!D574,""),"")</f>
        <v/>
      </c>
      <c r="B574" s="63">
        <f t="shared" si="42"/>
        <v>3</v>
      </c>
      <c r="C574" s="320">
        <v>42444</v>
      </c>
      <c r="D574" s="320" t="s">
        <v>708</v>
      </c>
      <c r="E574" s="320">
        <v>42444</v>
      </c>
      <c r="F574" s="67" t="s">
        <v>1208</v>
      </c>
      <c r="G574" s="1000" t="s">
        <v>928</v>
      </c>
      <c r="H574" s="74"/>
      <c r="I574" s="447"/>
      <c r="J574" s="447"/>
      <c r="K574" s="438">
        <v>1</v>
      </c>
      <c r="L574" s="447">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8"/>
    </row>
    <row r="575" spans="1:31" ht="15.75" hidden="1" customHeight="1">
      <c r="A575" s="343" t="str">
        <f>IF(B575&lt;&gt;"",IF(AND(B575='IN-TC'!$S$4,OR(TH!N575="1111",TH!O575="1111")),TH!D575,""),"")</f>
        <v/>
      </c>
      <c r="B575" s="63">
        <f t="shared" si="42"/>
        <v>3</v>
      </c>
      <c r="C575" s="320">
        <v>42444</v>
      </c>
      <c r="D575" s="320" t="s">
        <v>708</v>
      </c>
      <c r="E575" s="320">
        <v>42444</v>
      </c>
      <c r="F575" s="321" t="s">
        <v>1209</v>
      </c>
      <c r="G575" s="1000" t="s">
        <v>928</v>
      </c>
      <c r="H575" s="322"/>
      <c r="I575" s="447"/>
      <c r="J575" s="447"/>
      <c r="K575" s="438">
        <v>31.64</v>
      </c>
      <c r="L575" s="447">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8"/>
    </row>
    <row r="576" spans="1:31" ht="15.75" hidden="1" customHeight="1">
      <c r="A576" s="343" t="str">
        <f>IF(B576&lt;&gt;"",IF(AND(B576='IN-TC'!$S$4,OR(TH!N576="1111",TH!O576="1111")),TH!D576,""),"")</f>
        <v/>
      </c>
      <c r="B576" s="63">
        <f t="shared" si="42"/>
        <v>3</v>
      </c>
      <c r="C576" s="64">
        <v>42444</v>
      </c>
      <c r="D576" s="320" t="s">
        <v>708</v>
      </c>
      <c r="E576" s="64">
        <v>42444</v>
      </c>
      <c r="F576" s="67" t="s">
        <v>1210</v>
      </c>
      <c r="G576" s="1000" t="s">
        <v>928</v>
      </c>
      <c r="H576" s="74"/>
      <c r="I576" s="447"/>
      <c r="J576" s="447"/>
      <c r="K576" s="438">
        <v>3.16</v>
      </c>
      <c r="L576" s="447">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hidden="1" customHeight="1">
      <c r="A577" s="343" t="str">
        <f>IF(B577&lt;&gt;"",IF(AND(B577='IN-TC'!$S$4,OR(TH!N577="1111",TH!O577="1111")),TH!D577,""),"")</f>
        <v/>
      </c>
      <c r="B577" s="63">
        <f t="shared" si="42"/>
        <v>3</v>
      </c>
      <c r="C577" s="64">
        <v>42444</v>
      </c>
      <c r="D577" s="320" t="s">
        <v>708</v>
      </c>
      <c r="E577" s="64">
        <v>42444</v>
      </c>
      <c r="F577" s="67" t="s">
        <v>1216</v>
      </c>
      <c r="G577" s="1000" t="s">
        <v>930</v>
      </c>
      <c r="H577" s="74"/>
      <c r="I577" s="447"/>
      <c r="J577" s="447"/>
      <c r="K577" s="438"/>
      <c r="L577" s="447"/>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x</v>
      </c>
      <c r="V577" s="85" t="str">
        <f>IF(ISERROR(FIND('112'!$M$9,G577,1)),"",IF((AND(RIGHT(G577,2)=RIGHT('112'!$M$9,2),B577&lt;'112'!$K$9,$O577='112'!$I$6)),"x",""))</f>
        <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hidden="1" customHeight="1">
      <c r="A578" s="343" t="str">
        <f>IF(B578&lt;&gt;"",IF(AND(B578='IN-TC'!$S$4,OR(TH!N578="1111",TH!O578="1111")),TH!D578,""),"")</f>
        <v/>
      </c>
      <c r="B578" s="63">
        <f t="shared" si="42"/>
        <v>3</v>
      </c>
      <c r="C578" s="64">
        <v>42444</v>
      </c>
      <c r="D578" s="320" t="s">
        <v>708</v>
      </c>
      <c r="E578" s="64">
        <v>42444</v>
      </c>
      <c r="F578" s="67" t="s">
        <v>1211</v>
      </c>
      <c r="G578" s="67" t="s">
        <v>928</v>
      </c>
      <c r="H578" s="7" t="s">
        <v>739</v>
      </c>
      <c r="I578" s="447"/>
      <c r="J578" s="447"/>
      <c r="K578" s="438">
        <v>106.36998207885304</v>
      </c>
      <c r="L578" s="447">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hidden="1" customHeight="1">
      <c r="A579" s="343" t="str">
        <f>IF(B579&lt;&gt;"",IF(AND(B579='IN-TC'!$S$4,OR(TH!N579="1111",TH!O579="1111")),TH!D579,""),"")</f>
        <v/>
      </c>
      <c r="B579" s="63">
        <f t="shared" si="42"/>
        <v>3</v>
      </c>
      <c r="C579" s="64">
        <v>42444</v>
      </c>
      <c r="D579" s="320" t="s">
        <v>708</v>
      </c>
      <c r="E579" s="64">
        <v>42444</v>
      </c>
      <c r="F579" s="67" t="s">
        <v>1225</v>
      </c>
      <c r="G579" s="67" t="s">
        <v>929</v>
      </c>
      <c r="H579" s="74" t="s">
        <v>632</v>
      </c>
      <c r="I579" s="447"/>
      <c r="J579" s="447"/>
      <c r="K579" s="438"/>
      <c r="L579" s="447"/>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x</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hidden="1" customHeight="1">
      <c r="A580" s="343" t="str">
        <f>IF(B580&lt;&gt;"",IF(AND(B580='IN-TC'!$S$4,OR(TH!N580="1111",TH!O580="1111")),TH!D580,""),"")</f>
        <v/>
      </c>
      <c r="B580" s="63">
        <f t="shared" si="42"/>
        <v>3</v>
      </c>
      <c r="C580" s="64">
        <v>42444</v>
      </c>
      <c r="D580" s="320" t="s">
        <v>708</v>
      </c>
      <c r="E580" s="64">
        <v>42444</v>
      </c>
      <c r="F580" s="67" t="s">
        <v>1214</v>
      </c>
      <c r="G580" s="67" t="s">
        <v>929</v>
      </c>
      <c r="H580" s="74"/>
      <c r="I580" s="447"/>
      <c r="J580" s="447"/>
      <c r="K580" s="438"/>
      <c r="L580" s="447"/>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x</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hidden="1" customHeight="1">
      <c r="A581" s="343" t="str">
        <f>IF(B581&lt;&gt;"",IF(AND(B581='IN-TC'!$S$4,OR(TH!N581="1111",TH!O581="1111")),TH!D581,""),"")</f>
        <v/>
      </c>
      <c r="B581" s="63">
        <f t="shared" si="42"/>
        <v>3</v>
      </c>
      <c r="C581" s="64">
        <v>42444</v>
      </c>
      <c r="D581" s="320" t="s">
        <v>708</v>
      </c>
      <c r="E581" s="64">
        <v>42444</v>
      </c>
      <c r="F581" s="67" t="s">
        <v>1215</v>
      </c>
      <c r="G581" s="67" t="s">
        <v>929</v>
      </c>
      <c r="H581" s="7"/>
      <c r="I581" s="447"/>
      <c r="J581" s="447"/>
      <c r="K581" s="438"/>
      <c r="L581" s="447"/>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x</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hidden="1" customHeight="1">
      <c r="A582" s="343" t="str">
        <f>IF(B582&lt;&gt;"",IF(AND(B582='IN-TC'!$S$4,OR(TH!N582="1111",TH!O582="1111")),TH!D582,""),"")</f>
        <v/>
      </c>
      <c r="B582" s="63">
        <f t="shared" si="42"/>
        <v>3</v>
      </c>
      <c r="C582" s="64">
        <v>42444</v>
      </c>
      <c r="D582" s="320" t="s">
        <v>708</v>
      </c>
      <c r="E582" s="64">
        <v>42444</v>
      </c>
      <c r="F582" s="67" t="s">
        <v>1225</v>
      </c>
      <c r="G582" s="67" t="s">
        <v>929</v>
      </c>
      <c r="H582" s="74" t="s">
        <v>632</v>
      </c>
      <c r="I582" s="447"/>
      <c r="J582" s="447"/>
      <c r="K582" s="438"/>
      <c r="L582" s="447"/>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x</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hidden="1" customHeight="1">
      <c r="A583" s="343" t="str">
        <f>IF(B583&lt;&gt;"",IF(AND(B583='IN-TC'!$S$4,OR(TH!N583="1111",TH!O583="1111")),TH!D583,""),"")</f>
        <v/>
      </c>
      <c r="B583" s="63">
        <f t="shared" si="42"/>
        <v>3</v>
      </c>
      <c r="C583" s="64">
        <v>42444</v>
      </c>
      <c r="D583" s="320" t="s">
        <v>708</v>
      </c>
      <c r="E583" s="64">
        <v>42444</v>
      </c>
      <c r="F583" s="67" t="s">
        <v>1214</v>
      </c>
      <c r="G583" s="67" t="s">
        <v>929</v>
      </c>
      <c r="H583" s="74"/>
      <c r="I583" s="447"/>
      <c r="J583" s="447"/>
      <c r="K583" s="438"/>
      <c r="L583" s="447"/>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x</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hidden="1" customHeight="1">
      <c r="A584" s="343" t="str">
        <f>IF(B584&lt;&gt;"",IF(AND(B584='IN-TC'!$S$4,OR(TH!N584="1111",TH!O584="1111")),TH!D584,""),"")</f>
        <v/>
      </c>
      <c r="B584" s="63">
        <f t="shared" si="42"/>
        <v>3</v>
      </c>
      <c r="C584" s="64">
        <v>42444</v>
      </c>
      <c r="D584" s="320" t="s">
        <v>708</v>
      </c>
      <c r="E584" s="64">
        <v>42444</v>
      </c>
      <c r="F584" s="67" t="s">
        <v>1215</v>
      </c>
      <c r="G584" s="67" t="s">
        <v>929</v>
      </c>
      <c r="H584" s="7"/>
      <c r="I584" s="447"/>
      <c r="J584" s="447"/>
      <c r="K584" s="438"/>
      <c r="L584" s="447"/>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x</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hidden="1" customHeight="1">
      <c r="A585" s="343" t="str">
        <f>IF(B585&lt;&gt;"",IF(AND(B585='IN-TC'!$S$4,OR(TH!N585="1111",TH!O585="1111")),TH!D585,""),"")</f>
        <v/>
      </c>
      <c r="B585" s="63">
        <f t="shared" si="42"/>
        <v>3</v>
      </c>
      <c r="C585" s="64">
        <v>42444</v>
      </c>
      <c r="D585" s="320" t="s">
        <v>708</v>
      </c>
      <c r="E585" s="64">
        <v>42444</v>
      </c>
      <c r="F585" s="67" t="s">
        <v>1226</v>
      </c>
      <c r="G585" s="67" t="s">
        <v>929</v>
      </c>
      <c r="H585" s="74" t="s">
        <v>635</v>
      </c>
      <c r="I585" s="447"/>
      <c r="J585" s="447"/>
      <c r="K585" s="438"/>
      <c r="L585" s="447"/>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x</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hidden="1" customHeight="1">
      <c r="A586" s="343" t="str">
        <f>IF(B586&lt;&gt;"",IF(AND(B586='IN-TC'!$S$4,OR(TH!N586="1111",TH!O586="1111")),TH!D586,""),"")</f>
        <v/>
      </c>
      <c r="B586" s="63">
        <f t="shared" si="42"/>
        <v>3</v>
      </c>
      <c r="C586" s="64">
        <v>42444</v>
      </c>
      <c r="D586" s="320" t="s">
        <v>708</v>
      </c>
      <c r="E586" s="64">
        <v>42444</v>
      </c>
      <c r="F586" s="67" t="s">
        <v>1214</v>
      </c>
      <c r="G586" s="67" t="s">
        <v>929</v>
      </c>
      <c r="H586" s="74"/>
      <c r="I586" s="447"/>
      <c r="J586" s="447"/>
      <c r="K586" s="438"/>
      <c r="L586" s="447"/>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x</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hidden="1" customHeight="1">
      <c r="A587" s="343" t="str">
        <f>IF(B587&lt;&gt;"",IF(AND(B587='IN-TC'!$S$4,OR(TH!N587="1111",TH!O587="1111")),TH!D587,""),"")</f>
        <v/>
      </c>
      <c r="B587" s="63">
        <f t="shared" si="42"/>
        <v>3</v>
      </c>
      <c r="C587" s="64">
        <v>42444</v>
      </c>
      <c r="D587" s="320" t="s">
        <v>708</v>
      </c>
      <c r="E587" s="64">
        <v>42444</v>
      </c>
      <c r="F587" s="67" t="s">
        <v>1215</v>
      </c>
      <c r="G587" s="67" t="s">
        <v>929</v>
      </c>
      <c r="H587" s="7"/>
      <c r="I587" s="447"/>
      <c r="J587" s="447"/>
      <c r="K587" s="438"/>
      <c r="L587" s="447"/>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x</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hidden="1" customHeight="1">
      <c r="A588" s="343" t="str">
        <f>IF(B588&lt;&gt;"",IF(AND(B588='IN-TC'!$S$4,OR(TH!N588="1111",TH!O588="1111")),TH!D588,""),"")</f>
        <v/>
      </c>
      <c r="B588" s="63">
        <f t="shared" si="42"/>
        <v>3</v>
      </c>
      <c r="C588" s="64">
        <v>42444</v>
      </c>
      <c r="D588" s="320" t="s">
        <v>708</v>
      </c>
      <c r="E588" s="64">
        <v>42444</v>
      </c>
      <c r="F588" s="67" t="s">
        <v>1227</v>
      </c>
      <c r="G588" s="67" t="s">
        <v>929</v>
      </c>
      <c r="H588" s="74" t="s">
        <v>679</v>
      </c>
      <c r="I588" s="447"/>
      <c r="J588" s="447"/>
      <c r="K588" s="438"/>
      <c r="L588" s="447"/>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x</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hidden="1" customHeight="1">
      <c r="A589" s="343" t="str">
        <f>IF(B589&lt;&gt;"",IF(AND(B589='IN-TC'!$S$4,OR(TH!N589="1111",TH!O589="1111")),TH!D589,""),"")</f>
        <v/>
      </c>
      <c r="B589" s="63">
        <f t="shared" si="42"/>
        <v>3</v>
      </c>
      <c r="C589" s="64">
        <v>42444</v>
      </c>
      <c r="D589" s="320" t="s">
        <v>708</v>
      </c>
      <c r="E589" s="64">
        <v>42444</v>
      </c>
      <c r="F589" s="67" t="s">
        <v>1214</v>
      </c>
      <c r="G589" s="67" t="s">
        <v>929</v>
      </c>
      <c r="H589" s="74"/>
      <c r="I589" s="447"/>
      <c r="J589" s="447"/>
      <c r="K589" s="438"/>
      <c r="L589" s="447"/>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x</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hidden="1" customHeight="1">
      <c r="A590" s="343" t="str">
        <f>IF(B590&lt;&gt;"",IF(AND(B590='IN-TC'!$S$4,OR(TH!N590="1111",TH!O590="1111")),TH!D590,""),"")</f>
        <v/>
      </c>
      <c r="B590" s="63">
        <f t="shared" si="42"/>
        <v>3</v>
      </c>
      <c r="C590" s="64">
        <v>42444</v>
      </c>
      <c r="D590" s="320" t="s">
        <v>708</v>
      </c>
      <c r="E590" s="64">
        <v>42444</v>
      </c>
      <c r="F590" s="67" t="s">
        <v>1215</v>
      </c>
      <c r="G590" s="67" t="s">
        <v>929</v>
      </c>
      <c r="H590" s="7"/>
      <c r="I590" s="447"/>
      <c r="J590" s="447"/>
      <c r="K590" s="438"/>
      <c r="L590" s="447"/>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x</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hidden="1" customHeight="1">
      <c r="A591" s="343" t="str">
        <f>IF(B591&lt;&gt;"",IF(AND(B591='IN-TC'!$S$4,OR(TH!N591="1111",TH!O591="1111")),TH!D591,""),"")</f>
        <v/>
      </c>
      <c r="B591" s="1023">
        <f t="shared" si="42"/>
        <v>3</v>
      </c>
      <c r="C591" s="81">
        <v>42444</v>
      </c>
      <c r="D591" s="1155" t="s">
        <v>708</v>
      </c>
      <c r="E591" s="81">
        <v>42444</v>
      </c>
      <c r="F591" s="82" t="s">
        <v>1228</v>
      </c>
      <c r="G591" s="82" t="s">
        <v>929</v>
      </c>
      <c r="H591" s="976"/>
      <c r="I591" s="445"/>
      <c r="J591" s="445"/>
      <c r="K591" s="436"/>
      <c r="L591" s="445"/>
      <c r="M591" s="84">
        <v>72666115</v>
      </c>
      <c r="N591" s="85" t="s">
        <v>596</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x</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4"/>
    </row>
    <row r="592" spans="1:31" s="354" customFormat="1" ht="15.75" hidden="1" customHeight="1">
      <c r="A592" s="343" t="str">
        <f>IF(B592&lt;&gt;"",IF(AND(B592='IN-TC'!$S$4,OR(TH!N592="1111",TH!O592="1111")),TH!D592,""),"")</f>
        <v/>
      </c>
      <c r="B592" s="1023">
        <f t="shared" si="42"/>
        <v>3</v>
      </c>
      <c r="C592" s="81">
        <v>42444</v>
      </c>
      <c r="D592" s="1155" t="s">
        <v>708</v>
      </c>
      <c r="E592" s="81">
        <v>42444</v>
      </c>
      <c r="F592" s="82" t="s">
        <v>1229</v>
      </c>
      <c r="G592" s="82" t="s">
        <v>929</v>
      </c>
      <c r="H592" s="976"/>
      <c r="I592" s="445"/>
      <c r="J592" s="445"/>
      <c r="K592" s="436"/>
      <c r="L592" s="445"/>
      <c r="M592" s="84">
        <v>19101465</v>
      </c>
      <c r="N592" s="85" t="s">
        <v>597</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x</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4" customFormat="1" ht="15.75" hidden="1" customHeight="1">
      <c r="A593" s="343" t="str">
        <f>IF(B593&lt;&gt;"",IF(AND(B593='IN-TC'!$S$4,OR(TH!N593="1111",TH!O593="1111")),TH!D593,""),"")</f>
        <v/>
      </c>
      <c r="B593" s="1023">
        <f t="shared" si="42"/>
        <v>3</v>
      </c>
      <c r="C593" s="81">
        <v>42444</v>
      </c>
      <c r="D593" s="1155" t="s">
        <v>708</v>
      </c>
      <c r="E593" s="81">
        <v>42444</v>
      </c>
      <c r="F593" s="82" t="s">
        <v>1230</v>
      </c>
      <c r="G593" s="82" t="s">
        <v>929</v>
      </c>
      <c r="H593" s="83"/>
      <c r="I593" s="445"/>
      <c r="J593" s="445"/>
      <c r="K593" s="436"/>
      <c r="L593" s="445"/>
      <c r="M593" s="84">
        <v>8232420</v>
      </c>
      <c r="N593" s="85" t="s">
        <v>598</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x</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4" customFormat="1" ht="15.75" hidden="1" customHeight="1">
      <c r="A594" s="343" t="str">
        <f>IF(B594&lt;&gt;"",IF(AND(B594='IN-TC'!$S$4,OR(TH!N594="1111",TH!O594="1111")),TH!D594,""),"")</f>
        <v/>
      </c>
      <c r="B594" s="63">
        <f t="shared" si="42"/>
        <v>3</v>
      </c>
      <c r="C594" s="64">
        <v>42444</v>
      </c>
      <c r="D594" s="320" t="s">
        <v>708</v>
      </c>
      <c r="E594" s="64">
        <v>42444</v>
      </c>
      <c r="F594" s="67" t="s">
        <v>1214</v>
      </c>
      <c r="G594" s="67" t="s">
        <v>929</v>
      </c>
      <c r="H594" s="74"/>
      <c r="I594" s="447"/>
      <c r="J594" s="447"/>
      <c r="K594" s="438"/>
      <c r="L594" s="447"/>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x</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8" customFormat="1" ht="15.75" hidden="1" customHeight="1">
      <c r="A595" s="343" t="str">
        <f>IF(B595&lt;&gt;"",IF(AND(B595='IN-TC'!$S$4,OR(TH!N595="1111",TH!O595="1111")),TH!D595,""),"")</f>
        <v/>
      </c>
      <c r="B595" s="63">
        <f t="shared" si="42"/>
        <v>3</v>
      </c>
      <c r="C595" s="64">
        <v>42444</v>
      </c>
      <c r="D595" s="320" t="s">
        <v>708</v>
      </c>
      <c r="E595" s="64">
        <v>42444</v>
      </c>
      <c r="F595" s="67" t="s">
        <v>1215</v>
      </c>
      <c r="G595" s="67" t="s">
        <v>929</v>
      </c>
      <c r="H595" s="7"/>
      <c r="I595" s="447"/>
      <c r="J595" s="447"/>
      <c r="K595" s="438"/>
      <c r="L595" s="447"/>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x</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hidden="1" customHeight="1">
      <c r="A596" s="343" t="str">
        <f>IF(B596&lt;&gt;"",IF(AND(B596='IN-TC'!$S$4,OR(TH!N596="1111",TH!O596="1111")),TH!D596,""),"")</f>
        <v/>
      </c>
      <c r="B596" s="63">
        <f t="shared" si="42"/>
        <v>3</v>
      </c>
      <c r="C596" s="64">
        <v>42444</v>
      </c>
      <c r="D596" s="320" t="s">
        <v>708</v>
      </c>
      <c r="E596" s="64">
        <v>42444</v>
      </c>
      <c r="F596" s="67" t="s">
        <v>1227</v>
      </c>
      <c r="G596" s="67" t="s">
        <v>929</v>
      </c>
      <c r="H596" s="74" t="s">
        <v>1441</v>
      </c>
      <c r="I596" s="447"/>
      <c r="J596" s="447"/>
      <c r="K596" s="438"/>
      <c r="L596" s="447"/>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x</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hidden="1" customHeight="1">
      <c r="A597" s="343" t="str">
        <f>IF(B597&lt;&gt;"",IF(AND(B597='IN-TC'!$S$4,OR(TH!N597="1111",TH!O597="1111")),TH!D597,""),"")</f>
        <v/>
      </c>
      <c r="B597" s="63">
        <f t="shared" si="42"/>
        <v>3</v>
      </c>
      <c r="C597" s="64">
        <v>42444</v>
      </c>
      <c r="D597" s="320" t="s">
        <v>708</v>
      </c>
      <c r="E597" s="64">
        <v>42444</v>
      </c>
      <c r="F597" s="67" t="s">
        <v>1214</v>
      </c>
      <c r="G597" s="67" t="s">
        <v>929</v>
      </c>
      <c r="H597" s="74"/>
      <c r="I597" s="447"/>
      <c r="J597" s="447"/>
      <c r="K597" s="438"/>
      <c r="L597" s="447"/>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x</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hidden="1" customHeight="1">
      <c r="A598" s="343" t="str">
        <f>IF(B598&lt;&gt;"",IF(AND(B598='IN-TC'!$S$4,OR(TH!N598="1111",TH!O598="1111")),TH!D598,""),"")</f>
        <v/>
      </c>
      <c r="B598" s="63">
        <f t="shared" si="42"/>
        <v>3</v>
      </c>
      <c r="C598" s="64">
        <v>42444</v>
      </c>
      <c r="D598" s="320" t="s">
        <v>708</v>
      </c>
      <c r="E598" s="64">
        <v>42444</v>
      </c>
      <c r="F598" s="67" t="s">
        <v>1215</v>
      </c>
      <c r="G598" s="67" t="s">
        <v>929</v>
      </c>
      <c r="H598" s="77"/>
      <c r="I598" s="447"/>
      <c r="J598" s="447"/>
      <c r="K598" s="438"/>
      <c r="L598" s="447"/>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x</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hidden="1" customHeight="1">
      <c r="A599" s="343" t="str">
        <f>IF(B599&lt;&gt;"",IF(AND(B599='IN-TC'!$S$4,OR(TH!N599="1111",TH!O599="1111")),TH!D599,""),"")</f>
        <v/>
      </c>
      <c r="B599" s="63">
        <f t="shared" si="42"/>
        <v>3</v>
      </c>
      <c r="C599" s="64">
        <v>42444</v>
      </c>
      <c r="D599" s="320" t="s">
        <v>708</v>
      </c>
      <c r="E599" s="64">
        <v>42444</v>
      </c>
      <c r="F599" s="67" t="s">
        <v>1231</v>
      </c>
      <c r="G599" s="67" t="s">
        <v>929</v>
      </c>
      <c r="H599" s="74" t="s">
        <v>629</v>
      </c>
      <c r="I599" s="447"/>
      <c r="J599" s="447"/>
      <c r="K599" s="438"/>
      <c r="L599" s="447"/>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x</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hidden="1" customHeight="1">
      <c r="A600" s="343" t="str">
        <f>IF(B600&lt;&gt;"",IF(AND(B600='IN-TC'!$S$4,OR(TH!N600="1111",TH!O600="1111")),TH!D600,""),"")</f>
        <v/>
      </c>
      <c r="B600" s="63">
        <f t="shared" si="42"/>
        <v>3</v>
      </c>
      <c r="C600" s="64">
        <v>42444</v>
      </c>
      <c r="D600" s="320" t="s">
        <v>708</v>
      </c>
      <c r="E600" s="64">
        <v>42444</v>
      </c>
      <c r="F600" s="67" t="s">
        <v>1214</v>
      </c>
      <c r="G600" s="67" t="s">
        <v>929</v>
      </c>
      <c r="H600" s="74"/>
      <c r="I600" s="447"/>
      <c r="J600" s="447"/>
      <c r="K600" s="438"/>
      <c r="L600" s="447"/>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x</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hidden="1" customHeight="1">
      <c r="A601" s="343" t="str">
        <f>IF(B601&lt;&gt;"",IF(AND(B601='IN-TC'!$S$4,OR(TH!N601="1111",TH!O601="1111")),TH!D601,""),"")</f>
        <v/>
      </c>
      <c r="B601" s="63">
        <f t="shared" ref="B601:B664" si="44">IF(C601&lt;&gt;"",MONTH(C601),"")</f>
        <v>3</v>
      </c>
      <c r="C601" s="64">
        <v>42444</v>
      </c>
      <c r="D601" s="320" t="s">
        <v>708</v>
      </c>
      <c r="E601" s="64">
        <v>42444</v>
      </c>
      <c r="F601" s="67" t="s">
        <v>1215</v>
      </c>
      <c r="G601" s="67" t="s">
        <v>929</v>
      </c>
      <c r="H601" s="7"/>
      <c r="I601" s="447"/>
      <c r="J601" s="447"/>
      <c r="K601" s="438"/>
      <c r="L601" s="447"/>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x</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hidden="1" customHeight="1">
      <c r="A602" s="343" t="str">
        <f>IF(B602&lt;&gt;"",IF(AND(B602='IN-TC'!$S$4,OR(TH!N602="1111",TH!O602="1111")),TH!D602,""),"")</f>
        <v/>
      </c>
      <c r="B602" s="63">
        <f t="shared" si="44"/>
        <v>3</v>
      </c>
      <c r="C602" s="64">
        <v>42444</v>
      </c>
      <c r="D602" s="320" t="s">
        <v>708</v>
      </c>
      <c r="E602" s="64">
        <v>42444</v>
      </c>
      <c r="F602" s="67" t="s">
        <v>1438</v>
      </c>
      <c r="G602" s="67" t="s">
        <v>929</v>
      </c>
      <c r="H602" s="74" t="s">
        <v>634</v>
      </c>
      <c r="I602" s="447"/>
      <c r="J602" s="447"/>
      <c r="K602" s="438"/>
      <c r="L602" s="447"/>
      <c r="M602" s="65">
        <v>50000000</v>
      </c>
      <c r="N602" s="66" t="s">
        <v>8</v>
      </c>
      <c r="O602" s="66" t="s">
        <v>26</v>
      </c>
      <c r="P602" s="85" t="str">
        <f>IF(AND('331-CT'!$E$7=TH!H602,OR(N602="331",O602="331")),"x","")</f>
        <v>x</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x</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hidden="1" customHeight="1">
      <c r="A603" s="343" t="str">
        <f>IF(B603&lt;&gt;"",IF(AND(B603='IN-TC'!$S$4,OR(TH!N603="1111",TH!O603="1111")),TH!D603,""),"")</f>
        <v/>
      </c>
      <c r="B603" s="63">
        <f t="shared" si="44"/>
        <v>3</v>
      </c>
      <c r="C603" s="64">
        <v>42444</v>
      </c>
      <c r="D603" s="320" t="s">
        <v>708</v>
      </c>
      <c r="E603" s="64">
        <v>42444</v>
      </c>
      <c r="F603" s="67" t="s">
        <v>1214</v>
      </c>
      <c r="G603" s="67" t="s">
        <v>929</v>
      </c>
      <c r="H603" s="74"/>
      <c r="I603" s="447"/>
      <c r="J603" s="447"/>
      <c r="K603" s="438"/>
      <c r="L603" s="447"/>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x</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hidden="1" customHeight="1">
      <c r="A604" s="343" t="str">
        <f>IF(B604&lt;&gt;"",IF(AND(B604='IN-TC'!$S$4,OR(TH!N604="1111",TH!O604="1111")),TH!D604,""),"")</f>
        <v/>
      </c>
      <c r="B604" s="63">
        <f t="shared" si="44"/>
        <v>3</v>
      </c>
      <c r="C604" s="320">
        <v>42444</v>
      </c>
      <c r="D604" s="320" t="s">
        <v>708</v>
      </c>
      <c r="E604" s="320">
        <v>42444</v>
      </c>
      <c r="F604" s="67" t="s">
        <v>1215</v>
      </c>
      <c r="G604" s="996" t="s">
        <v>929</v>
      </c>
      <c r="H604" s="74"/>
      <c r="I604" s="447"/>
      <c r="J604" s="447"/>
      <c r="K604" s="438"/>
      <c r="L604" s="447"/>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x</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8" customFormat="1" ht="15.75" hidden="1" customHeight="1">
      <c r="A605" s="343" t="str">
        <f>IF(B605&lt;&gt;"",IF(AND(B605='IN-TC'!$S$4,OR(TH!N605="1111",TH!O605="1111")),TH!D605,""),"")</f>
        <v/>
      </c>
      <c r="B605" s="63">
        <f t="shared" si="44"/>
        <v>3</v>
      </c>
      <c r="C605" s="320">
        <v>42444</v>
      </c>
      <c r="D605" s="320" t="s">
        <v>916</v>
      </c>
      <c r="E605" s="320">
        <v>42444</v>
      </c>
      <c r="F605" s="321" t="s">
        <v>1157</v>
      </c>
      <c r="G605" s="1000" t="s">
        <v>928</v>
      </c>
      <c r="H605" s="7" t="s">
        <v>772</v>
      </c>
      <c r="I605" s="447"/>
      <c r="J605" s="447"/>
      <c r="K605" s="438"/>
      <c r="L605" s="447"/>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hidden="1" customHeight="1">
      <c r="A606" s="343" t="str">
        <f>IF(B606&lt;&gt;"",IF(AND(B606='IN-TC'!$S$4,OR(TH!N606="1111",TH!O606="1111")),TH!D606,""),"")</f>
        <v/>
      </c>
      <c r="B606" s="63">
        <f t="shared" si="44"/>
        <v>3</v>
      </c>
      <c r="C606" s="320">
        <v>42446</v>
      </c>
      <c r="D606" s="320" t="s">
        <v>910</v>
      </c>
      <c r="E606" s="320">
        <v>42446</v>
      </c>
      <c r="F606" s="321" t="s">
        <v>1193</v>
      </c>
      <c r="G606" s="1000" t="s">
        <v>1152</v>
      </c>
      <c r="H606" s="322" t="s">
        <v>622</v>
      </c>
      <c r="I606" s="447"/>
      <c r="J606" s="447"/>
      <c r="K606" s="438"/>
      <c r="L606" s="447"/>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hidden="1" customHeight="1">
      <c r="A607" s="343" t="str">
        <f>IF(B607&lt;&gt;"",IF(AND(B607='IN-TC'!$S$4,OR(TH!N607="1111",TH!O607="1111")),TH!D607,""),"")</f>
        <v/>
      </c>
      <c r="B607" s="63">
        <f t="shared" si="44"/>
        <v>3</v>
      </c>
      <c r="C607" s="320">
        <v>42446</v>
      </c>
      <c r="D607" s="320" t="s">
        <v>911</v>
      </c>
      <c r="E607" s="320">
        <v>42446</v>
      </c>
      <c r="F607" s="321" t="s">
        <v>1153</v>
      </c>
      <c r="G607" s="1000" t="s">
        <v>1155</v>
      </c>
      <c r="H607" s="322" t="s">
        <v>1156</v>
      </c>
      <c r="I607" s="447"/>
      <c r="J607" s="447"/>
      <c r="K607" s="438"/>
      <c r="L607" s="447"/>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hidden="1" customHeight="1">
      <c r="A608" s="343" t="str">
        <f>IF(B608&lt;&gt;"",IF(AND(B608='IN-TC'!$S$4,OR(TH!N608="1111",TH!O608="1111")),TH!D608,""),"")</f>
        <v/>
      </c>
      <c r="B608" s="63">
        <f t="shared" si="44"/>
        <v>3</v>
      </c>
      <c r="C608" s="320">
        <v>42446</v>
      </c>
      <c r="D608" s="320" t="s">
        <v>911</v>
      </c>
      <c r="E608" s="320">
        <v>42446</v>
      </c>
      <c r="F608" s="321" t="s">
        <v>1154</v>
      </c>
      <c r="G608" s="1000" t="s">
        <v>1155</v>
      </c>
      <c r="H608" s="7" t="s">
        <v>1156</v>
      </c>
      <c r="I608" s="447"/>
      <c r="J608" s="447"/>
      <c r="K608" s="438"/>
      <c r="L608" s="447"/>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8"/>
    </row>
    <row r="609" spans="1:30" ht="15.75" hidden="1" customHeight="1">
      <c r="A609" s="343" t="str">
        <f>IF(B609&lt;&gt;"",IF(AND(B609='IN-TC'!$S$4,OR(TH!N609="1111",TH!O609="1111")),TH!D609,""),"")</f>
        <v/>
      </c>
      <c r="B609" s="63">
        <f t="shared" si="44"/>
        <v>3</v>
      </c>
      <c r="C609" s="64">
        <v>42446</v>
      </c>
      <c r="D609" s="320" t="s">
        <v>912</v>
      </c>
      <c r="E609" s="64">
        <v>42446</v>
      </c>
      <c r="F609" s="67" t="s">
        <v>780</v>
      </c>
      <c r="G609" s="1000" t="s">
        <v>1357</v>
      </c>
      <c r="H609" s="74" t="s">
        <v>818</v>
      </c>
      <c r="I609" s="447"/>
      <c r="J609" s="447"/>
      <c r="K609" s="438"/>
      <c r="L609" s="447"/>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hidden="1" customHeight="1">
      <c r="A610" s="343" t="str">
        <f>IF(B610&lt;&gt;"",IF(AND(B610='IN-TC'!$S$4,OR(TH!N610="1111",TH!O610="1111")),TH!D610,""),"")</f>
        <v/>
      </c>
      <c r="B610" s="63">
        <f t="shared" si="44"/>
        <v>3</v>
      </c>
      <c r="C610" s="64">
        <v>42446</v>
      </c>
      <c r="D610" s="320" t="s">
        <v>912</v>
      </c>
      <c r="E610" s="64">
        <v>42446</v>
      </c>
      <c r="F610" s="67" t="s">
        <v>781</v>
      </c>
      <c r="G610" s="1000" t="s">
        <v>1357</v>
      </c>
      <c r="H610" s="74" t="s">
        <v>818</v>
      </c>
      <c r="I610" s="447"/>
      <c r="J610" s="447"/>
      <c r="K610" s="438"/>
      <c r="L610" s="447"/>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hidden="1" customHeight="1">
      <c r="A611" s="343" t="str">
        <f>IF(B611&lt;&gt;"",IF(AND(B611='IN-TC'!$S$4,OR(TH!N611="1111",TH!O611="1111")),TH!D611,""),"")</f>
        <v/>
      </c>
      <c r="B611" s="63">
        <f t="shared" si="44"/>
        <v>3</v>
      </c>
      <c r="C611" s="64">
        <v>42446</v>
      </c>
      <c r="D611" s="320" t="s">
        <v>708</v>
      </c>
      <c r="E611" s="64">
        <v>42446</v>
      </c>
      <c r="F611" s="67" t="s">
        <v>1211</v>
      </c>
      <c r="G611" s="1000" t="s">
        <v>928</v>
      </c>
      <c r="H611" s="74" t="s">
        <v>737</v>
      </c>
      <c r="I611" s="447"/>
      <c r="J611" s="447"/>
      <c r="K611" s="438">
        <v>228.54</v>
      </c>
      <c r="L611" s="447">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hidden="1" customHeight="1">
      <c r="A612" s="343" t="str">
        <f>IF(B612&lt;&gt;"",IF(AND(B612='IN-TC'!$S$4,OR(TH!N612="1111",TH!O612="1111")),TH!D612,""),"")</f>
        <v/>
      </c>
      <c r="B612" s="63">
        <f t="shared" si="44"/>
        <v>3</v>
      </c>
      <c r="C612" s="64">
        <v>42446</v>
      </c>
      <c r="D612" s="320" t="s">
        <v>708</v>
      </c>
      <c r="E612" s="64">
        <v>42446</v>
      </c>
      <c r="F612" s="67" t="s">
        <v>1211</v>
      </c>
      <c r="G612" s="1000" t="s">
        <v>928</v>
      </c>
      <c r="H612" s="74" t="s">
        <v>740</v>
      </c>
      <c r="I612" s="447"/>
      <c r="J612" s="447"/>
      <c r="K612" s="438">
        <v>138.60999103942652</v>
      </c>
      <c r="L612" s="447">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hidden="1" customHeight="1">
      <c r="A613" s="343" t="str">
        <f>IF(B613&lt;&gt;"",IF(AND(B613='IN-TC'!$S$4,OR(TH!N613="1111",TH!O613="1111")),TH!D613,""),"")</f>
        <v/>
      </c>
      <c r="B613" s="63">
        <f t="shared" si="44"/>
        <v>3</v>
      </c>
      <c r="C613" s="64">
        <v>42446</v>
      </c>
      <c r="D613" s="320" t="s">
        <v>708</v>
      </c>
      <c r="E613" s="64">
        <v>42446</v>
      </c>
      <c r="F613" s="67" t="s">
        <v>1211</v>
      </c>
      <c r="G613" s="1000" t="s">
        <v>928</v>
      </c>
      <c r="H613" s="324" t="s">
        <v>750</v>
      </c>
      <c r="I613" s="445"/>
      <c r="J613" s="445"/>
      <c r="K613" s="436">
        <v>267.39999999999998</v>
      </c>
      <c r="L613" s="445">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hidden="1" customHeight="1">
      <c r="A614" s="343" t="str">
        <f>IF(B614&lt;&gt;"",IF(AND(B614='IN-TC'!$S$4,OR(TH!N614="1111",TH!O614="1111")),TH!D614,""),"")</f>
        <v/>
      </c>
      <c r="B614" s="63">
        <f t="shared" si="44"/>
        <v>3</v>
      </c>
      <c r="C614" s="64">
        <v>42446</v>
      </c>
      <c r="D614" s="320" t="s">
        <v>708</v>
      </c>
      <c r="E614" s="64">
        <v>42446</v>
      </c>
      <c r="F614" s="67" t="s">
        <v>1211</v>
      </c>
      <c r="G614" s="1000" t="s">
        <v>928</v>
      </c>
      <c r="H614" s="324" t="s">
        <v>738</v>
      </c>
      <c r="I614" s="445"/>
      <c r="J614" s="445"/>
      <c r="K614" s="436">
        <v>199.85</v>
      </c>
      <c r="L614" s="445">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hidden="1" customHeight="1">
      <c r="A615" s="343" t="str">
        <f>IF(B615&lt;&gt;"",IF(AND(B615='IN-TC'!$S$4,OR(TH!N615="1111",TH!O615="1111")),TH!D615,""),"")</f>
        <v/>
      </c>
      <c r="B615" s="63">
        <f t="shared" si="44"/>
        <v>3</v>
      </c>
      <c r="C615" s="64">
        <v>42446</v>
      </c>
      <c r="D615" s="320" t="s">
        <v>708</v>
      </c>
      <c r="E615" s="64">
        <v>42446</v>
      </c>
      <c r="F615" s="67" t="s">
        <v>1217</v>
      </c>
      <c r="G615" s="1000" t="s">
        <v>928</v>
      </c>
      <c r="H615" s="74"/>
      <c r="I615" s="447"/>
      <c r="J615" s="447"/>
      <c r="K615" s="438"/>
      <c r="L615" s="447"/>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hidden="1" customHeight="1">
      <c r="A616" s="343" t="str">
        <f>IF(B616&lt;&gt;"",IF(AND(B616='IN-TC'!$S$4,OR(TH!N616="1111",TH!O616="1111")),TH!D616,""),"")</f>
        <v/>
      </c>
      <c r="B616" s="63">
        <f t="shared" si="44"/>
        <v>3</v>
      </c>
      <c r="C616" s="64">
        <v>42446</v>
      </c>
      <c r="D616" s="320" t="s">
        <v>708</v>
      </c>
      <c r="E616" s="64">
        <v>42446</v>
      </c>
      <c r="F616" s="67" t="s">
        <v>1219</v>
      </c>
      <c r="G616" s="67" t="s">
        <v>928</v>
      </c>
      <c r="H616" s="74"/>
      <c r="I616" s="447"/>
      <c r="J616" s="447"/>
      <c r="K616" s="438"/>
      <c r="L616" s="447"/>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hidden="1" customHeight="1">
      <c r="A617" s="343" t="str">
        <f>IF(B617&lt;&gt;"",IF(AND(B617='IN-TC'!$S$4,OR(TH!N617="1111",TH!O617="1111")),TH!D617,""),"")</f>
        <v/>
      </c>
      <c r="B617" s="63">
        <f t="shared" si="44"/>
        <v>3</v>
      </c>
      <c r="C617" s="64">
        <v>42446</v>
      </c>
      <c r="D617" s="320" t="s">
        <v>708</v>
      </c>
      <c r="E617" s="64">
        <v>42446</v>
      </c>
      <c r="F617" s="67" t="s">
        <v>1218</v>
      </c>
      <c r="G617" s="67" t="s">
        <v>928</v>
      </c>
      <c r="H617" s="74"/>
      <c r="I617" s="447"/>
      <c r="J617" s="447"/>
      <c r="K617" s="438"/>
      <c r="L617" s="447"/>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hidden="1" customHeight="1">
      <c r="A618" s="343" t="str">
        <f>IF(B618&lt;&gt;"",IF(AND(B618='IN-TC'!$S$4,OR(TH!N618="1111",TH!O618="1111")),TH!D618,""),"")</f>
        <v/>
      </c>
      <c r="B618" s="63">
        <f t="shared" si="44"/>
        <v>3</v>
      </c>
      <c r="C618" s="64">
        <v>42446</v>
      </c>
      <c r="D618" s="320" t="s">
        <v>708</v>
      </c>
      <c r="E618" s="64">
        <v>42446</v>
      </c>
      <c r="F618" s="67" t="s">
        <v>1219</v>
      </c>
      <c r="G618" s="67" t="s">
        <v>928</v>
      </c>
      <c r="H618" s="74"/>
      <c r="I618" s="447"/>
      <c r="J618" s="447"/>
      <c r="K618" s="438"/>
      <c r="L618" s="447"/>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hidden="1" customHeight="1">
      <c r="A619" s="343" t="str">
        <f>IF(B619&lt;&gt;"",IF(AND(B619='IN-TC'!$S$4,OR(TH!N619="1111",TH!O619="1111")),TH!D619,""),"")</f>
        <v/>
      </c>
      <c r="B619" s="63">
        <f t="shared" si="44"/>
        <v>3</v>
      </c>
      <c r="C619" s="64">
        <v>42447</v>
      </c>
      <c r="D619" s="320" t="s">
        <v>914</v>
      </c>
      <c r="E619" s="64">
        <v>42447</v>
      </c>
      <c r="F619" s="67" t="s">
        <v>1125</v>
      </c>
      <c r="G619" s="67" t="s">
        <v>1358</v>
      </c>
      <c r="H619" s="7" t="s">
        <v>818</v>
      </c>
      <c r="I619" s="447"/>
      <c r="J619" s="447"/>
      <c r="K619" s="438"/>
      <c r="L619" s="447"/>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hidden="1" customHeight="1">
      <c r="A620" s="343" t="str">
        <f>IF(B620&lt;&gt;"",IF(AND(B620='IN-TC'!$S$4,OR(TH!N620="1111",TH!O620="1111")),TH!D620,""),"")</f>
        <v/>
      </c>
      <c r="B620" s="63">
        <f t="shared" si="44"/>
        <v>3</v>
      </c>
      <c r="C620" s="64">
        <v>42447</v>
      </c>
      <c r="D620" s="320" t="s">
        <v>914</v>
      </c>
      <c r="E620" s="64">
        <v>42447</v>
      </c>
      <c r="F620" s="67" t="s">
        <v>1359</v>
      </c>
      <c r="G620" s="67" t="s">
        <v>1358</v>
      </c>
      <c r="H620" s="74" t="s">
        <v>818</v>
      </c>
      <c r="I620" s="447"/>
      <c r="J620" s="447"/>
      <c r="K620" s="438"/>
      <c r="L620" s="447"/>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hidden="1" customHeight="1">
      <c r="A621" s="343" t="str">
        <f>IF(B621&lt;&gt;"",IF(AND(B621='IN-TC'!$S$4,OR(TH!N621="1111",TH!O621="1111")),TH!D621,""),"")</f>
        <v/>
      </c>
      <c r="B621" s="63">
        <f t="shared" si="44"/>
        <v>3</v>
      </c>
      <c r="C621" s="64">
        <v>42449</v>
      </c>
      <c r="D621" s="320" t="s">
        <v>915</v>
      </c>
      <c r="E621" s="64">
        <v>42449</v>
      </c>
      <c r="F621" s="67" t="s">
        <v>1125</v>
      </c>
      <c r="G621" s="67" t="s">
        <v>1360</v>
      </c>
      <c r="H621" s="74" t="s">
        <v>818</v>
      </c>
      <c r="I621" s="447"/>
      <c r="J621" s="447"/>
      <c r="K621" s="438"/>
      <c r="L621" s="447"/>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hidden="1" customHeight="1">
      <c r="A622" s="343" t="str">
        <f>IF(B622&lt;&gt;"",IF(AND(B622='IN-TC'!$S$4,OR(TH!N622="1111",TH!O622="1111")),TH!D622,""),"")</f>
        <v/>
      </c>
      <c r="B622" s="63">
        <f t="shared" si="44"/>
        <v>3</v>
      </c>
      <c r="C622" s="64">
        <v>42449</v>
      </c>
      <c r="D622" s="320" t="s">
        <v>915</v>
      </c>
      <c r="E622" s="64">
        <v>42449</v>
      </c>
      <c r="F622" s="67" t="s">
        <v>1359</v>
      </c>
      <c r="G622" s="67" t="s">
        <v>1360</v>
      </c>
      <c r="H622" s="7" t="s">
        <v>818</v>
      </c>
      <c r="I622" s="447"/>
      <c r="J622" s="447"/>
      <c r="K622" s="438"/>
      <c r="L622" s="447"/>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hidden="1" customHeight="1">
      <c r="A623" s="343" t="str">
        <f>IF(B623&lt;&gt;"",IF(AND(B623='IN-TC'!$S$4,OR(TH!N623="1111",TH!O623="1111")),TH!D623,""),"")</f>
        <v/>
      </c>
      <c r="B623" s="63">
        <f t="shared" si="44"/>
        <v>3</v>
      </c>
      <c r="C623" s="64">
        <v>42450</v>
      </c>
      <c r="D623" s="320" t="s">
        <v>708</v>
      </c>
      <c r="E623" s="64">
        <v>42450</v>
      </c>
      <c r="F623" s="67" t="s">
        <v>1206</v>
      </c>
      <c r="G623" s="67" t="s">
        <v>929</v>
      </c>
      <c r="H623" s="7"/>
      <c r="I623" s="447"/>
      <c r="J623" s="447"/>
      <c r="K623" s="438"/>
      <c r="L623" s="447"/>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x</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hidden="1" customHeight="1">
      <c r="A624" s="343" t="str">
        <f>IF(B624&lt;&gt;"",IF(AND(B624='IN-TC'!$S$4,OR(TH!N624="1111",TH!O624="1111")),TH!D624,""),"")</f>
        <v/>
      </c>
      <c r="B624" s="63">
        <f t="shared" si="44"/>
        <v>3</v>
      </c>
      <c r="C624" s="64">
        <v>42450</v>
      </c>
      <c r="D624" s="320" t="s">
        <v>708</v>
      </c>
      <c r="E624" s="64">
        <v>42450</v>
      </c>
      <c r="F624" s="67" t="s">
        <v>1207</v>
      </c>
      <c r="G624" s="67" t="s">
        <v>929</v>
      </c>
      <c r="H624" s="7"/>
      <c r="I624" s="447"/>
      <c r="J624" s="447"/>
      <c r="K624" s="438"/>
      <c r="L624" s="447"/>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x</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hidden="1" customHeight="1">
      <c r="A625" s="343" t="str">
        <f>IF(B625&lt;&gt;"",IF(AND(B625='IN-TC'!$S$4,OR(TH!N625="1111",TH!O625="1111")),TH!D625,""),"")</f>
        <v/>
      </c>
      <c r="B625" s="63">
        <f t="shared" si="44"/>
        <v>3</v>
      </c>
      <c r="C625" s="320">
        <v>42450</v>
      </c>
      <c r="D625" s="320" t="s">
        <v>705</v>
      </c>
      <c r="E625" s="320">
        <v>42450</v>
      </c>
      <c r="F625" s="321" t="s">
        <v>1232</v>
      </c>
      <c r="G625" s="1000" t="s">
        <v>929</v>
      </c>
      <c r="H625" s="322" t="s">
        <v>1233</v>
      </c>
      <c r="I625" s="447"/>
      <c r="J625" s="447"/>
      <c r="K625" s="438"/>
      <c r="L625" s="447"/>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x</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hidden="1" customHeight="1">
      <c r="A626" s="343" t="str">
        <f>IF(B626&lt;&gt;"",IF(AND(B626='IN-TC'!$S$4,OR(TH!N626="1111",TH!O626="1111")),TH!D626,""),"")</f>
        <v/>
      </c>
      <c r="B626" s="63">
        <f t="shared" si="44"/>
        <v>3</v>
      </c>
      <c r="C626" s="320">
        <v>42450</v>
      </c>
      <c r="D626" s="320" t="s">
        <v>708</v>
      </c>
      <c r="E626" s="320">
        <v>42450</v>
      </c>
      <c r="F626" s="321" t="s">
        <v>1211</v>
      </c>
      <c r="G626" s="1000" t="s">
        <v>929</v>
      </c>
      <c r="H626" s="322" t="s">
        <v>733</v>
      </c>
      <c r="I626" s="447"/>
      <c r="J626" s="447"/>
      <c r="K626" s="438">
        <v>288.53001792114696</v>
      </c>
      <c r="L626" s="447">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x</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hidden="1" customHeight="1">
      <c r="A627" s="343" t="str">
        <f>IF(B627&lt;&gt;"",IF(AND(B627='IN-TC'!$S$4,OR(TH!N627="1111",TH!O627="1111")),TH!D627,""),"")</f>
        <v/>
      </c>
      <c r="B627" s="63">
        <f t="shared" si="44"/>
        <v>3</v>
      </c>
      <c r="C627" s="64">
        <v>42450</v>
      </c>
      <c r="D627" s="320" t="s">
        <v>708</v>
      </c>
      <c r="E627" s="64">
        <v>42450</v>
      </c>
      <c r="F627" s="67" t="s">
        <v>1211</v>
      </c>
      <c r="G627" s="67" t="s">
        <v>929</v>
      </c>
      <c r="H627" s="74" t="s">
        <v>734</v>
      </c>
      <c r="I627" s="447"/>
      <c r="J627" s="447"/>
      <c r="K627" s="438">
        <v>286.91998207885302</v>
      </c>
      <c r="L627" s="447">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x</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hidden="1" customHeight="1">
      <c r="A628" s="343" t="str">
        <f>IF(B628&lt;&gt;"",IF(AND(B628='IN-TC'!$S$4,OR(TH!N628="1111",TH!O628="1111")),TH!D628,""),"")</f>
        <v/>
      </c>
      <c r="B628" s="63">
        <f t="shared" si="44"/>
        <v>3</v>
      </c>
      <c r="C628" s="64">
        <v>42450</v>
      </c>
      <c r="D628" s="320" t="s">
        <v>708</v>
      </c>
      <c r="E628" s="64">
        <v>42450</v>
      </c>
      <c r="F628" s="67" t="s">
        <v>1211</v>
      </c>
      <c r="G628" s="67" t="s">
        <v>929</v>
      </c>
      <c r="H628" s="74" t="s">
        <v>741</v>
      </c>
      <c r="I628" s="447"/>
      <c r="J628" s="447"/>
      <c r="K628" s="438">
        <v>196.65999103942653</v>
      </c>
      <c r="L628" s="447">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x</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hidden="1" customHeight="1">
      <c r="A629" s="343" t="str">
        <f>IF(B629&lt;&gt;"",IF(AND(B629='IN-TC'!$S$4,OR(TH!N629="1111",TH!O629="1111")),TH!D629,""),"")</f>
        <v/>
      </c>
      <c r="B629" s="63">
        <f t="shared" si="44"/>
        <v>3</v>
      </c>
      <c r="C629" s="64">
        <v>42450</v>
      </c>
      <c r="D629" s="320" t="s">
        <v>708</v>
      </c>
      <c r="E629" s="64">
        <v>42450</v>
      </c>
      <c r="F629" s="67" t="s">
        <v>1211</v>
      </c>
      <c r="G629" s="67" t="s">
        <v>929</v>
      </c>
      <c r="H629" s="74" t="s">
        <v>735</v>
      </c>
      <c r="I629" s="447"/>
      <c r="J629" s="447"/>
      <c r="K629" s="438">
        <v>286.91998207885302</v>
      </c>
      <c r="L629" s="447">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x</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hidden="1" customHeight="1">
      <c r="A630" s="343" t="str">
        <f>IF(B630&lt;&gt;"",IF(AND(B630='IN-TC'!$S$4,OR(TH!N630="1111",TH!O630="1111")),TH!D630,""),"")</f>
        <v/>
      </c>
      <c r="B630" s="63">
        <f t="shared" si="44"/>
        <v>3</v>
      </c>
      <c r="C630" s="64">
        <v>42450</v>
      </c>
      <c r="D630" s="320" t="s">
        <v>708</v>
      </c>
      <c r="E630" s="64">
        <v>42450</v>
      </c>
      <c r="F630" s="67" t="s">
        <v>1211</v>
      </c>
      <c r="G630" s="67" t="s">
        <v>929</v>
      </c>
      <c r="H630" s="74" t="s">
        <v>736</v>
      </c>
      <c r="I630" s="447"/>
      <c r="J630" s="447"/>
      <c r="K630" s="438">
        <v>283.7</v>
      </c>
      <c r="L630" s="447">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x</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hidden="1" customHeight="1">
      <c r="A631" s="343" t="str">
        <f>IF(B631&lt;&gt;"",IF(AND(B631='IN-TC'!$S$4,OR(TH!N631="1111",TH!O631="1111")),TH!D631,""),"")</f>
        <v/>
      </c>
      <c r="B631" s="63">
        <f t="shared" si="44"/>
        <v>3</v>
      </c>
      <c r="C631" s="64">
        <v>42450</v>
      </c>
      <c r="D631" s="320" t="s">
        <v>708</v>
      </c>
      <c r="E631" s="64">
        <v>42450</v>
      </c>
      <c r="F631" s="67" t="s">
        <v>1211</v>
      </c>
      <c r="G631" s="67" t="s">
        <v>929</v>
      </c>
      <c r="H631" s="74" t="s">
        <v>744</v>
      </c>
      <c r="I631" s="447"/>
      <c r="J631" s="447"/>
      <c r="K631" s="438">
        <v>571.5099910394265</v>
      </c>
      <c r="L631" s="447">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x</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hidden="1" customHeight="1">
      <c r="A632" s="343" t="str">
        <f>IF(B632&lt;&gt;"",IF(AND(B632='IN-TC'!$S$4,OR(TH!N632="1111",TH!O632="1111")),TH!D632,""),"")</f>
        <v/>
      </c>
      <c r="B632" s="63">
        <f t="shared" si="44"/>
        <v>3</v>
      </c>
      <c r="C632" s="64">
        <v>42452</v>
      </c>
      <c r="D632" s="320" t="s">
        <v>917</v>
      </c>
      <c r="E632" s="64">
        <v>42452</v>
      </c>
      <c r="F632" s="67" t="s">
        <v>618</v>
      </c>
      <c r="G632" s="67" t="s">
        <v>1334</v>
      </c>
      <c r="H632" s="74" t="s">
        <v>1335</v>
      </c>
      <c r="I632" s="447"/>
      <c r="J632" s="447"/>
      <c r="K632" s="438"/>
      <c r="L632" s="447"/>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hidden="1" customHeight="1">
      <c r="A633" s="343" t="str">
        <f>IF(B633&lt;&gt;"",IF(AND(B633='IN-TC'!$S$4,OR(TH!N633="1111",TH!O633="1111")),TH!D633,""),"")</f>
        <v/>
      </c>
      <c r="B633" s="63">
        <f t="shared" si="44"/>
        <v>3</v>
      </c>
      <c r="C633" s="64">
        <v>42452</v>
      </c>
      <c r="D633" s="320" t="s">
        <v>917</v>
      </c>
      <c r="E633" s="64">
        <v>42452</v>
      </c>
      <c r="F633" s="67" t="s">
        <v>1333</v>
      </c>
      <c r="G633" s="67" t="s">
        <v>1334</v>
      </c>
      <c r="H633" s="351" t="s">
        <v>1335</v>
      </c>
      <c r="I633" s="449"/>
      <c r="J633" s="449"/>
      <c r="K633" s="440"/>
      <c r="L633" s="449"/>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hidden="1" customHeight="1">
      <c r="A634" s="343" t="str">
        <f>IF(B634&lt;&gt;"",IF(AND(B634='IN-TC'!$S$4,OR(TH!N634="1111",TH!O634="1111")),TH!D634,""),"")</f>
        <v/>
      </c>
      <c r="B634" s="63">
        <f t="shared" si="44"/>
        <v>3</v>
      </c>
      <c r="C634" s="64">
        <v>42452</v>
      </c>
      <c r="D634" s="320" t="s">
        <v>918</v>
      </c>
      <c r="E634" s="64">
        <v>42452</v>
      </c>
      <c r="F634" s="67" t="s">
        <v>780</v>
      </c>
      <c r="G634" s="67" t="s">
        <v>1361</v>
      </c>
      <c r="H634" s="74" t="s">
        <v>818</v>
      </c>
      <c r="I634" s="447"/>
      <c r="J634" s="447"/>
      <c r="K634" s="438"/>
      <c r="L634" s="447"/>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hidden="1" customHeight="1">
      <c r="A635" s="343" t="str">
        <f>IF(B635&lt;&gt;"",IF(AND(B635='IN-TC'!$S$4,OR(TH!N635="1111",TH!O635="1111")),TH!D635,""),"")</f>
        <v/>
      </c>
      <c r="B635" s="63">
        <f t="shared" si="44"/>
        <v>3</v>
      </c>
      <c r="C635" s="64">
        <v>42452</v>
      </c>
      <c r="D635" s="320" t="s">
        <v>918</v>
      </c>
      <c r="E635" s="64">
        <v>42452</v>
      </c>
      <c r="F635" s="67" t="s">
        <v>781</v>
      </c>
      <c r="G635" s="67" t="s">
        <v>1361</v>
      </c>
      <c r="H635" s="74" t="s">
        <v>818</v>
      </c>
      <c r="I635" s="447"/>
      <c r="J635" s="447"/>
      <c r="K635" s="438"/>
      <c r="L635" s="447"/>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hidden="1" customHeight="1">
      <c r="A636" s="343" t="str">
        <f>IF(B636&lt;&gt;"",IF(AND(B636='IN-TC'!$S$4,OR(TH!N636="1111",TH!O636="1111")),TH!D636,""),"")</f>
        <v/>
      </c>
      <c r="B636" s="1166">
        <f t="shared" si="44"/>
        <v>3</v>
      </c>
      <c r="C636" s="95">
        <v>42452</v>
      </c>
      <c r="D636" s="1167" t="s">
        <v>708</v>
      </c>
      <c r="E636" s="95">
        <v>42452</v>
      </c>
      <c r="F636" s="96" t="s">
        <v>1234</v>
      </c>
      <c r="G636" s="1173" t="s">
        <v>929</v>
      </c>
      <c r="H636" s="97" t="s">
        <v>1235</v>
      </c>
      <c r="I636" s="453"/>
      <c r="J636" s="453"/>
      <c r="K636" s="444"/>
      <c r="L636" s="453"/>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x</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7"/>
    </row>
    <row r="637" spans="1:31" s="357" customFormat="1" ht="15.75" hidden="1" customHeight="1">
      <c r="A637" s="343" t="str">
        <f>IF(B637&lt;&gt;"",IF(AND(B637='IN-TC'!$S$4,OR(TH!N637="1111",TH!O637="1111")),TH!D637,""),"")</f>
        <v/>
      </c>
      <c r="B637" s="63">
        <f t="shared" si="44"/>
        <v>3</v>
      </c>
      <c r="C637" s="320">
        <f>E637</f>
        <v>42453</v>
      </c>
      <c r="D637" s="64" t="s">
        <v>921</v>
      </c>
      <c r="E637" s="64">
        <v>42453</v>
      </c>
      <c r="F637" s="82" t="s">
        <v>974</v>
      </c>
      <c r="G637" s="82"/>
      <c r="H637" s="83" t="s">
        <v>973</v>
      </c>
      <c r="I637" s="445"/>
      <c r="J637" s="445"/>
      <c r="K637" s="436"/>
      <c r="L637" s="445"/>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hidden="1" customHeight="1">
      <c r="A638" s="343" t="str">
        <f>IF(B638&lt;&gt;"",IF(AND(B638='IN-TC'!$S$4,OR(TH!N638="1111",TH!O638="1111")),TH!D638,""),"")</f>
        <v/>
      </c>
      <c r="B638" s="63">
        <f t="shared" si="44"/>
        <v>3</v>
      </c>
      <c r="C638" s="64">
        <v>42453</v>
      </c>
      <c r="D638" s="64" t="s">
        <v>922</v>
      </c>
      <c r="E638" s="64">
        <v>42453</v>
      </c>
      <c r="F638" s="67" t="s">
        <v>1125</v>
      </c>
      <c r="G638" s="996" t="s">
        <v>1362</v>
      </c>
      <c r="H638" s="74" t="s">
        <v>818</v>
      </c>
      <c r="I638" s="447"/>
      <c r="J638" s="447"/>
      <c r="K638" s="438"/>
      <c r="L638" s="447"/>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hidden="1" customHeight="1">
      <c r="A639" s="343" t="str">
        <f>IF(B639&lt;&gt;"",IF(AND(B639='IN-TC'!$S$4,OR(TH!N639="1111",TH!O639="1111")),TH!D639,""),"")</f>
        <v/>
      </c>
      <c r="B639" s="63">
        <f t="shared" si="44"/>
        <v>3</v>
      </c>
      <c r="C639" s="64">
        <v>42453</v>
      </c>
      <c r="D639" s="64" t="s">
        <v>922</v>
      </c>
      <c r="E639" s="64">
        <v>42453</v>
      </c>
      <c r="F639" s="67" t="s">
        <v>1359</v>
      </c>
      <c r="G639" s="1000" t="s">
        <v>1362</v>
      </c>
      <c r="H639" s="7" t="s">
        <v>818</v>
      </c>
      <c r="I639" s="447"/>
      <c r="J639" s="447"/>
      <c r="K639" s="438"/>
      <c r="L639" s="447"/>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8"/>
    </row>
    <row r="640" spans="1:31" ht="15.75" hidden="1" customHeight="1">
      <c r="A640" s="343" t="str">
        <f>IF(B640&lt;&gt;"",IF(AND(B640='IN-TC'!$S$4,OR(TH!N640="1111",TH!O640="1111")),TH!D640,""),"")</f>
        <v/>
      </c>
      <c r="B640" s="63">
        <f t="shared" si="44"/>
        <v>3</v>
      </c>
      <c r="C640" s="81">
        <v>42454</v>
      </c>
      <c r="D640" s="64" t="s">
        <v>923</v>
      </c>
      <c r="E640" s="81">
        <v>42454</v>
      </c>
      <c r="F640" s="82" t="s">
        <v>780</v>
      </c>
      <c r="G640" s="1024" t="s">
        <v>1363</v>
      </c>
      <c r="H640" s="83" t="s">
        <v>818</v>
      </c>
      <c r="I640" s="445"/>
      <c r="J640" s="445"/>
      <c r="K640" s="436"/>
      <c r="L640" s="445"/>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4"/>
    </row>
    <row r="641" spans="1:31" ht="15.75" hidden="1" customHeight="1">
      <c r="A641" s="343" t="str">
        <f>IF(B641&lt;&gt;"",IF(AND(B641='IN-TC'!$S$4,OR(TH!N641="1111",TH!O641="1111")),TH!D641,""),"")</f>
        <v/>
      </c>
      <c r="B641" s="63">
        <f t="shared" si="44"/>
        <v>3</v>
      </c>
      <c r="C641" s="81">
        <v>42454</v>
      </c>
      <c r="D641" s="64" t="s">
        <v>923</v>
      </c>
      <c r="E641" s="81">
        <v>42454</v>
      </c>
      <c r="F641" s="82" t="s">
        <v>781</v>
      </c>
      <c r="G641" s="1024" t="s">
        <v>1363</v>
      </c>
      <c r="H641" s="83" t="s">
        <v>818</v>
      </c>
      <c r="I641" s="445"/>
      <c r="J641" s="445"/>
      <c r="K641" s="436"/>
      <c r="L641" s="445"/>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4"/>
    </row>
    <row r="642" spans="1:31" ht="15.75" hidden="1" customHeight="1">
      <c r="A642" s="343" t="str">
        <f>IF(B642&lt;&gt;"",IF(AND(B642='IN-TC'!$S$4,OR(TH!N642="1111",TH!O642="1111")),TH!D642,""),"")</f>
        <v/>
      </c>
      <c r="B642" s="63">
        <f t="shared" si="44"/>
        <v>3</v>
      </c>
      <c r="C642" s="81">
        <v>42454</v>
      </c>
      <c r="D642" s="81" t="s">
        <v>708</v>
      </c>
      <c r="E642" s="81">
        <v>42454</v>
      </c>
      <c r="F642" s="82" t="s">
        <v>1236</v>
      </c>
      <c r="G642" s="1024" t="s">
        <v>929</v>
      </c>
      <c r="H642" s="83"/>
      <c r="I642" s="445"/>
      <c r="J642" s="445"/>
      <c r="K642" s="436"/>
      <c r="L642" s="445"/>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x</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4"/>
    </row>
    <row r="643" spans="1:31" ht="15.75" hidden="1" customHeight="1">
      <c r="A643" s="343" t="str">
        <f>IF(B643&lt;&gt;"",IF(AND(B643='IN-TC'!$S$4,OR(TH!N643="1111",TH!O643="1111")),TH!D643,""),"")</f>
        <v/>
      </c>
      <c r="B643" s="63">
        <f t="shared" si="44"/>
        <v>3</v>
      </c>
      <c r="C643" s="81">
        <v>42454</v>
      </c>
      <c r="D643" s="81" t="s">
        <v>708</v>
      </c>
      <c r="E643" s="81">
        <v>42454</v>
      </c>
      <c r="F643" s="82" t="s">
        <v>1219</v>
      </c>
      <c r="G643" s="1024" t="s">
        <v>929</v>
      </c>
      <c r="H643" s="83"/>
      <c r="I643" s="445"/>
      <c r="J643" s="445"/>
      <c r="K643" s="436"/>
      <c r="L643" s="445"/>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x</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4"/>
    </row>
    <row r="644" spans="1:31" ht="15.75" hidden="1" customHeight="1">
      <c r="A644" s="343" t="str">
        <f>IF(B644&lt;&gt;"",IF(AND(B644='IN-TC'!$S$4,OR(TH!N644="1111",TH!O644="1111")),TH!D644,""),"")</f>
        <v/>
      </c>
      <c r="B644" s="63">
        <f t="shared" si="44"/>
        <v>3</v>
      </c>
      <c r="C644" s="64">
        <v>42454</v>
      </c>
      <c r="D644" s="320" t="s">
        <v>708</v>
      </c>
      <c r="E644" s="64">
        <v>42454</v>
      </c>
      <c r="F644" s="67" t="s">
        <v>1217</v>
      </c>
      <c r="G644" s="1000" t="s">
        <v>929</v>
      </c>
      <c r="H644" s="74"/>
      <c r="I644" s="447"/>
      <c r="J644" s="447"/>
      <c r="K644" s="438"/>
      <c r="L644" s="447"/>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x</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8"/>
    </row>
    <row r="645" spans="1:31" ht="15.75" hidden="1" customHeight="1">
      <c r="A645" s="343" t="str">
        <f>IF(B645&lt;&gt;"",IF(AND(B645='IN-TC'!$S$4,OR(TH!N645="1111",TH!O645="1111")),TH!D645,""),"")</f>
        <v/>
      </c>
      <c r="B645" s="63">
        <f t="shared" si="44"/>
        <v>3</v>
      </c>
      <c r="C645" s="64">
        <v>42454</v>
      </c>
      <c r="D645" s="320" t="s">
        <v>708</v>
      </c>
      <c r="E645" s="64">
        <v>42454</v>
      </c>
      <c r="F645" s="67" t="s">
        <v>1219</v>
      </c>
      <c r="G645" s="1000" t="s">
        <v>929</v>
      </c>
      <c r="H645" s="74"/>
      <c r="I645" s="447"/>
      <c r="J645" s="447"/>
      <c r="K645" s="438"/>
      <c r="L645" s="447"/>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x</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8"/>
    </row>
    <row r="646" spans="1:31" ht="15.75" hidden="1" customHeight="1">
      <c r="A646" s="343" t="str">
        <f>IF(B646&lt;&gt;"",IF(AND(B646='IN-TC'!$S$4,OR(TH!N646="1111",TH!O646="1111")),TH!D646,""),"")</f>
        <v/>
      </c>
      <c r="B646" s="63">
        <f t="shared" si="44"/>
        <v>3</v>
      </c>
      <c r="C646" s="64">
        <v>42454</v>
      </c>
      <c r="D646" s="320" t="s">
        <v>708</v>
      </c>
      <c r="E646" s="64">
        <v>42454</v>
      </c>
      <c r="F646" s="67" t="s">
        <v>1218</v>
      </c>
      <c r="G646" s="1000" t="s">
        <v>929</v>
      </c>
      <c r="H646" s="74"/>
      <c r="I646" s="447"/>
      <c r="J646" s="447"/>
      <c r="K646" s="438"/>
      <c r="L646" s="447"/>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x</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8"/>
    </row>
    <row r="647" spans="1:31" ht="15.75" hidden="1" customHeight="1">
      <c r="A647" s="343" t="str">
        <f>IF(B647&lt;&gt;"",IF(AND(B647='IN-TC'!$S$4,OR(TH!N647="1111",TH!O647="1111")),TH!D647,""),"")</f>
        <v/>
      </c>
      <c r="B647" s="63">
        <f t="shared" si="44"/>
        <v>3</v>
      </c>
      <c r="C647" s="320">
        <v>42454</v>
      </c>
      <c r="D647" s="320" t="s">
        <v>708</v>
      </c>
      <c r="E647" s="320">
        <v>42454</v>
      </c>
      <c r="F647" s="321" t="s">
        <v>1219</v>
      </c>
      <c r="G647" s="321" t="s">
        <v>929</v>
      </c>
      <c r="H647" s="322"/>
      <c r="I647" s="447"/>
      <c r="J647" s="447"/>
      <c r="K647" s="438"/>
      <c r="L647" s="447"/>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x</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hidden="1" customHeight="1">
      <c r="A648" s="343" t="str">
        <f>IF(B648&lt;&gt;"",IF(AND(B648='IN-TC'!$S$4,OR(TH!N648="1111",TH!O648="1111")),TH!D648,""),"")</f>
        <v/>
      </c>
      <c r="B648" s="63">
        <f t="shared" si="44"/>
        <v>3</v>
      </c>
      <c r="C648" s="320">
        <v>42454</v>
      </c>
      <c r="D648" s="320" t="s">
        <v>708</v>
      </c>
      <c r="E648" s="320">
        <v>42454</v>
      </c>
      <c r="F648" s="321" t="s">
        <v>1237</v>
      </c>
      <c r="G648" s="1000" t="s">
        <v>929</v>
      </c>
      <c r="H648" s="322"/>
      <c r="I648" s="447"/>
      <c r="J648" s="447"/>
      <c r="K648" s="438"/>
      <c r="L648" s="447"/>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x</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hidden="1" customHeight="1">
      <c r="A649" s="343" t="str">
        <f>IF(B649&lt;&gt;"",IF(AND(B649='IN-TC'!$S$4,OR(TH!N649="1111",TH!O649="1111")),TH!D649,""),"")</f>
        <v/>
      </c>
      <c r="B649" s="63">
        <f t="shared" si="44"/>
        <v>3</v>
      </c>
      <c r="C649" s="320">
        <v>42454</v>
      </c>
      <c r="D649" s="320" t="s">
        <v>708</v>
      </c>
      <c r="E649" s="320">
        <v>42454</v>
      </c>
      <c r="F649" s="321" t="s">
        <v>1219</v>
      </c>
      <c r="G649" s="1000" t="s">
        <v>929</v>
      </c>
      <c r="H649" s="322"/>
      <c r="I649" s="447"/>
      <c r="J649" s="447"/>
      <c r="K649" s="438"/>
      <c r="L649" s="447"/>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x</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hidden="1" customHeight="1">
      <c r="A650" s="343" t="str">
        <f>IF(B650&lt;&gt;"",IF(AND(B650='IN-TC'!$S$4,OR(TH!N650="1111",TH!O650="1111")),TH!D650,""),"")</f>
        <v/>
      </c>
      <c r="B650" s="63">
        <f t="shared" si="44"/>
        <v>3</v>
      </c>
      <c r="C650" s="64">
        <v>42456</v>
      </c>
      <c r="D650" s="320" t="s">
        <v>924</v>
      </c>
      <c r="E650" s="64">
        <v>42456</v>
      </c>
      <c r="F650" s="67" t="s">
        <v>780</v>
      </c>
      <c r="G650" s="67" t="s">
        <v>1364</v>
      </c>
      <c r="H650" s="7" t="s">
        <v>818</v>
      </c>
      <c r="I650" s="447"/>
      <c r="J650" s="447"/>
      <c r="K650" s="438"/>
      <c r="L650" s="447"/>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hidden="1" customHeight="1">
      <c r="A651" s="343" t="str">
        <f>IF(B651&lt;&gt;"",IF(AND(B651='IN-TC'!$S$4,OR(TH!N651="1111",TH!O651="1111")),TH!D651,""),"")</f>
        <v/>
      </c>
      <c r="B651" s="63">
        <f t="shared" si="44"/>
        <v>3</v>
      </c>
      <c r="C651" s="64">
        <v>42456</v>
      </c>
      <c r="D651" s="320" t="s">
        <v>924</v>
      </c>
      <c r="E651" s="64">
        <v>42456</v>
      </c>
      <c r="F651" s="67" t="s">
        <v>781</v>
      </c>
      <c r="G651" s="67" t="s">
        <v>1364</v>
      </c>
      <c r="H651" s="74" t="s">
        <v>818</v>
      </c>
      <c r="I651" s="447"/>
      <c r="J651" s="447"/>
      <c r="K651" s="438"/>
      <c r="L651" s="447"/>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hidden="1" customHeight="1">
      <c r="A652" s="343" t="str">
        <f>IF(B652&lt;&gt;"",IF(AND(B652='IN-TC'!$S$4,OR(TH!N652="1111",TH!O652="1111")),TH!D652,""),"")</f>
        <v/>
      </c>
      <c r="B652" s="63">
        <f t="shared" si="44"/>
        <v>3</v>
      </c>
      <c r="C652" s="64">
        <v>42457</v>
      </c>
      <c r="D652" s="320" t="s">
        <v>925</v>
      </c>
      <c r="E652" s="64">
        <v>42457</v>
      </c>
      <c r="F652" s="67" t="s">
        <v>1445</v>
      </c>
      <c r="G652" s="67" t="s">
        <v>1337</v>
      </c>
      <c r="H652" s="74" t="s">
        <v>849</v>
      </c>
      <c r="I652" s="447"/>
      <c r="J652" s="447"/>
      <c r="K652" s="438"/>
      <c r="L652" s="447"/>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hidden="1" customHeight="1">
      <c r="A653" s="343" t="str">
        <f>IF(B653&lt;&gt;"",IF(AND(B653='IN-TC'!$S$4,OR(TH!N653="1111",TH!O653="1111")),TH!D653,""),"")</f>
        <v/>
      </c>
      <c r="B653" s="63">
        <f t="shared" si="44"/>
        <v>3</v>
      </c>
      <c r="C653" s="64">
        <v>42457</v>
      </c>
      <c r="D653" s="320" t="s">
        <v>925</v>
      </c>
      <c r="E653" s="64">
        <v>42457</v>
      </c>
      <c r="F653" s="67" t="s">
        <v>1446</v>
      </c>
      <c r="G653" s="67" t="s">
        <v>1337</v>
      </c>
      <c r="H653" s="351" t="s">
        <v>849</v>
      </c>
      <c r="I653" s="449"/>
      <c r="J653" s="449"/>
      <c r="K653" s="440"/>
      <c r="L653" s="449"/>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hidden="1" customHeight="1">
      <c r="A654" s="343" t="str">
        <f>IF(B654&lt;&gt;"",IF(AND(B654='IN-TC'!$S$4,OR(TH!N654="1111",TH!O654="1111")),TH!D654,""),"")</f>
        <v/>
      </c>
      <c r="B654" s="63">
        <f t="shared" si="44"/>
        <v>3</v>
      </c>
      <c r="C654" s="64">
        <v>42457</v>
      </c>
      <c r="D654" s="320" t="s">
        <v>926</v>
      </c>
      <c r="E654" s="64">
        <v>42457</v>
      </c>
      <c r="F654" s="67" t="s">
        <v>789</v>
      </c>
      <c r="G654" s="67" t="s">
        <v>1365</v>
      </c>
      <c r="H654" s="74" t="s">
        <v>678</v>
      </c>
      <c r="I654" s="447"/>
      <c r="J654" s="447"/>
      <c r="K654" s="438"/>
      <c r="L654" s="447"/>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hidden="1" customHeight="1">
      <c r="A655" s="343" t="str">
        <f>IF(B655&lt;&gt;"",IF(AND(B655='IN-TC'!$S$4,OR(TH!N655="1111",TH!O655="1111")),TH!D655,""),"")</f>
        <v/>
      </c>
      <c r="B655" s="63">
        <f t="shared" si="44"/>
        <v>3</v>
      </c>
      <c r="C655" s="64">
        <v>42458</v>
      </c>
      <c r="D655" s="320" t="s">
        <v>975</v>
      </c>
      <c r="E655" s="64">
        <v>42458</v>
      </c>
      <c r="F655" s="67" t="s">
        <v>1125</v>
      </c>
      <c r="G655" s="67" t="s">
        <v>1366</v>
      </c>
      <c r="H655" s="74" t="s">
        <v>818</v>
      </c>
      <c r="I655" s="447"/>
      <c r="J655" s="447"/>
      <c r="K655" s="438"/>
      <c r="L655" s="447"/>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hidden="1" customHeight="1">
      <c r="A656" s="343" t="str">
        <f>IF(B656&lt;&gt;"",IF(AND(B656='IN-TC'!$S$4,OR(TH!N656="1111",TH!O656="1111")),TH!D656,""),"")</f>
        <v/>
      </c>
      <c r="B656" s="63">
        <f t="shared" si="44"/>
        <v>3</v>
      </c>
      <c r="C656" s="64">
        <v>42458</v>
      </c>
      <c r="D656" s="320" t="s">
        <v>975</v>
      </c>
      <c r="E656" s="64">
        <v>42458</v>
      </c>
      <c r="F656" s="67" t="s">
        <v>1359</v>
      </c>
      <c r="G656" s="67" t="s">
        <v>1366</v>
      </c>
      <c r="H656" s="74" t="s">
        <v>818</v>
      </c>
      <c r="I656" s="447"/>
      <c r="J656" s="447"/>
      <c r="K656" s="438"/>
      <c r="L656" s="447"/>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hidden="1" customHeight="1">
      <c r="A657" s="343" t="str">
        <f>IF(B657&lt;&gt;"",IF(AND(B657='IN-TC'!$S$4,OR(TH!N657="1111",TH!O657="1111")),TH!D657,""),"")</f>
        <v/>
      </c>
      <c r="B657" s="63">
        <f t="shared" si="44"/>
        <v>3</v>
      </c>
      <c r="C657" s="64">
        <v>42458</v>
      </c>
      <c r="D657" s="64" t="s">
        <v>705</v>
      </c>
      <c r="E657" s="64">
        <v>42458</v>
      </c>
      <c r="F657" s="67" t="s">
        <v>1212</v>
      </c>
      <c r="G657" s="67" t="s">
        <v>928</v>
      </c>
      <c r="H657" s="74" t="s">
        <v>602</v>
      </c>
      <c r="I657" s="447"/>
      <c r="J657" s="447"/>
      <c r="K657" s="438">
        <v>4930.13</v>
      </c>
      <c r="L657" s="447">
        <v>22280</v>
      </c>
      <c r="M657" s="65">
        <v>109843296</v>
      </c>
      <c r="N657" s="66" t="s">
        <v>267</v>
      </c>
      <c r="O657" s="66" t="s">
        <v>591</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x</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2" customFormat="1" ht="15.75" hidden="1" customHeight="1">
      <c r="A658" s="1183" t="str">
        <f>IF(B658&lt;&gt;"",IF(AND(B658='IN-TC'!$S$4,OR(TH!N658="1111",TH!O658="1111")),TH!D658,""),"")</f>
        <v/>
      </c>
      <c r="B658" s="1184">
        <f t="shared" si="44"/>
        <v>3</v>
      </c>
      <c r="C658" s="1185">
        <v>42458</v>
      </c>
      <c r="D658" s="1185" t="s">
        <v>585</v>
      </c>
      <c r="E658" s="1185">
        <v>42458</v>
      </c>
      <c r="F658" s="1186" t="s">
        <v>1082</v>
      </c>
      <c r="G658" s="1186" t="s">
        <v>928</v>
      </c>
      <c r="H658" s="74" t="s">
        <v>602</v>
      </c>
      <c r="I658" s="1187"/>
      <c r="J658" s="1187"/>
      <c r="K658" s="1188">
        <v>158.06</v>
      </c>
      <c r="L658" s="1187">
        <v>22280</v>
      </c>
      <c r="M658" s="1189">
        <v>3521577</v>
      </c>
      <c r="N658" s="1190" t="s">
        <v>101</v>
      </c>
      <c r="O658" s="1190" t="s">
        <v>591</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x</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2" customFormat="1" ht="15.75" hidden="1" customHeight="1">
      <c r="A659" s="1183" t="str">
        <f>IF(B659&lt;&gt;"",IF(AND(B659='IN-TC'!$S$4,OR(TH!N659="1111",TH!O659="1111")),TH!D659,""),"")</f>
        <v/>
      </c>
      <c r="B659" s="1184">
        <f t="shared" si="44"/>
        <v>3</v>
      </c>
      <c r="C659" s="1185">
        <v>42458</v>
      </c>
      <c r="D659" s="1185" t="s">
        <v>585</v>
      </c>
      <c r="E659" s="1185">
        <v>42458</v>
      </c>
      <c r="F659" s="1186" t="s">
        <v>1083</v>
      </c>
      <c r="G659" s="1191" t="s">
        <v>928</v>
      </c>
      <c r="H659" s="74" t="s">
        <v>602</v>
      </c>
      <c r="I659" s="1187"/>
      <c r="J659" s="1187"/>
      <c r="K659" s="1188">
        <v>15.81</v>
      </c>
      <c r="L659" s="1187">
        <v>22280</v>
      </c>
      <c r="M659" s="1189">
        <v>352247</v>
      </c>
      <c r="N659" s="1190" t="s">
        <v>9</v>
      </c>
      <c r="O659" s="1190" t="s">
        <v>591</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x</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2" customFormat="1" ht="15.75" hidden="1" customHeight="1">
      <c r="A660" s="1183" t="str">
        <f>IF(B660&lt;&gt;"",IF(AND(B660='IN-TC'!$S$4,OR(TH!N660="1111",TH!O660="1111")),TH!D660,""),"")</f>
        <v/>
      </c>
      <c r="B660" s="1184">
        <f>IF(C660&lt;&gt;"",MONTH(C660),"")</f>
        <v>3</v>
      </c>
      <c r="C660" s="1185">
        <v>42458</v>
      </c>
      <c r="D660" s="1185" t="s">
        <v>585</v>
      </c>
      <c r="E660" s="1185">
        <v>42458</v>
      </c>
      <c r="F660" s="1186" t="s">
        <v>1085</v>
      </c>
      <c r="G660" s="1191" t="s">
        <v>928</v>
      </c>
      <c r="H660" s="74" t="s">
        <v>602</v>
      </c>
      <c r="I660" s="1187"/>
      <c r="J660" s="1187"/>
      <c r="K660" s="1188">
        <v>171</v>
      </c>
      <c r="L660" s="1187">
        <v>22280</v>
      </c>
      <c r="M660" s="1189">
        <v>3809880</v>
      </c>
      <c r="N660" s="1190" t="s">
        <v>101</v>
      </c>
      <c r="O660" s="1190" t="s">
        <v>591</v>
      </c>
      <c r="P660" s="85"/>
      <c r="Q660" s="85"/>
      <c r="R660" s="85"/>
      <c r="S660" s="85"/>
      <c r="T660" s="85"/>
      <c r="U660" s="85"/>
      <c r="V660" s="85"/>
      <c r="W660" s="85"/>
      <c r="X660" s="85"/>
      <c r="Y660" s="85"/>
      <c r="Z660" s="85"/>
      <c r="AA660" s="85"/>
      <c r="AB660" s="85"/>
      <c r="AC660" s="85"/>
      <c r="AD660" s="85"/>
    </row>
    <row r="661" spans="1:30" s="354" customFormat="1" ht="15.75" hidden="1" customHeight="1">
      <c r="A661" s="343" t="str">
        <f>IF(B661&lt;&gt;"",IF(AND(B661='IN-TC'!$S$4,OR(TH!N661="1111",TH!O661="1111")),TH!D661,""),"")</f>
        <v/>
      </c>
      <c r="B661" s="1023">
        <f t="shared" si="44"/>
        <v>3</v>
      </c>
      <c r="C661" s="81">
        <v>42458</v>
      </c>
      <c r="D661" s="81" t="s">
        <v>585</v>
      </c>
      <c r="E661" s="81">
        <v>42458</v>
      </c>
      <c r="F661" s="82" t="s">
        <v>1079</v>
      </c>
      <c r="G661" s="1191" t="s">
        <v>928</v>
      </c>
      <c r="H661" s="74" t="s">
        <v>602</v>
      </c>
      <c r="I661" s="445"/>
      <c r="J661" s="445"/>
      <c r="K661" s="436"/>
      <c r="L661" s="445"/>
      <c r="M661" s="84">
        <v>4135875</v>
      </c>
      <c r="N661" s="1148" t="s">
        <v>591</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x</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hidden="1" customHeight="1">
      <c r="A662" s="343" t="str">
        <f>IF(B662&lt;&gt;"",IF(AND(B662='IN-TC'!$S$4,OR(TH!N662="1111",TH!O662="1111")),TH!D662,""),"")</f>
        <v/>
      </c>
      <c r="B662" s="63">
        <f t="shared" si="44"/>
        <v>3</v>
      </c>
      <c r="C662" s="64">
        <v>42458</v>
      </c>
      <c r="D662" s="64" t="s">
        <v>708</v>
      </c>
      <c r="E662" s="64">
        <v>42458</v>
      </c>
      <c r="F662" s="67" t="s">
        <v>1077</v>
      </c>
      <c r="G662" s="996" t="s">
        <v>928</v>
      </c>
      <c r="H662" s="74"/>
      <c r="I662" s="447"/>
      <c r="J662" s="447"/>
      <c r="K662" s="438">
        <v>136.25</v>
      </c>
      <c r="L662" s="447">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hidden="1" customHeight="1">
      <c r="A663" s="343" t="str">
        <f>IF(B663&lt;&gt;"",IF(AND(B663='IN-TC'!$S$4,OR(TH!N663="1111",TH!O663="1111")),TH!D663,""),"")</f>
        <v/>
      </c>
      <c r="B663" s="63">
        <f t="shared" si="44"/>
        <v>3</v>
      </c>
      <c r="C663" s="64">
        <v>42458</v>
      </c>
      <c r="D663" s="64" t="s">
        <v>708</v>
      </c>
      <c r="E663" s="64">
        <v>42458</v>
      </c>
      <c r="F663" s="67" t="s">
        <v>619</v>
      </c>
      <c r="G663" s="996" t="s">
        <v>928</v>
      </c>
      <c r="H663" s="74"/>
      <c r="I663" s="447"/>
      <c r="J663" s="447"/>
      <c r="K663" s="438">
        <v>5</v>
      </c>
      <c r="L663" s="447">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hidden="1" customHeight="1">
      <c r="A664" s="343" t="str">
        <f>IF(B664&lt;&gt;"",IF(AND(B664='IN-TC'!$S$4,OR(TH!N664="1111",TH!O664="1111")),TH!D664,""),"")</f>
        <v/>
      </c>
      <c r="B664" s="63">
        <f t="shared" si="44"/>
        <v>3</v>
      </c>
      <c r="C664" s="64">
        <v>42458</v>
      </c>
      <c r="D664" s="64" t="s">
        <v>708</v>
      </c>
      <c r="E664" s="64">
        <v>42458</v>
      </c>
      <c r="F664" s="67" t="s">
        <v>1213</v>
      </c>
      <c r="G664" s="996" t="s">
        <v>928</v>
      </c>
      <c r="H664" s="74"/>
      <c r="I664" s="447"/>
      <c r="J664" s="447"/>
      <c r="K664" s="438">
        <v>0.5</v>
      </c>
      <c r="L664" s="447">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3" customFormat="1" ht="15.75" hidden="1" customHeight="1">
      <c r="A665" s="343" t="str">
        <f>IF(B665&lt;&gt;"",IF(AND(B665='IN-TC'!$S$4,OR(TH!N665="1111",TH!O665="1111")),TH!D665,""),"")</f>
        <v/>
      </c>
      <c r="B665" s="1149">
        <f t="shared" ref="B665:B677" si="45">IF(C665&lt;&gt;"",MONTH(C665),"")</f>
        <v>3</v>
      </c>
      <c r="C665" s="989">
        <v>42458</v>
      </c>
      <c r="D665" s="989" t="s">
        <v>585</v>
      </c>
      <c r="E665" s="989">
        <v>42458</v>
      </c>
      <c r="F665" s="1150" t="s">
        <v>1367</v>
      </c>
      <c r="G665" s="994"/>
      <c r="H665" s="985"/>
      <c r="I665" s="986"/>
      <c r="J665" s="986"/>
      <c r="K665" s="987"/>
      <c r="L665" s="986"/>
      <c r="M665" s="1151">
        <v>3842009.4000008553</v>
      </c>
      <c r="N665" s="1152" t="s">
        <v>267</v>
      </c>
      <c r="O665" s="1152"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hidden="1" customHeight="1">
      <c r="A666" s="343" t="str">
        <f>IF(B666&lt;&gt;"",IF(AND(B666='IN-TC'!$S$4,OR(TH!N666="1111",TH!O666="1111")),TH!D666,""),"")</f>
        <v/>
      </c>
      <c r="B666" s="63">
        <f t="shared" si="45"/>
        <v>3</v>
      </c>
      <c r="C666" s="64">
        <v>42459</v>
      </c>
      <c r="D666" s="64" t="s">
        <v>976</v>
      </c>
      <c r="E666" s="64">
        <v>42459</v>
      </c>
      <c r="F666" s="67" t="s">
        <v>1118</v>
      </c>
      <c r="G666" s="996" t="s">
        <v>929</v>
      </c>
      <c r="H666" s="74" t="s">
        <v>772</v>
      </c>
      <c r="I666" s="447"/>
      <c r="J666" s="447"/>
      <c r="K666" s="438"/>
      <c r="L666" s="447"/>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x</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hidden="1" customHeight="1">
      <c r="A667" s="343" t="str">
        <f>IF(B667&lt;&gt;"",IF(AND(B667='IN-TC'!$S$4,OR(TH!N667="1111",TH!O667="1111")),TH!D667,""),"")</f>
        <v/>
      </c>
      <c r="B667" s="63">
        <f t="shared" si="45"/>
        <v>3</v>
      </c>
      <c r="C667" s="64">
        <v>42459</v>
      </c>
      <c r="D667" s="64" t="s">
        <v>977</v>
      </c>
      <c r="E667" s="64">
        <v>42459</v>
      </c>
      <c r="F667" s="67" t="s">
        <v>1027</v>
      </c>
      <c r="G667" s="996" t="s">
        <v>1336</v>
      </c>
      <c r="H667" s="74" t="s">
        <v>1053</v>
      </c>
      <c r="I667" s="447"/>
      <c r="J667" s="447"/>
      <c r="K667" s="438"/>
      <c r="L667" s="447"/>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hidden="1" customHeight="1">
      <c r="A668" s="343" t="str">
        <f>IF(B668&lt;&gt;"",IF(AND(B668='IN-TC'!$S$4,OR(TH!N668="1111",TH!O668="1111")),TH!D668,""),"")</f>
        <v/>
      </c>
      <c r="B668" s="63">
        <f t="shared" si="45"/>
        <v>3</v>
      </c>
      <c r="C668" s="64">
        <v>42459</v>
      </c>
      <c r="D668" s="64" t="s">
        <v>977</v>
      </c>
      <c r="E668" s="64">
        <v>42459</v>
      </c>
      <c r="F668" s="67" t="s">
        <v>1028</v>
      </c>
      <c r="G668" s="996" t="s">
        <v>1336</v>
      </c>
      <c r="H668" s="74" t="s">
        <v>1053</v>
      </c>
      <c r="I668" s="447"/>
      <c r="J668" s="447"/>
      <c r="K668" s="438"/>
      <c r="L668" s="447"/>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hidden="1" customHeight="1">
      <c r="A669" s="343" t="str">
        <f>IF(B669&lt;&gt;"",IF(AND(B669='IN-TC'!$S$4,OR(TH!N669="1111",TH!O669="1111")),TH!D669,""),"")</f>
        <v/>
      </c>
      <c r="B669" s="63">
        <f t="shared" si="45"/>
        <v>3</v>
      </c>
      <c r="C669" s="64">
        <v>42459</v>
      </c>
      <c r="D669" s="64" t="s">
        <v>708</v>
      </c>
      <c r="E669" s="64">
        <v>42459</v>
      </c>
      <c r="F669" s="67" t="s">
        <v>1238</v>
      </c>
      <c r="G669" s="996" t="s">
        <v>929</v>
      </c>
      <c r="H669" s="74" t="s">
        <v>635</v>
      </c>
      <c r="I669" s="447"/>
      <c r="J669" s="447"/>
      <c r="K669" s="438"/>
      <c r="L669" s="447"/>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x</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hidden="1" customHeight="1">
      <c r="A670" s="343" t="str">
        <f>IF(B670&lt;&gt;"",IF(AND(B670='IN-TC'!$S$4,OR(TH!N670="1111",TH!O670="1111")),TH!D670,""),"")</f>
        <v/>
      </c>
      <c r="B670" s="63">
        <f t="shared" si="45"/>
        <v>3</v>
      </c>
      <c r="C670" s="64">
        <v>42459</v>
      </c>
      <c r="D670" s="64" t="s">
        <v>708</v>
      </c>
      <c r="E670" s="64">
        <v>42459</v>
      </c>
      <c r="F670" s="67" t="s">
        <v>1214</v>
      </c>
      <c r="G670" s="996" t="s">
        <v>929</v>
      </c>
      <c r="H670" s="74"/>
      <c r="I670" s="447"/>
      <c r="J670" s="447"/>
      <c r="K670" s="438"/>
      <c r="L670" s="447"/>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x</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hidden="1" customHeight="1">
      <c r="A671" s="343" t="str">
        <f>IF(B671&lt;&gt;"",IF(AND(B671='IN-TC'!$S$4,OR(TH!N671="1111",TH!O671="1111")),TH!D671,""),"")</f>
        <v/>
      </c>
      <c r="B671" s="63">
        <f t="shared" si="45"/>
        <v>3</v>
      </c>
      <c r="C671" s="64">
        <v>42459</v>
      </c>
      <c r="D671" s="64" t="s">
        <v>708</v>
      </c>
      <c r="E671" s="64">
        <v>42459</v>
      </c>
      <c r="F671" s="67" t="s">
        <v>1215</v>
      </c>
      <c r="G671" s="996" t="s">
        <v>929</v>
      </c>
      <c r="H671" s="74"/>
      <c r="I671" s="447"/>
      <c r="J671" s="447"/>
      <c r="K671" s="438"/>
      <c r="L671" s="447"/>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x</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hidden="1" customHeight="1">
      <c r="A672" s="343" t="str">
        <f>IF(B672&lt;&gt;"",IF(AND(B672='IN-TC'!$S$4,OR(TH!N672="1111",TH!O672="1111")),TH!D672,""),"")</f>
        <v/>
      </c>
      <c r="B672" s="63">
        <f t="shared" si="45"/>
        <v>3</v>
      </c>
      <c r="C672" s="64">
        <v>42459</v>
      </c>
      <c r="D672" s="64" t="s">
        <v>978</v>
      </c>
      <c r="E672" s="64">
        <f>C672</f>
        <v>42459</v>
      </c>
      <c r="F672" s="67" t="s">
        <v>1371</v>
      </c>
      <c r="G672" s="996" t="s">
        <v>1369</v>
      </c>
      <c r="H672" s="7" t="s">
        <v>624</v>
      </c>
      <c r="I672" s="447"/>
      <c r="J672" s="447"/>
      <c r="K672" s="438"/>
      <c r="L672" s="447"/>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hidden="1" customHeight="1">
      <c r="A673" s="343" t="str">
        <f>IF(B673&lt;&gt;"",IF(AND(B673='IN-TC'!$S$4,OR(TH!N673="1111",TH!O673="1111")),TH!D673,""),"")</f>
        <v/>
      </c>
      <c r="B673" s="63">
        <f t="shared" si="45"/>
        <v>3</v>
      </c>
      <c r="C673" s="64">
        <v>42460</v>
      </c>
      <c r="D673" s="64" t="s">
        <v>979</v>
      </c>
      <c r="E673" s="64">
        <f>C673</f>
        <v>42460</v>
      </c>
      <c r="F673" s="67" t="s">
        <v>1376</v>
      </c>
      <c r="G673" s="996"/>
      <c r="H673" s="7" t="s">
        <v>1378</v>
      </c>
      <c r="I673" s="447"/>
      <c r="J673" s="447"/>
      <c r="K673" s="438"/>
      <c r="L673" s="447"/>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hidden="1" customHeight="1">
      <c r="A674" s="343" t="str">
        <f>IF(B674&lt;&gt;"",IF(AND(B674='IN-TC'!$S$4,OR(TH!N674="1111",TH!O674="1111")),TH!D674,""),"")</f>
        <v/>
      </c>
      <c r="B674" s="63">
        <f t="shared" si="45"/>
        <v>3</v>
      </c>
      <c r="C674" s="64">
        <v>42460</v>
      </c>
      <c r="D674" s="64" t="s">
        <v>979</v>
      </c>
      <c r="E674" s="64">
        <f>C674</f>
        <v>42460</v>
      </c>
      <c r="F674" s="67" t="s">
        <v>1377</v>
      </c>
      <c r="G674" s="996"/>
      <c r="H674" s="7" t="s">
        <v>1378</v>
      </c>
      <c r="I674" s="447"/>
      <c r="J674" s="447"/>
      <c r="K674" s="438"/>
      <c r="L674" s="447"/>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hidden="1" customHeight="1">
      <c r="A675" s="343" t="str">
        <f>IF(B675&lt;&gt;"",IF(AND(B675='IN-TC'!$S$4,OR(TH!N675="1111",TH!O675="1111")),TH!D675,""),"")</f>
        <v/>
      </c>
      <c r="B675" s="63">
        <f t="shared" si="45"/>
        <v>3</v>
      </c>
      <c r="C675" s="64">
        <v>42460</v>
      </c>
      <c r="D675" s="64" t="s">
        <v>1405</v>
      </c>
      <c r="E675" s="64">
        <f>C675</f>
        <v>42460</v>
      </c>
      <c r="F675" s="67" t="s">
        <v>1379</v>
      </c>
      <c r="G675" s="996" t="s">
        <v>1381</v>
      </c>
      <c r="H675" s="7" t="s">
        <v>1382</v>
      </c>
      <c r="I675" s="447"/>
      <c r="J675" s="447"/>
      <c r="K675" s="438"/>
      <c r="L675" s="447"/>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hidden="1" customHeight="1">
      <c r="A676" s="343" t="str">
        <f>IF(B676&lt;&gt;"",IF(AND(B676='IN-TC'!$S$4,OR(TH!N676="1111",TH!O676="1111")),TH!D676,""),"")</f>
        <v/>
      </c>
      <c r="B676" s="63">
        <f t="shared" si="45"/>
        <v>3</v>
      </c>
      <c r="C676" s="64">
        <v>42460</v>
      </c>
      <c r="D676" s="64" t="s">
        <v>1405</v>
      </c>
      <c r="E676" s="64">
        <f>C676</f>
        <v>42460</v>
      </c>
      <c r="F676" s="67" t="s">
        <v>1380</v>
      </c>
      <c r="G676" s="996" t="s">
        <v>1381</v>
      </c>
      <c r="H676" s="7" t="s">
        <v>1382</v>
      </c>
      <c r="I676" s="447"/>
      <c r="J676" s="447"/>
      <c r="K676" s="438"/>
      <c r="L676" s="447"/>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4" customFormat="1" ht="15.75" hidden="1" customHeight="1">
      <c r="A677" s="343" t="str">
        <f>IF(B677&lt;&gt;"",IF(AND(B677='IN-TC'!$S$4,OR(TH!N677="1111",TH!O677="1111")),TH!D677,""),"")</f>
        <v/>
      </c>
      <c r="B677" s="1023">
        <f t="shared" si="45"/>
        <v>3</v>
      </c>
      <c r="C677" s="81">
        <v>42460</v>
      </c>
      <c r="D677" s="64" t="s">
        <v>1406</v>
      </c>
      <c r="E677" s="81">
        <v>42460</v>
      </c>
      <c r="F677" s="82" t="s">
        <v>1239</v>
      </c>
      <c r="G677" s="999"/>
      <c r="H677" s="83" t="s">
        <v>859</v>
      </c>
      <c r="I677" s="445"/>
      <c r="J677" s="445"/>
      <c r="K677" s="436"/>
      <c r="L677" s="445"/>
      <c r="M677" s="84">
        <v>140728119</v>
      </c>
      <c r="N677" s="85" t="s">
        <v>595</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8" customFormat="1" ht="15.75" hidden="1" customHeight="1">
      <c r="A678" s="343" t="str">
        <f>IF(B678&lt;&gt;"",IF(AND(B678='IN-TC'!$S$4,OR(TH!N678="1111",TH!O678="1111")),TH!D678,""),"")</f>
        <v/>
      </c>
      <c r="B678" s="63">
        <f t="shared" ref="B678:B702" si="46">IF(C678&lt;&gt;"",MONTH(C678),"")</f>
        <v>1</v>
      </c>
      <c r="C678" s="64">
        <v>42400</v>
      </c>
      <c r="D678" s="64" t="s">
        <v>585</v>
      </c>
      <c r="E678" s="64">
        <v>42370</v>
      </c>
      <c r="F678" s="67" t="s">
        <v>638</v>
      </c>
      <c r="G678" s="67" t="s">
        <v>658</v>
      </c>
      <c r="H678" s="74" t="s">
        <v>634</v>
      </c>
      <c r="I678" s="447"/>
      <c r="J678" s="447"/>
      <c r="K678" s="438"/>
      <c r="L678" s="447"/>
      <c r="M678" s="65">
        <v>10134000</v>
      </c>
      <c r="N678" s="66" t="s">
        <v>594</v>
      </c>
      <c r="O678" s="66" t="s">
        <v>8</v>
      </c>
      <c r="P678" s="85" t="str">
        <f>IF(AND('331-CT'!$E$7=TH!H678,OR(N678="331",O678="331")),"x","")</f>
        <v>x</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8" customFormat="1" ht="15.75" hidden="1" customHeight="1">
      <c r="A679" s="343" t="str">
        <f>IF(B679&lt;&gt;"",IF(AND(B679='IN-TC'!$S$4,OR(TH!N679="1111",TH!O679="1111")),TH!D679,""),"")</f>
        <v/>
      </c>
      <c r="B679" s="63">
        <f t="shared" si="46"/>
        <v>1</v>
      </c>
      <c r="C679" s="64">
        <v>42400</v>
      </c>
      <c r="D679" s="64" t="s">
        <v>585</v>
      </c>
      <c r="E679" s="64">
        <v>42370</v>
      </c>
      <c r="F679" s="67" t="s">
        <v>639</v>
      </c>
      <c r="G679" s="67" t="s">
        <v>659</v>
      </c>
      <c r="H679" s="74" t="s">
        <v>634</v>
      </c>
      <c r="I679" s="447"/>
      <c r="J679" s="447"/>
      <c r="K679" s="438"/>
      <c r="L679" s="447"/>
      <c r="M679" s="65">
        <v>6823560</v>
      </c>
      <c r="N679" s="66" t="s">
        <v>594</v>
      </c>
      <c r="O679" s="66" t="s">
        <v>8</v>
      </c>
      <c r="P679" s="85" t="str">
        <f>IF(AND('331-CT'!$E$7=TH!H679,OR(N679="331",O679="331")),"x","")</f>
        <v>x</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8" customFormat="1" ht="15.75" hidden="1" customHeight="1">
      <c r="A680" s="343" t="str">
        <f>IF(B680&lt;&gt;"",IF(AND(B680='IN-TC'!$S$4,OR(TH!N680="1111",TH!O680="1111")),TH!D680,""),"")</f>
        <v/>
      </c>
      <c r="B680" s="63">
        <f t="shared" si="46"/>
        <v>1</v>
      </c>
      <c r="C680" s="64">
        <v>42400</v>
      </c>
      <c r="D680" s="64" t="s">
        <v>585</v>
      </c>
      <c r="E680" s="64">
        <v>42370</v>
      </c>
      <c r="F680" s="67" t="s">
        <v>640</v>
      </c>
      <c r="G680" s="67" t="s">
        <v>659</v>
      </c>
      <c r="H680" s="74" t="s">
        <v>634</v>
      </c>
      <c r="I680" s="447"/>
      <c r="J680" s="447"/>
      <c r="K680" s="438"/>
      <c r="L680" s="447"/>
      <c r="M680" s="65">
        <v>682356</v>
      </c>
      <c r="N680" s="66" t="s">
        <v>9</v>
      </c>
      <c r="O680" s="66" t="s">
        <v>8</v>
      </c>
      <c r="P680" s="85" t="str">
        <f>IF(AND('331-CT'!$E$7=TH!H680,OR(N680="331",O680="331")),"x","")</f>
        <v>x</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8" customFormat="1" ht="15.75" hidden="1" customHeight="1">
      <c r="A681" s="343" t="str">
        <f>IF(B681&lt;&gt;"",IF(AND(B681='IN-TC'!$S$4,OR(TH!N681="1111",TH!O681="1111")),TH!D681,""),"")</f>
        <v/>
      </c>
      <c r="B681" s="63">
        <f t="shared" si="46"/>
        <v>1</v>
      </c>
      <c r="C681" s="64">
        <v>42400</v>
      </c>
      <c r="D681" s="64" t="s">
        <v>585</v>
      </c>
      <c r="E681" s="64">
        <v>42369</v>
      </c>
      <c r="F681" s="67" t="s">
        <v>641</v>
      </c>
      <c r="G681" s="67" t="s">
        <v>660</v>
      </c>
      <c r="H681" s="74" t="s">
        <v>632</v>
      </c>
      <c r="I681" s="447"/>
      <c r="J681" s="447"/>
      <c r="K681" s="438"/>
      <c r="L681" s="447"/>
      <c r="M681" s="65">
        <v>4645000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8" customFormat="1" ht="15.75" hidden="1" customHeight="1">
      <c r="A682" s="343" t="str">
        <f>IF(B682&lt;&gt;"",IF(AND(B682='IN-TC'!$S$4,OR(TH!N682="1111",TH!O682="1111")),TH!D682,""),"")</f>
        <v/>
      </c>
      <c r="B682" s="63">
        <f t="shared" si="46"/>
        <v>1</v>
      </c>
      <c r="C682" s="64">
        <v>42400</v>
      </c>
      <c r="D682" s="64" t="s">
        <v>585</v>
      </c>
      <c r="E682" s="64">
        <v>42369</v>
      </c>
      <c r="F682" s="67" t="s">
        <v>641</v>
      </c>
      <c r="G682" s="67" t="s">
        <v>661</v>
      </c>
      <c r="H682" s="74" t="s">
        <v>632</v>
      </c>
      <c r="I682" s="447"/>
      <c r="J682" s="447"/>
      <c r="K682" s="438"/>
      <c r="L682" s="447"/>
      <c r="M682" s="65">
        <v>1300000</v>
      </c>
      <c r="N682" s="66" t="s">
        <v>594</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8" customFormat="1" ht="15.75" hidden="1" customHeight="1">
      <c r="A683" s="343" t="str">
        <f>IF(B683&lt;&gt;"",IF(AND(B683='IN-TC'!$S$4,OR(TH!N683="1111",TH!O683="1111")),TH!D683,""),"")</f>
        <v/>
      </c>
      <c r="B683" s="63">
        <f t="shared" si="46"/>
        <v>1</v>
      </c>
      <c r="C683" s="64">
        <v>42400</v>
      </c>
      <c r="D683" s="64" t="s">
        <v>585</v>
      </c>
      <c r="E683" s="64">
        <v>42380</v>
      </c>
      <c r="F683" s="67" t="s">
        <v>642</v>
      </c>
      <c r="G683" s="67" t="s">
        <v>662</v>
      </c>
      <c r="H683" s="74" t="s">
        <v>633</v>
      </c>
      <c r="I683" s="447"/>
      <c r="J683" s="447"/>
      <c r="K683" s="438"/>
      <c r="L683" s="447"/>
      <c r="M683" s="65">
        <v>2000000</v>
      </c>
      <c r="N683" s="66" t="s">
        <v>594</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8" customFormat="1" ht="15.75" hidden="1" customHeight="1">
      <c r="A684" s="343" t="str">
        <f>IF(B684&lt;&gt;"",IF(AND(B684='IN-TC'!$S$4,OR(TH!N684="1111",TH!O684="1111")),TH!D684,""),"")</f>
        <v/>
      </c>
      <c r="B684" s="63">
        <f t="shared" si="46"/>
        <v>1</v>
      </c>
      <c r="C684" s="64">
        <v>42400</v>
      </c>
      <c r="D684" s="64" t="s">
        <v>585</v>
      </c>
      <c r="E684" s="64">
        <v>42380</v>
      </c>
      <c r="F684" s="67" t="s">
        <v>643</v>
      </c>
      <c r="G684" s="67" t="s">
        <v>662</v>
      </c>
      <c r="H684" s="74" t="s">
        <v>633</v>
      </c>
      <c r="I684" s="447"/>
      <c r="J684" s="447"/>
      <c r="K684" s="438"/>
      <c r="L684" s="447"/>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8" customFormat="1" ht="15.75" hidden="1" customHeight="1">
      <c r="A685" s="343" t="str">
        <f>IF(B685&lt;&gt;"",IF(AND(B685='IN-TC'!$S$4,OR(TH!N685="1111",TH!O685="1111")),TH!D685,""),"")</f>
        <v/>
      </c>
      <c r="B685" s="63">
        <f t="shared" si="46"/>
        <v>1</v>
      </c>
      <c r="C685" s="64">
        <v>42400</v>
      </c>
      <c r="D685" s="64" t="s">
        <v>585</v>
      </c>
      <c r="E685" s="64">
        <v>42381</v>
      </c>
      <c r="F685" s="67" t="s">
        <v>642</v>
      </c>
      <c r="G685" s="67" t="s">
        <v>663</v>
      </c>
      <c r="H685" s="74" t="s">
        <v>633</v>
      </c>
      <c r="I685" s="447"/>
      <c r="J685" s="447"/>
      <c r="K685" s="438"/>
      <c r="L685" s="447"/>
      <c r="M685" s="65">
        <v>2000000</v>
      </c>
      <c r="N685" s="66" t="s">
        <v>594</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8" customFormat="1" ht="15.75" hidden="1" customHeight="1">
      <c r="A686" s="343" t="str">
        <f>IF(B686&lt;&gt;"",IF(AND(B686='IN-TC'!$S$4,OR(TH!N686="1111",TH!O686="1111")),TH!D686,""),"")</f>
        <v/>
      </c>
      <c r="B686" s="63">
        <f t="shared" si="46"/>
        <v>1</v>
      </c>
      <c r="C686" s="64">
        <v>42400</v>
      </c>
      <c r="D686" s="64" t="s">
        <v>585</v>
      </c>
      <c r="E686" s="64">
        <v>42381</v>
      </c>
      <c r="F686" s="67" t="s">
        <v>643</v>
      </c>
      <c r="G686" s="67" t="s">
        <v>663</v>
      </c>
      <c r="H686" s="74" t="s">
        <v>633</v>
      </c>
      <c r="I686" s="447"/>
      <c r="J686" s="447"/>
      <c r="K686" s="438"/>
      <c r="L686" s="447"/>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8" customFormat="1" ht="15.75" hidden="1" customHeight="1">
      <c r="A687" s="343" t="str">
        <f>IF(B687&lt;&gt;"",IF(AND(B687='IN-TC'!$S$4,OR(TH!N687="1111",TH!O687="1111")),TH!D687,""),"")</f>
        <v/>
      </c>
      <c r="B687" s="63">
        <f t="shared" si="46"/>
        <v>1</v>
      </c>
      <c r="C687" s="64">
        <v>42400</v>
      </c>
      <c r="D687" s="64" t="s">
        <v>585</v>
      </c>
      <c r="E687" s="64">
        <v>42394</v>
      </c>
      <c r="F687" s="67" t="s">
        <v>642</v>
      </c>
      <c r="G687" s="67" t="s">
        <v>664</v>
      </c>
      <c r="H687" s="74" t="s">
        <v>633</v>
      </c>
      <c r="I687" s="447"/>
      <c r="J687" s="447"/>
      <c r="K687" s="438"/>
      <c r="L687" s="447"/>
      <c r="M687" s="65">
        <v>1818182</v>
      </c>
      <c r="N687" s="66" t="s">
        <v>594</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8" customFormat="1" ht="15.75" hidden="1" customHeight="1">
      <c r="A688" s="343" t="str">
        <f>IF(B688&lt;&gt;"",IF(AND(B688='IN-TC'!$S$4,OR(TH!N688="1111",TH!O688="1111")),TH!D688,""),"")</f>
        <v/>
      </c>
      <c r="B688" s="63">
        <f t="shared" si="46"/>
        <v>1</v>
      </c>
      <c r="C688" s="64">
        <v>42400</v>
      </c>
      <c r="D688" s="64" t="s">
        <v>585</v>
      </c>
      <c r="E688" s="64">
        <v>42394</v>
      </c>
      <c r="F688" s="67" t="s">
        <v>643</v>
      </c>
      <c r="G688" s="67" t="s">
        <v>664</v>
      </c>
      <c r="H688" s="74" t="s">
        <v>633</v>
      </c>
      <c r="I688" s="447"/>
      <c r="J688" s="447"/>
      <c r="K688" s="438"/>
      <c r="L688" s="447"/>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8" customFormat="1" ht="15.75" hidden="1" customHeight="1">
      <c r="A689" s="343" t="str">
        <f>IF(B689&lt;&gt;"",IF(AND(B689='IN-TC'!$S$4,OR(TH!N689="1111",TH!O689="1111")),TH!D689,""),"")</f>
        <v/>
      </c>
      <c r="B689" s="63">
        <f t="shared" si="46"/>
        <v>1</v>
      </c>
      <c r="C689" s="64">
        <v>42400</v>
      </c>
      <c r="D689" s="64" t="s">
        <v>585</v>
      </c>
      <c r="E689" s="64">
        <v>42398</v>
      </c>
      <c r="F689" s="67" t="s">
        <v>638</v>
      </c>
      <c r="G689" s="67" t="s">
        <v>665</v>
      </c>
      <c r="H689" s="74" t="s">
        <v>634</v>
      </c>
      <c r="I689" s="447"/>
      <c r="J689" s="447"/>
      <c r="K689" s="438"/>
      <c r="L689" s="447"/>
      <c r="M689" s="65">
        <v>11135000</v>
      </c>
      <c r="N689" s="66" t="s">
        <v>594</v>
      </c>
      <c r="O689" s="66" t="s">
        <v>8</v>
      </c>
      <c r="P689" s="85" t="str">
        <f>IF(AND('331-CT'!$E$7=TH!H689,OR(N689="331",O689="331")),"x","")</f>
        <v>x</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8" customFormat="1" ht="15.75" hidden="1" customHeight="1">
      <c r="A690" s="343" t="str">
        <f>IF(B690&lt;&gt;"",IF(AND(B690='IN-TC'!$S$4,OR(TH!N690="1111",TH!O690="1111")),TH!D690,""),"")</f>
        <v/>
      </c>
      <c r="B690" s="63">
        <f t="shared" si="46"/>
        <v>1</v>
      </c>
      <c r="C690" s="64">
        <v>42400</v>
      </c>
      <c r="D690" s="64" t="s">
        <v>585</v>
      </c>
      <c r="E690" s="64">
        <v>42398</v>
      </c>
      <c r="F690" s="67" t="s">
        <v>644</v>
      </c>
      <c r="G690" s="67" t="s">
        <v>666</v>
      </c>
      <c r="H690" s="74" t="s">
        <v>634</v>
      </c>
      <c r="I690" s="447"/>
      <c r="J690" s="447"/>
      <c r="K690" s="438"/>
      <c r="L690" s="447"/>
      <c r="M690" s="65">
        <v>5077560</v>
      </c>
      <c r="N690" s="68" t="s">
        <v>594</v>
      </c>
      <c r="O690" s="66" t="s">
        <v>8</v>
      </c>
      <c r="P690" s="85" t="str">
        <f>IF(AND('331-CT'!$E$7=TH!H690,OR(N690="331",O690="331")),"x","")</f>
        <v>x</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8" customFormat="1" ht="15.75" hidden="1" customHeight="1">
      <c r="A691" s="343" t="str">
        <f>IF(B691&lt;&gt;"",IF(AND(B691='IN-TC'!$S$4,OR(TH!N691="1111",TH!O691="1111")),TH!D691,""),"")</f>
        <v/>
      </c>
      <c r="B691" s="63">
        <f t="shared" si="46"/>
        <v>1</v>
      </c>
      <c r="C691" s="64">
        <v>42400</v>
      </c>
      <c r="D691" s="64" t="s">
        <v>585</v>
      </c>
      <c r="E691" s="64">
        <v>42398</v>
      </c>
      <c r="F691" s="67" t="s">
        <v>645</v>
      </c>
      <c r="G691" s="67" t="s">
        <v>666</v>
      </c>
      <c r="H691" s="74" t="s">
        <v>634</v>
      </c>
      <c r="I691" s="447"/>
      <c r="J691" s="447"/>
      <c r="K691" s="438"/>
      <c r="L691" s="447"/>
      <c r="M691" s="65">
        <v>507756</v>
      </c>
      <c r="N691" s="66" t="s">
        <v>9</v>
      </c>
      <c r="O691" s="66" t="s">
        <v>8</v>
      </c>
      <c r="P691" s="85" t="str">
        <f>IF(AND('331-CT'!$E$7=TH!H691,OR(N691="331",O691="331")),"x","")</f>
        <v>x</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8" customFormat="1" ht="15.75" hidden="1" customHeight="1">
      <c r="A692" s="343" t="str">
        <f>IF(B692&lt;&gt;"",IF(AND(B692='IN-TC'!$S$4,OR(TH!N692="1111",TH!O692="1111")),TH!D692,""),"")</f>
        <v/>
      </c>
      <c r="B692" s="63">
        <f t="shared" si="46"/>
        <v>1</v>
      </c>
      <c r="C692" s="64">
        <v>42400</v>
      </c>
      <c r="D692" s="64" t="s">
        <v>585</v>
      </c>
      <c r="E692" s="64">
        <v>42398</v>
      </c>
      <c r="F692" s="67" t="s">
        <v>638</v>
      </c>
      <c r="G692" s="67" t="s">
        <v>667</v>
      </c>
      <c r="H692" s="74" t="s">
        <v>634</v>
      </c>
      <c r="I692" s="447"/>
      <c r="J692" s="447"/>
      <c r="K692" s="438"/>
      <c r="L692" s="447"/>
      <c r="M692" s="65">
        <v>23383500</v>
      </c>
      <c r="N692" s="66" t="s">
        <v>594</v>
      </c>
      <c r="O692" s="66" t="s">
        <v>8</v>
      </c>
      <c r="P692" s="85" t="str">
        <f>IF(AND('331-CT'!$E$7=TH!H692,OR(N692="331",O692="331")),"x","")</f>
        <v>x</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8" customFormat="1" ht="15.75" hidden="1" customHeight="1">
      <c r="A693" s="343" t="str">
        <f>IF(B693&lt;&gt;"",IF(AND(B693='IN-TC'!$S$4,OR(TH!N693="1111",TH!O693="1111")),TH!D693,""),"")</f>
        <v/>
      </c>
      <c r="B693" s="63">
        <f t="shared" si="46"/>
        <v>1</v>
      </c>
      <c r="C693" s="64">
        <v>42400</v>
      </c>
      <c r="D693" s="64" t="s">
        <v>585</v>
      </c>
      <c r="E693" s="64">
        <v>42398</v>
      </c>
      <c r="F693" s="67" t="s">
        <v>639</v>
      </c>
      <c r="G693" s="67" t="s">
        <v>668</v>
      </c>
      <c r="H693" s="74" t="s">
        <v>634</v>
      </c>
      <c r="I693" s="447"/>
      <c r="J693" s="447"/>
      <c r="K693" s="438"/>
      <c r="L693" s="447"/>
      <c r="M693" s="65">
        <v>6413760</v>
      </c>
      <c r="N693" s="68" t="s">
        <v>594</v>
      </c>
      <c r="O693" s="66" t="s">
        <v>8</v>
      </c>
      <c r="P693" s="85" t="str">
        <f>IF(AND('331-CT'!$E$7=TH!H693,OR(N693="331",O693="331")),"x","")</f>
        <v>x</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8" customFormat="1" ht="15.75" hidden="1" customHeight="1">
      <c r="A694" s="343" t="str">
        <f>IF(B694&lt;&gt;"",IF(AND(B694='IN-TC'!$S$4,OR(TH!N694="1111",TH!O694="1111")),TH!D694,""),"")</f>
        <v/>
      </c>
      <c r="B694" s="63">
        <f t="shared" si="46"/>
        <v>1</v>
      </c>
      <c r="C694" s="64">
        <v>42400</v>
      </c>
      <c r="D694" s="64" t="s">
        <v>585</v>
      </c>
      <c r="E694" s="64">
        <v>42398</v>
      </c>
      <c r="F694" s="67" t="s">
        <v>640</v>
      </c>
      <c r="G694" s="67" t="s">
        <v>668</v>
      </c>
      <c r="H694" s="74" t="s">
        <v>634</v>
      </c>
      <c r="I694" s="447"/>
      <c r="J694" s="447"/>
      <c r="K694" s="438"/>
      <c r="L694" s="447"/>
      <c r="M694" s="65">
        <v>641376</v>
      </c>
      <c r="N694" s="68" t="s">
        <v>9</v>
      </c>
      <c r="O694" s="66" t="s">
        <v>8</v>
      </c>
      <c r="P694" s="85" t="str">
        <f>IF(AND('331-CT'!$E$7=TH!H694,OR(N694="331",O694="331")),"x","")</f>
        <v>x</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8" customFormat="1" ht="15.75" hidden="1" customHeight="1">
      <c r="A695" s="343" t="str">
        <f>IF(B695&lt;&gt;"",IF(AND(B695='IN-TC'!$S$4,OR(TH!N695="1111",TH!O695="1111")),TH!D695,""),"")</f>
        <v/>
      </c>
      <c r="B695" s="63">
        <f t="shared" si="46"/>
        <v>1</v>
      </c>
      <c r="C695" s="64">
        <v>42400</v>
      </c>
      <c r="D695" s="64" t="s">
        <v>585</v>
      </c>
      <c r="E695" s="64">
        <v>42400</v>
      </c>
      <c r="F695" s="67" t="s">
        <v>642</v>
      </c>
      <c r="G695" s="67" t="s">
        <v>669</v>
      </c>
      <c r="H695" s="74" t="s">
        <v>633</v>
      </c>
      <c r="I695" s="447"/>
      <c r="J695" s="447"/>
      <c r="K695" s="438"/>
      <c r="L695" s="447"/>
      <c r="M695" s="65">
        <v>2000000</v>
      </c>
      <c r="N695" s="66" t="s">
        <v>594</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8" customFormat="1" ht="15.75" hidden="1" customHeight="1">
      <c r="A696" s="343" t="str">
        <f>IF(B696&lt;&gt;"",IF(AND(B696='IN-TC'!$S$4,OR(TH!N696="1111",TH!O696="1111")),TH!D696,""),"")</f>
        <v/>
      </c>
      <c r="B696" s="63">
        <f t="shared" si="46"/>
        <v>1</v>
      </c>
      <c r="C696" s="64">
        <v>42400</v>
      </c>
      <c r="D696" s="64" t="s">
        <v>585</v>
      </c>
      <c r="E696" s="64">
        <v>42400</v>
      </c>
      <c r="F696" s="67" t="s">
        <v>643</v>
      </c>
      <c r="G696" s="67" t="s">
        <v>669</v>
      </c>
      <c r="H696" s="74" t="s">
        <v>633</v>
      </c>
      <c r="I696" s="447"/>
      <c r="J696" s="447"/>
      <c r="K696" s="438"/>
      <c r="L696" s="447"/>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8" customFormat="1" ht="15.75" hidden="1" customHeight="1">
      <c r="A697" s="343" t="str">
        <f>IF(B697&lt;&gt;"",IF(AND(B697='IN-TC'!$S$4,OR(TH!N697="1111",TH!O697="1111")),TH!D697,""),"")</f>
        <v/>
      </c>
      <c r="B697" s="63">
        <f t="shared" si="46"/>
        <v>1</v>
      </c>
      <c r="C697" s="64">
        <v>42400</v>
      </c>
      <c r="D697" s="64" t="s">
        <v>585</v>
      </c>
      <c r="E697" s="64">
        <v>42375</v>
      </c>
      <c r="F697" s="67" t="s">
        <v>646</v>
      </c>
      <c r="G697" s="996" t="s">
        <v>670</v>
      </c>
      <c r="H697" s="74" t="s">
        <v>635</v>
      </c>
      <c r="I697" s="447"/>
      <c r="J697" s="447"/>
      <c r="K697" s="438"/>
      <c r="L697" s="447"/>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8" customFormat="1" ht="15.75" hidden="1" customHeight="1">
      <c r="A698" s="343" t="str">
        <f>IF(B698&lt;&gt;"",IF(AND(B698='IN-TC'!$S$4,OR(TH!N698="1111",TH!O698="1111")),TH!D698,""),"")</f>
        <v/>
      </c>
      <c r="B698" s="63">
        <f t="shared" si="46"/>
        <v>1</v>
      </c>
      <c r="C698" s="64">
        <v>42400</v>
      </c>
      <c r="D698" s="64" t="s">
        <v>585</v>
      </c>
      <c r="E698" s="64">
        <v>42375</v>
      </c>
      <c r="F698" s="67" t="s">
        <v>647</v>
      </c>
      <c r="G698" s="996" t="s">
        <v>670</v>
      </c>
      <c r="H698" s="74" t="s">
        <v>635</v>
      </c>
      <c r="I698" s="447"/>
      <c r="J698" s="447"/>
      <c r="K698" s="438"/>
      <c r="L698" s="447"/>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8" customFormat="1" ht="15.75" hidden="1" customHeight="1">
      <c r="A699" s="343" t="str">
        <f>IF(B699&lt;&gt;"",IF(AND(B699='IN-TC'!$S$4,OR(TH!N699="1111",TH!O699="1111")),TH!D699,""),"")</f>
        <v/>
      </c>
      <c r="B699" s="63">
        <f t="shared" si="46"/>
        <v>1</v>
      </c>
      <c r="C699" s="64">
        <v>42400</v>
      </c>
      <c r="D699" s="64" t="s">
        <v>585</v>
      </c>
      <c r="E699" s="64">
        <v>42385</v>
      </c>
      <c r="F699" s="67" t="s">
        <v>648</v>
      </c>
      <c r="G699" s="67" t="s">
        <v>671</v>
      </c>
      <c r="H699" s="74" t="s">
        <v>635</v>
      </c>
      <c r="I699" s="447"/>
      <c r="J699" s="447"/>
      <c r="K699" s="438"/>
      <c r="L699" s="447"/>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8" customFormat="1" ht="15.75" hidden="1" customHeight="1">
      <c r="A700" s="343" t="str">
        <f>IF(B700&lt;&gt;"",IF(AND(B700='IN-TC'!$S$4,OR(TH!N700="1111",TH!O700="1111")),TH!D700,""),"")</f>
        <v/>
      </c>
      <c r="B700" s="63">
        <f t="shared" si="46"/>
        <v>1</v>
      </c>
      <c r="C700" s="64">
        <v>42400</v>
      </c>
      <c r="D700" s="64" t="s">
        <v>585</v>
      </c>
      <c r="E700" s="64">
        <v>42385</v>
      </c>
      <c r="F700" s="67" t="s">
        <v>649</v>
      </c>
      <c r="G700" s="67" t="s">
        <v>671</v>
      </c>
      <c r="H700" s="74" t="s">
        <v>635</v>
      </c>
      <c r="I700" s="447"/>
      <c r="J700" s="447"/>
      <c r="K700" s="438"/>
      <c r="L700" s="447"/>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8" customFormat="1" ht="15.75" hidden="1" customHeight="1">
      <c r="A701" s="343" t="str">
        <f>IF(B701&lt;&gt;"",IF(AND(B701='IN-TC'!$S$4,OR(TH!N701="1111",TH!O701="1111")),TH!D701,""),"")</f>
        <v/>
      </c>
      <c r="B701" s="63">
        <f t="shared" si="46"/>
        <v>1</v>
      </c>
      <c r="C701" s="64">
        <v>42400</v>
      </c>
      <c r="D701" s="64" t="s">
        <v>585</v>
      </c>
      <c r="E701" s="64">
        <v>42395</v>
      </c>
      <c r="F701" s="67" t="s">
        <v>650</v>
      </c>
      <c r="G701" s="67" t="s">
        <v>672</v>
      </c>
      <c r="H701" s="74" t="s">
        <v>635</v>
      </c>
      <c r="I701" s="447"/>
      <c r="J701" s="447"/>
      <c r="K701" s="438"/>
      <c r="L701" s="447"/>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8" customFormat="1" ht="15.75" hidden="1" customHeight="1">
      <c r="A702" s="343" t="str">
        <f>IF(B702&lt;&gt;"",IF(AND(B702='IN-TC'!$S$4,OR(TH!N702="1111",TH!O702="1111")),TH!D702,""),"")</f>
        <v/>
      </c>
      <c r="B702" s="63">
        <f t="shared" si="46"/>
        <v>1</v>
      </c>
      <c r="C702" s="64">
        <v>42400</v>
      </c>
      <c r="D702" s="64" t="s">
        <v>585</v>
      </c>
      <c r="E702" s="64">
        <v>42395</v>
      </c>
      <c r="F702" s="67" t="s">
        <v>651</v>
      </c>
      <c r="G702" s="996" t="s">
        <v>672</v>
      </c>
      <c r="H702" s="74" t="s">
        <v>635</v>
      </c>
      <c r="I702" s="447"/>
      <c r="J702" s="447"/>
      <c r="K702" s="438"/>
      <c r="L702" s="447"/>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hidden="1" customHeight="1">
      <c r="A703" s="343" t="str">
        <f>IF(B703&lt;&gt;"",IF(AND(B703='IN-TC'!$S$4,OR(TH!N703="1111",TH!O703="1111")),TH!D703,""),"")</f>
        <v/>
      </c>
      <c r="B703" s="63">
        <f t="shared" ref="B703:B713" si="47">IF(C703&lt;&gt;"",MONTH(C703),"")</f>
        <v>2</v>
      </c>
      <c r="C703" s="320">
        <v>42429</v>
      </c>
      <c r="D703" s="320" t="s">
        <v>585</v>
      </c>
      <c r="E703" s="320">
        <v>42407</v>
      </c>
      <c r="F703" s="321" t="s">
        <v>638</v>
      </c>
      <c r="G703" s="1000" t="s">
        <v>1086</v>
      </c>
      <c r="H703" s="322" t="s">
        <v>634</v>
      </c>
      <c r="I703" s="447"/>
      <c r="J703" s="447"/>
      <c r="K703" s="438"/>
      <c r="L703" s="447"/>
      <c r="M703" s="65">
        <v>11175000</v>
      </c>
      <c r="N703" s="323" t="s">
        <v>594</v>
      </c>
      <c r="O703" s="323" t="s">
        <v>8</v>
      </c>
      <c r="P703" s="85" t="str">
        <f>IF(AND('331-CT'!$E$7=TH!H703,OR(N703="331",O703="331")),"x","")</f>
        <v>x</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hidden="1" customHeight="1">
      <c r="A704" s="343" t="str">
        <f>IF(B704&lt;&gt;"",IF(AND(B704='IN-TC'!$S$4,OR(TH!N704="1111",TH!O704="1111")),TH!D704,""),"")</f>
        <v/>
      </c>
      <c r="B704" s="63">
        <f t="shared" si="47"/>
        <v>2</v>
      </c>
      <c r="C704" s="320">
        <v>42429</v>
      </c>
      <c r="D704" s="320" t="s">
        <v>585</v>
      </c>
      <c r="E704" s="320">
        <v>42407</v>
      </c>
      <c r="F704" s="321" t="s">
        <v>1092</v>
      </c>
      <c r="G704" s="1000" t="s">
        <v>1087</v>
      </c>
      <c r="H704" s="322" t="s">
        <v>634</v>
      </c>
      <c r="I704" s="447"/>
      <c r="J704" s="447"/>
      <c r="K704" s="438"/>
      <c r="L704" s="447"/>
      <c r="M704" s="65">
        <v>5319300</v>
      </c>
      <c r="N704" s="323" t="s">
        <v>594</v>
      </c>
      <c r="O704" s="323" t="s">
        <v>8</v>
      </c>
      <c r="P704" s="85" t="str">
        <f>IF(AND('331-CT'!$E$7=TH!H704,OR(N704="331",O704="331")),"x","")</f>
        <v>x</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hidden="1" customHeight="1">
      <c r="A705" s="343" t="str">
        <f>IF(B705&lt;&gt;"",IF(AND(B705='IN-TC'!$S$4,OR(TH!N705="1111",TH!O705="1111")),TH!D705,""),"")</f>
        <v/>
      </c>
      <c r="B705" s="63">
        <f t="shared" si="47"/>
        <v>2</v>
      </c>
      <c r="C705" s="320">
        <v>42429</v>
      </c>
      <c r="D705" s="320" t="s">
        <v>585</v>
      </c>
      <c r="E705" s="320">
        <v>42407</v>
      </c>
      <c r="F705" s="321" t="s">
        <v>1093</v>
      </c>
      <c r="G705" s="1000" t="s">
        <v>1087</v>
      </c>
      <c r="H705" s="322" t="s">
        <v>634</v>
      </c>
      <c r="I705" s="447"/>
      <c r="J705" s="447"/>
      <c r="K705" s="438"/>
      <c r="L705" s="447"/>
      <c r="M705" s="65">
        <v>531930</v>
      </c>
      <c r="N705" s="323" t="s">
        <v>9</v>
      </c>
      <c r="O705" s="323" t="s">
        <v>8</v>
      </c>
      <c r="P705" s="85" t="str">
        <f>IF(AND('331-CT'!$E$7=TH!H705,OR(N705="331",O705="331")),"x","")</f>
        <v>x</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hidden="1" customHeight="1">
      <c r="A706" s="343" t="str">
        <f>IF(B706&lt;&gt;"",IF(AND(B706='IN-TC'!$S$4,OR(TH!N706="1111",TH!O706="1111")),TH!D706,""),"")</f>
        <v/>
      </c>
      <c r="B706" s="63">
        <f t="shared" si="47"/>
        <v>2</v>
      </c>
      <c r="C706" s="320">
        <v>42429</v>
      </c>
      <c r="D706" s="320" t="s">
        <v>585</v>
      </c>
      <c r="E706" s="320">
        <v>42429</v>
      </c>
      <c r="F706" s="321" t="s">
        <v>642</v>
      </c>
      <c r="G706" s="1000" t="s">
        <v>1088</v>
      </c>
      <c r="H706" s="322" t="s">
        <v>633</v>
      </c>
      <c r="I706" s="447"/>
      <c r="J706" s="447"/>
      <c r="K706" s="438"/>
      <c r="L706" s="447"/>
      <c r="M706" s="65">
        <v>2000000</v>
      </c>
      <c r="N706" s="323" t="s">
        <v>594</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hidden="1" customHeight="1">
      <c r="A707" s="343" t="str">
        <f>IF(B707&lt;&gt;"",IF(AND(B707='IN-TC'!$S$4,OR(TH!N707="1111",TH!O707="1111")),TH!D707,""),"")</f>
        <v/>
      </c>
      <c r="B707" s="63">
        <f t="shared" si="47"/>
        <v>2</v>
      </c>
      <c r="C707" s="320">
        <v>42429</v>
      </c>
      <c r="D707" s="320" t="s">
        <v>585</v>
      </c>
      <c r="E707" s="320">
        <v>42429</v>
      </c>
      <c r="F707" s="321" t="s">
        <v>643</v>
      </c>
      <c r="G707" s="1000" t="s">
        <v>1088</v>
      </c>
      <c r="H707" s="322" t="s">
        <v>633</v>
      </c>
      <c r="I707" s="447"/>
      <c r="J707" s="447"/>
      <c r="K707" s="438"/>
      <c r="L707" s="447"/>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hidden="1" customHeight="1">
      <c r="A708" s="343" t="str">
        <f>IF(B708&lt;&gt;"",IF(AND(B708='IN-TC'!$S$4,OR(TH!N708="1111",TH!O708="1111")),TH!D708,""),"")</f>
        <v/>
      </c>
      <c r="B708" s="63">
        <f t="shared" si="47"/>
        <v>2</v>
      </c>
      <c r="C708" s="320">
        <v>42429</v>
      </c>
      <c r="D708" s="320" t="s">
        <v>585</v>
      </c>
      <c r="E708" s="320">
        <v>42406</v>
      </c>
      <c r="F708" s="321" t="s">
        <v>1094</v>
      </c>
      <c r="G708" s="1000" t="s">
        <v>1089</v>
      </c>
      <c r="H708" s="322" t="s">
        <v>635</v>
      </c>
      <c r="I708" s="447"/>
      <c r="J708" s="447"/>
      <c r="K708" s="438"/>
      <c r="L708" s="447"/>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hidden="1" customHeight="1">
      <c r="A709" s="343" t="str">
        <f>IF(B709&lt;&gt;"",IF(AND(B709='IN-TC'!$S$4,OR(TH!N709="1111",TH!O709="1111")),TH!D709,""),"")</f>
        <v/>
      </c>
      <c r="B709" s="63">
        <f t="shared" si="47"/>
        <v>2</v>
      </c>
      <c r="C709" s="320">
        <v>42429</v>
      </c>
      <c r="D709" s="320" t="s">
        <v>585</v>
      </c>
      <c r="E709" s="320">
        <v>42406</v>
      </c>
      <c r="F709" s="321" t="s">
        <v>1095</v>
      </c>
      <c r="G709" s="1000" t="s">
        <v>1089</v>
      </c>
      <c r="H709" s="322" t="s">
        <v>635</v>
      </c>
      <c r="I709" s="447"/>
      <c r="J709" s="447"/>
      <c r="K709" s="438"/>
      <c r="L709" s="447"/>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hidden="1" customHeight="1">
      <c r="A710" s="343" t="str">
        <f>IF(B710&lt;&gt;"",IF(AND(B710='IN-TC'!$S$4,OR(TH!N710="1111",TH!O710="1111")),TH!D710,""),"")</f>
        <v/>
      </c>
      <c r="B710" s="63">
        <f t="shared" si="47"/>
        <v>2</v>
      </c>
      <c r="C710" s="320">
        <v>42429</v>
      </c>
      <c r="D710" s="320" t="s">
        <v>585</v>
      </c>
      <c r="E710" s="320">
        <v>42426</v>
      </c>
      <c r="F710" s="321" t="s">
        <v>1098</v>
      </c>
      <c r="G710" s="1000" t="s">
        <v>1116</v>
      </c>
      <c r="H710" s="322" t="s">
        <v>635</v>
      </c>
      <c r="I710" s="447"/>
      <c r="J710" s="447"/>
      <c r="K710" s="438"/>
      <c r="L710" s="447"/>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hidden="1" customHeight="1">
      <c r="A711" s="343" t="str">
        <f>IF(B711&lt;&gt;"",IF(AND(B711='IN-TC'!$S$4,OR(TH!N711="1111",TH!O711="1111")),TH!D711,""),"")</f>
        <v/>
      </c>
      <c r="B711" s="63">
        <f t="shared" si="47"/>
        <v>2</v>
      </c>
      <c r="C711" s="320">
        <v>42429</v>
      </c>
      <c r="D711" s="320" t="s">
        <v>585</v>
      </c>
      <c r="E711" s="320">
        <v>42426</v>
      </c>
      <c r="F711" s="321" t="s">
        <v>1099</v>
      </c>
      <c r="G711" s="1000" t="s">
        <v>1116</v>
      </c>
      <c r="H711" s="322" t="s">
        <v>635</v>
      </c>
      <c r="I711" s="447"/>
      <c r="J711" s="447"/>
      <c r="K711" s="438"/>
      <c r="L711" s="447"/>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hidden="1" customHeight="1">
      <c r="A712" s="343" t="str">
        <f>IF(B712&lt;&gt;"",IF(AND(B712='IN-TC'!$S$4,OR(TH!N712="1111",TH!O712="1111")),TH!D712,""),"")</f>
        <v/>
      </c>
      <c r="B712" s="63">
        <f t="shared" si="47"/>
        <v>2</v>
      </c>
      <c r="C712" s="320">
        <v>42429</v>
      </c>
      <c r="D712" s="320" t="s">
        <v>585</v>
      </c>
      <c r="E712" s="320">
        <v>42384</v>
      </c>
      <c r="F712" s="321" t="s">
        <v>1100</v>
      </c>
      <c r="G712" s="321" t="s">
        <v>1091</v>
      </c>
      <c r="H712" s="322" t="s">
        <v>636</v>
      </c>
      <c r="I712" s="447"/>
      <c r="J712" s="447"/>
      <c r="K712" s="438"/>
      <c r="L712" s="447"/>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hidden="1" customHeight="1">
      <c r="A713" s="343" t="str">
        <f>IF(B713&lt;&gt;"",IF(AND(B713='IN-TC'!$S$4,OR(TH!N713="1111",TH!O713="1111")),TH!D713,""),"")</f>
        <v/>
      </c>
      <c r="B713" s="63">
        <f t="shared" si="47"/>
        <v>2</v>
      </c>
      <c r="C713" s="320">
        <v>42429</v>
      </c>
      <c r="D713" s="320" t="s">
        <v>585</v>
      </c>
      <c r="E713" s="320">
        <v>42384</v>
      </c>
      <c r="F713" s="321" t="s">
        <v>1101</v>
      </c>
      <c r="G713" s="321" t="s">
        <v>1091</v>
      </c>
      <c r="H713" s="322" t="s">
        <v>636</v>
      </c>
      <c r="I713" s="447"/>
      <c r="J713" s="447"/>
      <c r="K713" s="438"/>
      <c r="L713" s="447"/>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hidden="1" customHeight="1">
      <c r="A714" s="343" t="str">
        <f>IF(B714&lt;&gt;"",IF(AND(B714='IN-TC'!$S$4,OR(TH!N714="1111",TH!O714="1111")),TH!D714,""),"")</f>
        <v/>
      </c>
      <c r="B714" s="63">
        <f t="shared" ref="B714:B729" si="48">IF(C714&lt;&gt;"",MONTH(C714),"")</f>
        <v>3</v>
      </c>
      <c r="C714" s="320">
        <v>42460</v>
      </c>
      <c r="D714" s="320" t="s">
        <v>585</v>
      </c>
      <c r="E714" s="320">
        <v>42426</v>
      </c>
      <c r="F714" s="321" t="s">
        <v>1158</v>
      </c>
      <c r="G714" s="1000" t="s">
        <v>1160</v>
      </c>
      <c r="H714" s="322" t="s">
        <v>635</v>
      </c>
      <c r="I714" s="447"/>
      <c r="J714" s="447"/>
      <c r="K714" s="438"/>
      <c r="L714" s="447"/>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hidden="1" customHeight="1">
      <c r="A715" s="343" t="str">
        <f>IF(B715&lt;&gt;"",IF(AND(B715='IN-TC'!$S$4,OR(TH!N715="1111",TH!O715="1111")),TH!D715,""),"")</f>
        <v/>
      </c>
      <c r="B715" s="63">
        <f t="shared" si="48"/>
        <v>3</v>
      </c>
      <c r="C715" s="320">
        <v>42460</v>
      </c>
      <c r="D715" s="320" t="s">
        <v>585</v>
      </c>
      <c r="E715" s="320">
        <v>42426</v>
      </c>
      <c r="F715" s="321" t="s">
        <v>1159</v>
      </c>
      <c r="G715" s="1000" t="s">
        <v>1160</v>
      </c>
      <c r="H715" s="322" t="s">
        <v>635</v>
      </c>
      <c r="I715" s="447"/>
      <c r="J715" s="447"/>
      <c r="K715" s="438"/>
      <c r="L715" s="447"/>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hidden="1" customHeight="1">
      <c r="A716" s="343" t="str">
        <f>IF(B716&lt;&gt;"",IF(AND(B716='IN-TC'!$S$4,OR(TH!N716="1111",TH!O716="1111")),TH!D716,""),"")</f>
        <v/>
      </c>
      <c r="B716" s="63">
        <f t="shared" si="48"/>
        <v>3</v>
      </c>
      <c r="C716" s="320">
        <v>42460</v>
      </c>
      <c r="D716" s="320" t="s">
        <v>585</v>
      </c>
      <c r="E716" s="320">
        <v>42436</v>
      </c>
      <c r="F716" s="321" t="s">
        <v>1177</v>
      </c>
      <c r="G716" s="1000" t="s">
        <v>1407</v>
      </c>
      <c r="H716" s="322" t="s">
        <v>635</v>
      </c>
      <c r="I716" s="447"/>
      <c r="J716" s="447"/>
      <c r="K716" s="438"/>
      <c r="L716" s="447"/>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hidden="1" customHeight="1">
      <c r="A717" s="343" t="str">
        <f>IF(B717&lt;&gt;"",IF(AND(B717='IN-TC'!$S$4,OR(TH!N717="1111",TH!O717="1111")),TH!D717,""),"")</f>
        <v/>
      </c>
      <c r="B717" s="63">
        <f t="shared" si="48"/>
        <v>3</v>
      </c>
      <c r="C717" s="320">
        <v>42460</v>
      </c>
      <c r="D717" s="320" t="s">
        <v>585</v>
      </c>
      <c r="E717" s="320">
        <v>42436</v>
      </c>
      <c r="F717" s="321" t="s">
        <v>1178</v>
      </c>
      <c r="G717" s="1000" t="s">
        <v>1407</v>
      </c>
      <c r="H717" s="322" t="s">
        <v>635</v>
      </c>
      <c r="I717" s="447"/>
      <c r="J717" s="447"/>
      <c r="K717" s="438"/>
      <c r="L717" s="447"/>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hidden="1" customHeight="1">
      <c r="A718" s="343" t="str">
        <f>IF(B718&lt;&gt;"",IF(AND(B718='IN-TC'!$S$4,OR(TH!N718="1111",TH!O718="1111")),TH!D718,""),"")</f>
        <v/>
      </c>
      <c r="B718" s="63">
        <f t="shared" si="48"/>
        <v>3</v>
      </c>
      <c r="C718" s="320">
        <v>42460</v>
      </c>
      <c r="D718" s="320" t="s">
        <v>585</v>
      </c>
      <c r="E718" s="320">
        <v>42445</v>
      </c>
      <c r="F718" s="321" t="s">
        <v>1179</v>
      </c>
      <c r="G718" s="1000" t="s">
        <v>1409</v>
      </c>
      <c r="H718" s="322" t="s">
        <v>635</v>
      </c>
      <c r="I718" s="447"/>
      <c r="J718" s="447"/>
      <c r="K718" s="438"/>
      <c r="L718" s="447"/>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hidden="1" customHeight="1">
      <c r="A719" s="343" t="str">
        <f>IF(B719&lt;&gt;"",IF(AND(B719='IN-TC'!$S$4,OR(TH!N719="1111",TH!O719="1111")),TH!D719,""),"")</f>
        <v/>
      </c>
      <c r="B719" s="63">
        <f t="shared" si="48"/>
        <v>3</v>
      </c>
      <c r="C719" s="320">
        <v>42460</v>
      </c>
      <c r="D719" s="320" t="s">
        <v>585</v>
      </c>
      <c r="E719" s="320">
        <v>42445</v>
      </c>
      <c r="F719" s="321" t="s">
        <v>1180</v>
      </c>
      <c r="G719" s="1000" t="s">
        <v>1409</v>
      </c>
      <c r="H719" s="322" t="s">
        <v>635</v>
      </c>
      <c r="I719" s="447"/>
      <c r="J719" s="447"/>
      <c r="K719" s="438"/>
      <c r="L719" s="447"/>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hidden="1" customHeight="1">
      <c r="A720" s="343" t="str">
        <f>IF(B720&lt;&gt;"",IF(AND(B720='IN-TC'!$S$4,OR(TH!N720="1111",TH!O720="1111")),TH!D720,""),"")</f>
        <v/>
      </c>
      <c r="B720" s="63">
        <f t="shared" si="48"/>
        <v>3</v>
      </c>
      <c r="C720" s="320">
        <v>42460</v>
      </c>
      <c r="D720" s="320" t="s">
        <v>585</v>
      </c>
      <c r="E720" s="320">
        <v>42455</v>
      </c>
      <c r="F720" s="321" t="s">
        <v>1181</v>
      </c>
      <c r="G720" s="1000" t="s">
        <v>1408</v>
      </c>
      <c r="H720" s="322" t="s">
        <v>635</v>
      </c>
      <c r="I720" s="447"/>
      <c r="J720" s="447"/>
      <c r="K720" s="438"/>
      <c r="L720" s="447"/>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hidden="1" customHeight="1">
      <c r="A721" s="343" t="str">
        <f>IF(B721&lt;&gt;"",IF(AND(B721='IN-TC'!$S$4,OR(TH!N721="1111",TH!O721="1111")),TH!D721,""),"")</f>
        <v/>
      </c>
      <c r="B721" s="63">
        <f t="shared" si="48"/>
        <v>3</v>
      </c>
      <c r="C721" s="320">
        <v>42460</v>
      </c>
      <c r="D721" s="320" t="s">
        <v>585</v>
      </c>
      <c r="E721" s="320">
        <v>42455</v>
      </c>
      <c r="F721" s="321" t="s">
        <v>1182</v>
      </c>
      <c r="G721" s="1000" t="s">
        <v>1408</v>
      </c>
      <c r="H721" s="322" t="s">
        <v>635</v>
      </c>
      <c r="I721" s="447"/>
      <c r="J721" s="447"/>
      <c r="K721" s="438"/>
      <c r="L721" s="447"/>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hidden="1" customHeight="1">
      <c r="A722" s="343" t="str">
        <f>IF(B722&lt;&gt;"",IF(AND(B722='IN-TC'!$S$4,OR(TH!N722="1111",TH!O722="1111")),TH!D722,""),"")</f>
        <v/>
      </c>
      <c r="B722" s="63">
        <f t="shared" si="48"/>
        <v>3</v>
      </c>
      <c r="C722" s="320">
        <v>42460</v>
      </c>
      <c r="D722" s="320" t="s">
        <v>585</v>
      </c>
      <c r="E722" s="64">
        <v>42447</v>
      </c>
      <c r="F722" s="67" t="s">
        <v>1183</v>
      </c>
      <c r="G722" s="996" t="s">
        <v>1185</v>
      </c>
      <c r="H722" s="74" t="s">
        <v>1186</v>
      </c>
      <c r="I722" s="447"/>
      <c r="J722" s="447"/>
      <c r="K722" s="438"/>
      <c r="L722" s="447"/>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hidden="1" customHeight="1">
      <c r="A723" s="343" t="str">
        <f>IF(B723&lt;&gt;"",IF(AND(B723='IN-TC'!$S$4,OR(TH!N723="1111",TH!O723="1111")),TH!D723,""),"")</f>
        <v/>
      </c>
      <c r="B723" s="63">
        <f t="shared" si="48"/>
        <v>3</v>
      </c>
      <c r="C723" s="320">
        <v>42460</v>
      </c>
      <c r="D723" s="320" t="s">
        <v>585</v>
      </c>
      <c r="E723" s="64">
        <v>42447</v>
      </c>
      <c r="F723" s="67" t="s">
        <v>1184</v>
      </c>
      <c r="G723" s="996" t="s">
        <v>1185</v>
      </c>
      <c r="H723" s="74" t="s">
        <v>1186</v>
      </c>
      <c r="I723" s="447"/>
      <c r="J723" s="447"/>
      <c r="K723" s="438"/>
      <c r="L723" s="447"/>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hidden="1" customHeight="1">
      <c r="A724" s="343" t="str">
        <f>IF(B724&lt;&gt;"",IF(AND(B724='IN-TC'!$S$4,OR(TH!N724="1111",TH!O724="1111")),TH!D724,""),"")</f>
        <v/>
      </c>
      <c r="B724" s="63">
        <f>IF(C724&lt;&gt;"",MONTH(C724),"")</f>
        <v>3</v>
      </c>
      <c r="C724" s="320">
        <v>42460</v>
      </c>
      <c r="D724" s="320" t="s">
        <v>585</v>
      </c>
      <c r="E724" s="64">
        <v>42454</v>
      </c>
      <c r="F724" s="67" t="s">
        <v>1447</v>
      </c>
      <c r="G724" s="996"/>
      <c r="H724" s="74" t="s">
        <v>1448</v>
      </c>
      <c r="I724" s="447"/>
      <c r="J724" s="447"/>
      <c r="K724" s="438"/>
      <c r="L724" s="447"/>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hidden="1" customHeight="1">
      <c r="A725" s="343" t="str">
        <f>IF(B725&lt;&gt;"",IF(AND(B725='IN-TC'!$S$4,OR(TH!N725="1111",TH!O725="1111")),TH!D725,""),"")</f>
        <v/>
      </c>
      <c r="B725" s="63">
        <f t="shared" si="48"/>
        <v>3</v>
      </c>
      <c r="C725" s="320">
        <v>42460</v>
      </c>
      <c r="D725" s="320" t="s">
        <v>585</v>
      </c>
      <c r="E725" s="64">
        <v>42369</v>
      </c>
      <c r="F725" s="67" t="s">
        <v>641</v>
      </c>
      <c r="G725" s="996" t="s">
        <v>1188</v>
      </c>
      <c r="H725" s="76" t="s">
        <v>632</v>
      </c>
      <c r="I725" s="447"/>
      <c r="J725" s="447"/>
      <c r="K725" s="438"/>
      <c r="L725" s="447"/>
      <c r="M725" s="65">
        <v>480000</v>
      </c>
      <c r="N725" s="66" t="s">
        <v>594</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hidden="1" customHeight="1">
      <c r="A726" s="343" t="str">
        <f>IF(B726&lt;&gt;"",IF(AND(B726='IN-TC'!$S$4,OR(TH!N726="1111",TH!O726="1111")),TH!D726,""),"")</f>
        <v/>
      </c>
      <c r="B726" s="63">
        <f t="shared" si="48"/>
        <v>3</v>
      </c>
      <c r="C726" s="320">
        <v>42460</v>
      </c>
      <c r="D726" s="320" t="s">
        <v>585</v>
      </c>
      <c r="E726" s="64">
        <v>42369</v>
      </c>
      <c r="F726" s="67" t="s">
        <v>1187</v>
      </c>
      <c r="G726" s="996" t="s">
        <v>1189</v>
      </c>
      <c r="H726" s="76" t="s">
        <v>632</v>
      </c>
      <c r="I726" s="447"/>
      <c r="J726" s="447"/>
      <c r="K726" s="438"/>
      <c r="L726" s="447"/>
      <c r="M726" s="65">
        <v>5737000</v>
      </c>
      <c r="N726" s="66" t="s">
        <v>594</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hidden="1" customHeight="1">
      <c r="A727" s="343" t="str">
        <f>IF(B727&lt;&gt;"",IF(AND(B727='IN-TC'!$S$4,OR(TH!N727="1111",TH!O727="1111")),TH!D727,""),"")</f>
        <v/>
      </c>
      <c r="B727" s="63">
        <f t="shared" si="48"/>
        <v>3</v>
      </c>
      <c r="C727" s="320">
        <v>42460</v>
      </c>
      <c r="D727" s="320" t="s">
        <v>585</v>
      </c>
      <c r="E727" s="320">
        <v>42445</v>
      </c>
      <c r="F727" s="67" t="s">
        <v>778</v>
      </c>
      <c r="G727" s="996" t="s">
        <v>1151</v>
      </c>
      <c r="H727" s="322" t="s">
        <v>1150</v>
      </c>
      <c r="I727" s="447"/>
      <c r="J727" s="447"/>
      <c r="K727" s="438"/>
      <c r="L727" s="447"/>
      <c r="M727" s="65">
        <v>10528000</v>
      </c>
      <c r="N727" s="66" t="s">
        <v>594</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hidden="1" customHeight="1">
      <c r="A728" s="343" t="str">
        <f>IF(B728&lt;&gt;"",IF(AND(B728='IN-TC'!$S$4,OR(TH!N728="1111",TH!O728="1111")),TH!D728,""),"")</f>
        <v/>
      </c>
      <c r="B728" s="63">
        <f t="shared" si="48"/>
        <v>3</v>
      </c>
      <c r="C728" s="320">
        <v>42460</v>
      </c>
      <c r="D728" s="320" t="s">
        <v>585</v>
      </c>
      <c r="E728" s="320">
        <v>42445</v>
      </c>
      <c r="F728" s="321" t="s">
        <v>1147</v>
      </c>
      <c r="G728" s="1000" t="s">
        <v>1149</v>
      </c>
      <c r="H728" s="322" t="s">
        <v>1150</v>
      </c>
      <c r="I728" s="447"/>
      <c r="J728" s="447"/>
      <c r="K728" s="438"/>
      <c r="L728" s="447"/>
      <c r="M728" s="65">
        <v>5219200</v>
      </c>
      <c r="N728" s="323" t="s">
        <v>594</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hidden="1" customHeight="1">
      <c r="A729" s="343" t="str">
        <f>IF(B729&lt;&gt;"",IF(AND(B729='IN-TC'!$S$4,OR(TH!N729="1111",TH!O729="1111")),TH!D729,""),"")</f>
        <v/>
      </c>
      <c r="B729" s="63">
        <f t="shared" si="48"/>
        <v>3</v>
      </c>
      <c r="C729" s="320">
        <v>42460</v>
      </c>
      <c r="D729" s="320" t="s">
        <v>585</v>
      </c>
      <c r="E729" s="320">
        <v>42445</v>
      </c>
      <c r="F729" s="321" t="s">
        <v>1148</v>
      </c>
      <c r="G729" s="1000" t="s">
        <v>1149</v>
      </c>
      <c r="H729" s="322" t="s">
        <v>1150</v>
      </c>
      <c r="I729" s="447"/>
      <c r="J729" s="447"/>
      <c r="K729" s="438"/>
      <c r="L729" s="447"/>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7" customFormat="1" ht="15.75" hidden="1" customHeight="1">
      <c r="A730" s="1165" t="str">
        <f>IF(B730&lt;&gt;"",IF(AND(B730='IN-TC'!$S$4,OR(TH!N730="1111",TH!O730="1111")),TH!D730,""),"")</f>
        <v/>
      </c>
      <c r="B730" s="1166">
        <f>IF(C730&lt;&gt;"",MONTH(C730),"")</f>
        <v>3</v>
      </c>
      <c r="C730" s="1167">
        <v>42460</v>
      </c>
      <c r="D730" s="1167" t="s">
        <v>585</v>
      </c>
      <c r="E730" s="1167">
        <f>C730</f>
        <v>42460</v>
      </c>
      <c r="F730" s="1168" t="s">
        <v>1374</v>
      </c>
      <c r="G730" s="1169"/>
      <c r="H730" s="1170" t="s">
        <v>1375</v>
      </c>
      <c r="I730" s="453"/>
      <c r="J730" s="453"/>
      <c r="K730" s="444"/>
      <c r="L730" s="453"/>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hidden="1" customHeight="1">
      <c r="A731" s="343" t="str">
        <f>IF(B731&lt;&gt;"",IF(AND(B731='IN-TC'!$S$4,OR(TH!N731="1111",TH!O731="1111")),TH!D731,""),"")</f>
        <v/>
      </c>
      <c r="B731" s="63">
        <f t="shared" ref="B731:B739" si="49">IF(C731&lt;&gt;"",MONTH(C731),"")</f>
        <v>1</v>
      </c>
      <c r="C731" s="81">
        <f>E731</f>
        <v>42400</v>
      </c>
      <c r="D731" s="81" t="s">
        <v>972</v>
      </c>
      <c r="E731" s="81">
        <v>42400</v>
      </c>
      <c r="F731" s="82" t="s">
        <v>959</v>
      </c>
      <c r="G731" s="82" t="s">
        <v>345</v>
      </c>
      <c r="H731" s="83" t="s">
        <v>429</v>
      </c>
      <c r="I731" s="445"/>
      <c r="J731" s="445"/>
      <c r="K731" s="436"/>
      <c r="L731" s="445"/>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hidden="1" customHeight="1">
      <c r="A732" s="343" t="str">
        <f>IF(B732&lt;&gt;"",IF(AND(B732='IN-TC'!$S$4,OR(TH!N732="1111",TH!O732="1111")),TH!D732,""),"")</f>
        <v/>
      </c>
      <c r="B732" s="63">
        <f t="shared" si="49"/>
        <v>1</v>
      </c>
      <c r="C732" s="81">
        <f t="shared" ref="C732:C738" si="50">E732</f>
        <v>42400</v>
      </c>
      <c r="D732" s="81" t="s">
        <v>972</v>
      </c>
      <c r="E732" s="81">
        <v>42400</v>
      </c>
      <c r="F732" s="82" t="s">
        <v>959</v>
      </c>
      <c r="G732" s="82" t="s">
        <v>345</v>
      </c>
      <c r="H732" s="83" t="s">
        <v>432</v>
      </c>
      <c r="I732" s="445"/>
      <c r="J732" s="445"/>
      <c r="K732" s="436"/>
      <c r="L732" s="445"/>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hidden="1" customHeight="1">
      <c r="A733" s="343" t="str">
        <f>IF(B733&lt;&gt;"",IF(AND(B733='IN-TC'!$S$4,OR(TH!N733="1111",TH!O733="1111")),TH!D733,""),"")</f>
        <v/>
      </c>
      <c r="B733" s="63">
        <f t="shared" si="49"/>
        <v>1</v>
      </c>
      <c r="C733" s="81">
        <f t="shared" si="50"/>
        <v>42400</v>
      </c>
      <c r="D733" s="81" t="s">
        <v>972</v>
      </c>
      <c r="E733" s="81">
        <v>42400</v>
      </c>
      <c r="F733" s="82" t="s">
        <v>959</v>
      </c>
      <c r="G733" s="82" t="s">
        <v>345</v>
      </c>
      <c r="H733" s="83" t="s">
        <v>434</v>
      </c>
      <c r="I733" s="445"/>
      <c r="J733" s="445"/>
      <c r="K733" s="436"/>
      <c r="L733" s="445"/>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hidden="1" customHeight="1">
      <c r="A734" s="343" t="str">
        <f>IF(B734&lt;&gt;"",IF(AND(B734='IN-TC'!$S$4,OR(TH!N734="1111",TH!O734="1111")),TH!D734,""),"")</f>
        <v/>
      </c>
      <c r="B734" s="63">
        <f t="shared" si="49"/>
        <v>1</v>
      </c>
      <c r="C734" s="81">
        <f t="shared" si="50"/>
        <v>42400</v>
      </c>
      <c r="D734" s="81" t="s">
        <v>972</v>
      </c>
      <c r="E734" s="81">
        <v>42400</v>
      </c>
      <c r="F734" s="82" t="s">
        <v>959</v>
      </c>
      <c r="G734" s="82" t="s">
        <v>345</v>
      </c>
      <c r="H734" s="83" t="s">
        <v>436</v>
      </c>
      <c r="I734" s="445"/>
      <c r="J734" s="445"/>
      <c r="K734" s="436"/>
      <c r="L734" s="445"/>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hidden="1" customHeight="1">
      <c r="A735" s="343" t="str">
        <f>IF(B735&lt;&gt;"",IF(AND(B735='IN-TC'!$S$4,OR(TH!N735="1111",TH!O735="1111")),TH!D735,""),"")</f>
        <v/>
      </c>
      <c r="B735" s="63">
        <f t="shared" si="49"/>
        <v>1</v>
      </c>
      <c r="C735" s="81">
        <f t="shared" si="50"/>
        <v>42400</v>
      </c>
      <c r="D735" s="81" t="s">
        <v>972</v>
      </c>
      <c r="E735" s="81">
        <v>42400</v>
      </c>
      <c r="F735" s="82" t="s">
        <v>959</v>
      </c>
      <c r="G735" s="82" t="s">
        <v>345</v>
      </c>
      <c r="H735" s="83" t="s">
        <v>438</v>
      </c>
      <c r="I735" s="445"/>
      <c r="J735" s="445"/>
      <c r="K735" s="436"/>
      <c r="L735" s="445"/>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hidden="1" customHeight="1">
      <c r="A736" s="343" t="str">
        <f>IF(B736&lt;&gt;"",IF(AND(B736='IN-TC'!$S$4,OR(TH!N736="1111",TH!O736="1111")),TH!D736,""),"")</f>
        <v/>
      </c>
      <c r="B736" s="63">
        <f t="shared" si="49"/>
        <v>1</v>
      </c>
      <c r="C736" s="81">
        <f t="shared" si="50"/>
        <v>42400</v>
      </c>
      <c r="D736" s="81" t="s">
        <v>972</v>
      </c>
      <c r="E736" s="81">
        <v>42400</v>
      </c>
      <c r="F736" s="82" t="s">
        <v>959</v>
      </c>
      <c r="G736" s="82" t="s">
        <v>345</v>
      </c>
      <c r="H736" s="979" t="s">
        <v>439</v>
      </c>
      <c r="I736" s="974"/>
      <c r="J736" s="974"/>
      <c r="K736" s="980"/>
      <c r="L736" s="974"/>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hidden="1" customHeight="1">
      <c r="A737" s="343" t="str">
        <f>IF(B737&lt;&gt;"",IF(AND(B737='IN-TC'!$S$4,OR(TH!N737="1111",TH!O737="1111")),TH!D737,""),"")</f>
        <v/>
      </c>
      <c r="B737" s="63">
        <f t="shared" si="49"/>
        <v>1</v>
      </c>
      <c r="C737" s="81">
        <f t="shared" si="50"/>
        <v>42400</v>
      </c>
      <c r="D737" s="81" t="s">
        <v>972</v>
      </c>
      <c r="E737" s="81">
        <v>42400</v>
      </c>
      <c r="F737" s="82" t="s">
        <v>959</v>
      </c>
      <c r="G737" s="82" t="s">
        <v>345</v>
      </c>
      <c r="H737" s="83" t="s">
        <v>443</v>
      </c>
      <c r="I737" s="445"/>
      <c r="J737" s="445"/>
      <c r="K737" s="436"/>
      <c r="L737" s="445"/>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hidden="1" customHeight="1">
      <c r="A738" s="343" t="str">
        <f>IF(B738&lt;&gt;"",IF(AND(B738='IN-TC'!$S$4,OR(TH!N738="1111",TH!O738="1111")),TH!D738,""),"")</f>
        <v/>
      </c>
      <c r="B738" s="63">
        <f t="shared" si="49"/>
        <v>1</v>
      </c>
      <c r="C738" s="81">
        <f t="shared" si="50"/>
        <v>42400</v>
      </c>
      <c r="D738" s="81" t="s">
        <v>972</v>
      </c>
      <c r="E738" s="81">
        <v>42400</v>
      </c>
      <c r="F738" s="82" t="s">
        <v>959</v>
      </c>
      <c r="G738" s="82" t="s">
        <v>345</v>
      </c>
      <c r="H738" s="83" t="s">
        <v>445</v>
      </c>
      <c r="I738" s="445"/>
      <c r="J738" s="445"/>
      <c r="K738" s="436"/>
      <c r="L738" s="445"/>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hidden="1" customHeight="1">
      <c r="A739" s="343" t="str">
        <f>IF(B739&lt;&gt;"",IF(AND(B739='IN-TC'!$S$4,OR(TH!N739="1111",TH!O739="1111")),TH!D739,""),"")</f>
        <v/>
      </c>
      <c r="B739" s="63">
        <f t="shared" si="49"/>
        <v>1</v>
      </c>
      <c r="C739" s="81">
        <f t="shared" ref="C739:C749" si="51">E739</f>
        <v>42400</v>
      </c>
      <c r="D739" s="81" t="s">
        <v>972</v>
      </c>
      <c r="E739" s="81">
        <v>42400</v>
      </c>
      <c r="F739" s="82" t="s">
        <v>959</v>
      </c>
      <c r="G739" s="82" t="s">
        <v>345</v>
      </c>
      <c r="H739" s="979" t="s">
        <v>447</v>
      </c>
      <c r="I739" s="974"/>
      <c r="J739" s="974"/>
      <c r="K739" s="980"/>
      <c r="L739" s="974"/>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hidden="1" customHeight="1">
      <c r="A740" s="343" t="str">
        <f>IF(B740&lt;&gt;"",IF(AND(B740='IN-TC'!$S$4,OR(TH!N740="1111",TH!O740="1111")),TH!D740,""),"")</f>
        <v/>
      </c>
      <c r="B740" s="63">
        <f t="shared" ref="B740:B771" si="52">IF(C740&lt;&gt;"",MONTH(C740),"")</f>
        <v>2</v>
      </c>
      <c r="C740" s="81">
        <f t="shared" si="51"/>
        <v>42429</v>
      </c>
      <c r="D740" s="81" t="s">
        <v>1103</v>
      </c>
      <c r="E740" s="81">
        <v>42429</v>
      </c>
      <c r="F740" s="82" t="s">
        <v>959</v>
      </c>
      <c r="G740" s="82" t="s">
        <v>345</v>
      </c>
      <c r="H740" s="83" t="s">
        <v>429</v>
      </c>
      <c r="I740" s="445"/>
      <c r="J740" s="445"/>
      <c r="K740" s="436"/>
      <c r="L740" s="445"/>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hidden="1" customHeight="1">
      <c r="A741" s="343" t="str">
        <f>IF(B741&lt;&gt;"",IF(AND(B741='IN-TC'!$S$4,OR(TH!N741="1111",TH!O741="1111")),TH!D741,""),"")</f>
        <v/>
      </c>
      <c r="B741" s="63">
        <f t="shared" si="52"/>
        <v>2</v>
      </c>
      <c r="C741" s="81">
        <f t="shared" si="51"/>
        <v>42429</v>
      </c>
      <c r="D741" s="81" t="s">
        <v>1103</v>
      </c>
      <c r="E741" s="81">
        <v>42429</v>
      </c>
      <c r="F741" s="82" t="s">
        <v>959</v>
      </c>
      <c r="G741" s="82" t="s">
        <v>345</v>
      </c>
      <c r="H741" s="83" t="s">
        <v>436</v>
      </c>
      <c r="I741" s="445"/>
      <c r="J741" s="445"/>
      <c r="K741" s="436"/>
      <c r="L741" s="445"/>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hidden="1" customHeight="1">
      <c r="A742" s="343" t="str">
        <f>IF(B742&lt;&gt;"",IF(AND(B742='IN-TC'!$S$4,OR(TH!N742="1111",TH!O742="1111")),TH!D742,""),"")</f>
        <v/>
      </c>
      <c r="B742" s="63">
        <f t="shared" si="52"/>
        <v>2</v>
      </c>
      <c r="C742" s="81">
        <f t="shared" si="51"/>
        <v>42429</v>
      </c>
      <c r="D742" s="81" t="s">
        <v>1103</v>
      </c>
      <c r="E742" s="81">
        <v>42429</v>
      </c>
      <c r="F742" s="82" t="s">
        <v>959</v>
      </c>
      <c r="G742" s="82" t="s">
        <v>345</v>
      </c>
      <c r="H742" s="83" t="s">
        <v>438</v>
      </c>
      <c r="I742" s="445"/>
      <c r="J742" s="445"/>
      <c r="K742" s="436"/>
      <c r="L742" s="445"/>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hidden="1" customHeight="1">
      <c r="A743" s="343" t="str">
        <f>IF(B743&lt;&gt;"",IF(AND(B743='IN-TC'!$S$4,OR(TH!N743="1111",TH!O743="1111")),TH!D743,""),"")</f>
        <v/>
      </c>
      <c r="B743" s="63">
        <f t="shared" si="52"/>
        <v>2</v>
      </c>
      <c r="C743" s="81">
        <f t="shared" si="51"/>
        <v>42429</v>
      </c>
      <c r="D743" s="81" t="s">
        <v>1103</v>
      </c>
      <c r="E743" s="81">
        <v>42429</v>
      </c>
      <c r="F743" s="82" t="s">
        <v>959</v>
      </c>
      <c r="G743" s="82" t="s">
        <v>345</v>
      </c>
      <c r="H743" s="83" t="s">
        <v>439</v>
      </c>
      <c r="I743" s="445"/>
      <c r="J743" s="445"/>
      <c r="K743" s="436"/>
      <c r="L743" s="445"/>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hidden="1" customHeight="1">
      <c r="A744" s="343" t="str">
        <f>IF(B744&lt;&gt;"",IF(AND(B744='IN-TC'!$S$4,OR(TH!N744="1111",TH!O744="1111")),TH!D744,""),"")</f>
        <v/>
      </c>
      <c r="B744" s="63">
        <f t="shared" si="52"/>
        <v>2</v>
      </c>
      <c r="C744" s="81">
        <f t="shared" si="51"/>
        <v>42429</v>
      </c>
      <c r="D744" s="81" t="s">
        <v>1103</v>
      </c>
      <c r="E744" s="81">
        <v>42429</v>
      </c>
      <c r="F744" s="82" t="s">
        <v>959</v>
      </c>
      <c r="G744" s="82" t="s">
        <v>345</v>
      </c>
      <c r="H744" s="979" t="s">
        <v>445</v>
      </c>
      <c r="I744" s="974"/>
      <c r="J744" s="974"/>
      <c r="K744" s="980"/>
      <c r="L744" s="974"/>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hidden="1" customHeight="1">
      <c r="A745" s="343" t="str">
        <f>IF(B745&lt;&gt;"",IF(AND(B745='IN-TC'!$S$4,OR(TH!N745="1111",TH!O745="1111")),TH!D745,""),"")</f>
        <v/>
      </c>
      <c r="B745" s="63">
        <f t="shared" si="52"/>
        <v>3</v>
      </c>
      <c r="C745" s="81">
        <f t="shared" si="51"/>
        <v>42460</v>
      </c>
      <c r="D745" s="81" t="s">
        <v>1103</v>
      </c>
      <c r="E745" s="81">
        <v>42460</v>
      </c>
      <c r="F745" s="82" t="s">
        <v>959</v>
      </c>
      <c r="G745" s="82" t="s">
        <v>339</v>
      </c>
      <c r="H745" s="976" t="s">
        <v>365</v>
      </c>
      <c r="I745" s="445"/>
      <c r="J745" s="445"/>
      <c r="K745" s="436"/>
      <c r="L745" s="445"/>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hidden="1" customHeight="1">
      <c r="A746" s="343" t="str">
        <f>IF(B746&lt;&gt;"",IF(AND(B746='IN-TC'!$S$4,OR(TH!N746="1111",TH!O746="1111")),TH!D746,""),"")</f>
        <v/>
      </c>
      <c r="B746" s="63">
        <f t="shared" si="52"/>
        <v>3</v>
      </c>
      <c r="C746" s="81">
        <f t="shared" si="51"/>
        <v>42460</v>
      </c>
      <c r="D746" s="81" t="s">
        <v>1103</v>
      </c>
      <c r="E746" s="81">
        <v>42460</v>
      </c>
      <c r="F746" s="82" t="s">
        <v>959</v>
      </c>
      <c r="G746" s="82" t="s">
        <v>339</v>
      </c>
      <c r="H746" s="976" t="s">
        <v>347</v>
      </c>
      <c r="I746" s="445"/>
      <c r="J746" s="445"/>
      <c r="K746" s="436"/>
      <c r="L746" s="445"/>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hidden="1" customHeight="1">
      <c r="A747" s="343" t="str">
        <f>IF(B747&lt;&gt;"",IF(AND(B747='IN-TC'!$S$4,OR(TH!N747="1111",TH!O747="1111")),TH!D747,""),"")</f>
        <v/>
      </c>
      <c r="B747" s="63">
        <f t="shared" si="52"/>
        <v>3</v>
      </c>
      <c r="C747" s="81">
        <f t="shared" si="51"/>
        <v>42460</v>
      </c>
      <c r="D747" s="81" t="s">
        <v>1103</v>
      </c>
      <c r="E747" s="81">
        <v>42460</v>
      </c>
      <c r="F747" s="82" t="s">
        <v>959</v>
      </c>
      <c r="G747" s="82" t="s">
        <v>339</v>
      </c>
      <c r="H747" s="976" t="s">
        <v>350</v>
      </c>
      <c r="I747" s="445"/>
      <c r="J747" s="445"/>
      <c r="K747" s="436"/>
      <c r="L747" s="445"/>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hidden="1" customHeight="1">
      <c r="A748" s="343" t="str">
        <f>IF(B748&lt;&gt;"",IF(AND(B748='IN-TC'!$S$4,OR(TH!N748="1111",TH!O748="1111")),TH!D748,""),"")</f>
        <v/>
      </c>
      <c r="B748" s="63">
        <f t="shared" si="52"/>
        <v>3</v>
      </c>
      <c r="C748" s="81">
        <f t="shared" si="51"/>
        <v>42460</v>
      </c>
      <c r="D748" s="81" t="s">
        <v>1103</v>
      </c>
      <c r="E748" s="81">
        <v>42460</v>
      </c>
      <c r="F748" s="82" t="s">
        <v>959</v>
      </c>
      <c r="G748" s="82" t="s">
        <v>339</v>
      </c>
      <c r="H748" s="976" t="s">
        <v>362</v>
      </c>
      <c r="I748" s="445"/>
      <c r="J748" s="445"/>
      <c r="K748" s="436"/>
      <c r="L748" s="445"/>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hidden="1" customHeight="1">
      <c r="A749" s="343" t="str">
        <f>IF(B749&lt;&gt;"",IF(AND(B749='IN-TC'!$S$4,OR(TH!N749="1111",TH!O749="1111")),TH!D749,""),"")</f>
        <v/>
      </c>
      <c r="B749" s="63">
        <f t="shared" si="52"/>
        <v>3</v>
      </c>
      <c r="C749" s="81">
        <f t="shared" si="51"/>
        <v>42460</v>
      </c>
      <c r="D749" s="81" t="s">
        <v>1103</v>
      </c>
      <c r="E749" s="81">
        <v>42460</v>
      </c>
      <c r="F749" s="82" t="s">
        <v>959</v>
      </c>
      <c r="G749" s="82" t="s">
        <v>339</v>
      </c>
      <c r="H749" s="976" t="s">
        <v>368</v>
      </c>
      <c r="I749" s="974"/>
      <c r="J749" s="974"/>
      <c r="K749" s="980"/>
      <c r="L749" s="974"/>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8" customFormat="1" ht="15.75" hidden="1" customHeight="1">
      <c r="A750" s="343" t="str">
        <f>IF(B750&lt;&gt;"",IF(AND(B750='IN-TC'!$S$4,OR(TH!N750="1111",TH!O750="1111")),TH!D750,""),"")</f>
        <v/>
      </c>
      <c r="B750" s="63">
        <f t="shared" si="52"/>
        <v>4</v>
      </c>
      <c r="C750" s="879">
        <v>42489</v>
      </c>
      <c r="D750" s="879" t="s">
        <v>585</v>
      </c>
      <c r="E750" s="879">
        <f t="shared" ref="E750:E758" si="53">C750</f>
        <v>42489</v>
      </c>
      <c r="F750" s="880" t="s">
        <v>1330</v>
      </c>
      <c r="G750" s="880"/>
      <c r="H750" s="74"/>
      <c r="I750" s="447"/>
      <c r="J750" s="447"/>
      <c r="K750" s="438"/>
      <c r="L750" s="447"/>
      <c r="M750" s="881">
        <v>10010706</v>
      </c>
      <c r="N750" s="885" t="s">
        <v>283</v>
      </c>
      <c r="O750" s="886" t="s">
        <v>592</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8" customFormat="1" ht="15.75" hidden="1" customHeight="1">
      <c r="A751" s="343" t="str">
        <f>IF(B751&lt;&gt;"",IF(AND(B751='IN-TC'!$S$4,OR(TH!N751="1111",TH!O751="1111")),TH!D751,""),"")</f>
        <v/>
      </c>
      <c r="B751" s="63">
        <f t="shared" si="52"/>
        <v>4</v>
      </c>
      <c r="C751" s="879">
        <v>42489</v>
      </c>
      <c r="D751" s="879" t="s">
        <v>585</v>
      </c>
      <c r="E751" s="879">
        <f t="shared" si="53"/>
        <v>42489</v>
      </c>
      <c r="F751" s="880" t="s">
        <v>1331</v>
      </c>
      <c r="G751" s="995"/>
      <c r="H751" s="73"/>
      <c r="I751" s="448"/>
      <c r="J751" s="448"/>
      <c r="K751" s="439"/>
      <c r="L751" s="448"/>
      <c r="M751" s="881">
        <v>3671167</v>
      </c>
      <c r="N751" s="887" t="s">
        <v>101</v>
      </c>
      <c r="O751" s="887" t="s">
        <v>593</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8" customFormat="1" ht="15.75" hidden="1" customHeight="1">
      <c r="A752" s="343" t="str">
        <f>IF(B752&lt;&gt;"",IF(AND(B752='IN-TC'!$S$4,OR(TH!N752="1111",TH!O752="1111")),TH!D752,""),"")</f>
        <v/>
      </c>
      <c r="B752" s="63">
        <f t="shared" si="52"/>
        <v>4</v>
      </c>
      <c r="C752" s="879">
        <v>42489</v>
      </c>
      <c r="D752" s="879" t="s">
        <v>585</v>
      </c>
      <c r="E752" s="879">
        <f t="shared" si="53"/>
        <v>42489</v>
      </c>
      <c r="F752" s="880" t="s">
        <v>1331</v>
      </c>
      <c r="G752" s="880"/>
      <c r="H752" s="73"/>
      <c r="I752" s="448"/>
      <c r="J752" s="448"/>
      <c r="K752" s="439"/>
      <c r="L752" s="448"/>
      <c r="M752" s="881">
        <v>47128136</v>
      </c>
      <c r="N752" s="887" t="s">
        <v>283</v>
      </c>
      <c r="O752" s="887" t="s">
        <v>593</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8" customFormat="1" ht="15.75" hidden="1" customHeight="1">
      <c r="A753" s="343" t="str">
        <f>IF(B753&lt;&gt;"",IF(AND(B753='IN-TC'!$S$4,OR(TH!N753="1111",TH!O753="1111")),TH!D753,""),"")</f>
        <v/>
      </c>
      <c r="B753" s="63">
        <f t="shared" si="52"/>
        <v>5</v>
      </c>
      <c r="C753" s="879">
        <v>42521</v>
      </c>
      <c r="D753" s="879" t="s">
        <v>585</v>
      </c>
      <c r="E753" s="879">
        <f t="shared" si="53"/>
        <v>42521</v>
      </c>
      <c r="F753" s="880" t="s">
        <v>1330</v>
      </c>
      <c r="G753" s="880"/>
      <c r="H753" s="74"/>
      <c r="I753" s="447"/>
      <c r="J753" s="447"/>
      <c r="K753" s="438"/>
      <c r="L753" s="447"/>
      <c r="M753" s="881"/>
      <c r="N753" s="885" t="s">
        <v>283</v>
      </c>
      <c r="O753" s="886" t="s">
        <v>592</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8" customFormat="1" ht="15.75" hidden="1" customHeight="1">
      <c r="A754" s="343" t="str">
        <f>IF(B754&lt;&gt;"",IF(AND(B754='IN-TC'!$S$4,OR(TH!N754="1111",TH!O754="1111")),TH!D754,""),"")</f>
        <v/>
      </c>
      <c r="B754" s="63">
        <f t="shared" si="52"/>
        <v>5</v>
      </c>
      <c r="C754" s="879">
        <v>42521</v>
      </c>
      <c r="D754" s="879" t="s">
        <v>585</v>
      </c>
      <c r="E754" s="879">
        <f t="shared" si="53"/>
        <v>42521</v>
      </c>
      <c r="F754" s="880" t="s">
        <v>1331</v>
      </c>
      <c r="G754" s="995"/>
      <c r="H754" s="73"/>
      <c r="I754" s="448"/>
      <c r="J754" s="448"/>
      <c r="K754" s="439"/>
      <c r="L754" s="448"/>
      <c r="M754" s="881"/>
      <c r="N754" s="887" t="s">
        <v>101</v>
      </c>
      <c r="O754" s="887" t="s">
        <v>593</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8" customFormat="1" ht="15.75" hidden="1" customHeight="1">
      <c r="A755" s="343" t="str">
        <f>IF(B755&lt;&gt;"",IF(AND(B755='IN-TC'!$S$4,OR(TH!N755="1111",TH!O755="1111")),TH!D755,""),"")</f>
        <v/>
      </c>
      <c r="B755" s="63">
        <f t="shared" si="52"/>
        <v>5</v>
      </c>
      <c r="C755" s="879">
        <v>42521</v>
      </c>
      <c r="D755" s="879" t="s">
        <v>585</v>
      </c>
      <c r="E755" s="879">
        <f t="shared" si="53"/>
        <v>42521</v>
      </c>
      <c r="F755" s="880" t="s">
        <v>1331</v>
      </c>
      <c r="G755" s="880"/>
      <c r="H755" s="73"/>
      <c r="I755" s="448"/>
      <c r="J755" s="448"/>
      <c r="K755" s="439"/>
      <c r="L755" s="448"/>
      <c r="M755" s="881"/>
      <c r="N755" s="887" t="s">
        <v>283</v>
      </c>
      <c r="O755" s="887" t="s">
        <v>593</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8" customFormat="1" ht="15.75" hidden="1" customHeight="1">
      <c r="A756" s="343" t="str">
        <f>IF(B756&lt;&gt;"",IF(AND(B756='IN-TC'!$S$4,OR(TH!N756="1111",TH!O756="1111")),TH!D756,""),"")</f>
        <v/>
      </c>
      <c r="B756" s="63">
        <f t="shared" si="52"/>
        <v>6</v>
      </c>
      <c r="C756" s="879">
        <v>42551</v>
      </c>
      <c r="D756" s="879" t="s">
        <v>585</v>
      </c>
      <c r="E756" s="879">
        <f t="shared" si="53"/>
        <v>42551</v>
      </c>
      <c r="F756" s="880" t="s">
        <v>1330</v>
      </c>
      <c r="G756" s="880"/>
      <c r="H756" s="74"/>
      <c r="I756" s="447"/>
      <c r="J756" s="447"/>
      <c r="K756" s="438"/>
      <c r="L756" s="447"/>
      <c r="M756" s="881"/>
      <c r="N756" s="885" t="s">
        <v>283</v>
      </c>
      <c r="O756" s="886" t="s">
        <v>592</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8" customFormat="1" ht="15.75" hidden="1" customHeight="1">
      <c r="A757" s="343" t="str">
        <f>IF(B757&lt;&gt;"",IF(AND(B757='IN-TC'!$S$4,OR(TH!N757="1111",TH!O757="1111")),TH!D757,""),"")</f>
        <v/>
      </c>
      <c r="B757" s="63">
        <f t="shared" si="52"/>
        <v>6</v>
      </c>
      <c r="C757" s="879">
        <v>42551</v>
      </c>
      <c r="D757" s="879" t="s">
        <v>585</v>
      </c>
      <c r="E757" s="879">
        <f t="shared" si="53"/>
        <v>42551</v>
      </c>
      <c r="F757" s="880" t="s">
        <v>1331</v>
      </c>
      <c r="G757" s="995"/>
      <c r="H757" s="73"/>
      <c r="I757" s="448"/>
      <c r="J757" s="448"/>
      <c r="K757" s="439"/>
      <c r="L757" s="448"/>
      <c r="M757" s="881"/>
      <c r="N757" s="887" t="s">
        <v>101</v>
      </c>
      <c r="O757" s="887" t="s">
        <v>593</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8" customFormat="1" ht="15.75" hidden="1" customHeight="1">
      <c r="A758" s="343" t="str">
        <f>IF(B758&lt;&gt;"",IF(AND(B758='IN-TC'!$S$4,OR(TH!N758="1111",TH!O758="1111")),TH!D758,""),"")</f>
        <v/>
      </c>
      <c r="B758" s="63">
        <f t="shared" si="52"/>
        <v>6</v>
      </c>
      <c r="C758" s="879">
        <v>42551</v>
      </c>
      <c r="D758" s="879" t="s">
        <v>585</v>
      </c>
      <c r="E758" s="879">
        <f t="shared" si="53"/>
        <v>42551</v>
      </c>
      <c r="F758" s="880" t="s">
        <v>1331</v>
      </c>
      <c r="G758" s="880"/>
      <c r="H758" s="73"/>
      <c r="I758" s="448"/>
      <c r="J758" s="448"/>
      <c r="K758" s="439"/>
      <c r="L758" s="448"/>
      <c r="M758" s="881"/>
      <c r="N758" s="887" t="s">
        <v>283</v>
      </c>
      <c r="O758" s="887" t="s">
        <v>593</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8" customFormat="1" ht="15.75" hidden="1" customHeight="1">
      <c r="A759" s="343" t="str">
        <f>IF(B759&lt;&gt;"",IF(AND(B759='IN-TC'!$S$4,OR(TH!N759="1111",TH!O759="1111")),TH!D759,""),"")</f>
        <v/>
      </c>
      <c r="B759" s="63">
        <f t="shared" si="52"/>
        <v>4</v>
      </c>
      <c r="C759" s="882">
        <v>42489</v>
      </c>
      <c r="D759" s="882" t="s">
        <v>585</v>
      </c>
      <c r="E759" s="882">
        <f>C759</f>
        <v>42489</v>
      </c>
      <c r="F759" s="883" t="s">
        <v>1343</v>
      </c>
      <c r="G759" s="278">
        <v>37369000</v>
      </c>
      <c r="H759" s="322"/>
      <c r="I759" s="447"/>
      <c r="J759" s="447"/>
      <c r="K759" s="438"/>
      <c r="L759" s="447"/>
      <c r="M759" s="888">
        <v>37691667</v>
      </c>
      <c r="N759" s="889" t="s">
        <v>594</v>
      </c>
      <c r="O759" s="889"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8" customFormat="1" ht="15.75" hidden="1" customHeight="1">
      <c r="A760" s="343" t="str">
        <f>IF(B760&lt;&gt;"",IF(AND(B760='IN-TC'!$S$4,OR(TH!N760="1111",TH!O760="1111")),TH!D760,""),"")</f>
        <v/>
      </c>
      <c r="B760" s="63">
        <f t="shared" si="52"/>
        <v>4</v>
      </c>
      <c r="C760" s="882">
        <v>42489</v>
      </c>
      <c r="D760" s="882" t="s">
        <v>585</v>
      </c>
      <c r="E760" s="882">
        <f t="shared" ref="E760:E772" si="54">C760</f>
        <v>42489</v>
      </c>
      <c r="F760" s="883" t="s">
        <v>1344</v>
      </c>
      <c r="G760" s="278">
        <v>108366000</v>
      </c>
      <c r="H760" s="322"/>
      <c r="I760" s="447"/>
      <c r="J760" s="447"/>
      <c r="K760" s="438"/>
      <c r="L760" s="447"/>
      <c r="M760" s="888">
        <v>118338627</v>
      </c>
      <c r="N760" s="889" t="s">
        <v>283</v>
      </c>
      <c r="O760" s="889" t="s">
        <v>595</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8" customFormat="1" ht="15.75" hidden="1" customHeight="1">
      <c r="A761" s="343" t="str">
        <f>IF(B761&lt;&gt;"",IF(AND(B761='IN-TC'!$S$4,OR(TH!N761="1111",TH!O761="1111")),TH!D761,""),"")</f>
        <v/>
      </c>
      <c r="B761" s="63">
        <f t="shared" si="52"/>
        <v>4</v>
      </c>
      <c r="C761" s="882">
        <v>42489</v>
      </c>
      <c r="D761" s="882" t="s">
        <v>585</v>
      </c>
      <c r="E761" s="882">
        <f t="shared" si="54"/>
        <v>42489</v>
      </c>
      <c r="F761" s="883" t="s">
        <v>1345</v>
      </c>
      <c r="G761" s="990" t="s">
        <v>586</v>
      </c>
      <c r="H761" s="322"/>
      <c r="I761" s="447"/>
      <c r="J761" s="447"/>
      <c r="K761" s="438"/>
      <c r="L761" s="447"/>
      <c r="M761" s="888">
        <f>G759*$G761</f>
        <v>2989520</v>
      </c>
      <c r="N761" s="889" t="s">
        <v>595</v>
      </c>
      <c r="O761" s="889"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8" customFormat="1" ht="15.75" hidden="1" customHeight="1">
      <c r="A762" s="343" t="str">
        <f>IF(B762&lt;&gt;"",IF(AND(B762='IN-TC'!$S$4,OR(TH!N762="1111",TH!O762="1111")),TH!D762,""),"")</f>
        <v/>
      </c>
      <c r="B762" s="63">
        <f t="shared" si="52"/>
        <v>4</v>
      </c>
      <c r="C762" s="882">
        <v>42489</v>
      </c>
      <c r="D762" s="882" t="s">
        <v>585</v>
      </c>
      <c r="E762" s="882">
        <f t="shared" si="54"/>
        <v>42489</v>
      </c>
      <c r="F762" s="883" t="s">
        <v>1346</v>
      </c>
      <c r="G762" s="278"/>
      <c r="H762" s="322"/>
      <c r="I762" s="447"/>
      <c r="J762" s="447"/>
      <c r="K762" s="438"/>
      <c r="L762" s="447"/>
      <c r="M762" s="888">
        <f>G760*$G761</f>
        <v>8669280</v>
      </c>
      <c r="N762" s="890" t="s">
        <v>595</v>
      </c>
      <c r="O762" s="891"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8" customFormat="1" ht="15.75" hidden="1" customHeight="1">
      <c r="A763" s="343" t="str">
        <f>IF(B763&lt;&gt;"",IF(AND(B763='IN-TC'!$S$4,OR(TH!N763="1111",TH!O763="1111")),TH!D763,""),"")</f>
        <v/>
      </c>
      <c r="B763" s="63">
        <f t="shared" si="52"/>
        <v>4</v>
      </c>
      <c r="C763" s="882">
        <v>42489</v>
      </c>
      <c r="D763" s="882" t="s">
        <v>585</v>
      </c>
      <c r="E763" s="882">
        <f t="shared" si="54"/>
        <v>42489</v>
      </c>
      <c r="F763" s="883" t="s">
        <v>1347</v>
      </c>
      <c r="G763" s="990" t="s">
        <v>587</v>
      </c>
      <c r="H763" s="322"/>
      <c r="I763" s="447"/>
      <c r="J763" s="447"/>
      <c r="K763" s="438"/>
      <c r="L763" s="447"/>
      <c r="M763" s="888">
        <f>G759*$G763</f>
        <v>6726420</v>
      </c>
      <c r="N763" s="889" t="s">
        <v>594</v>
      </c>
      <c r="O763" s="889"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8" customFormat="1" ht="15.75" hidden="1" customHeight="1">
      <c r="A764" s="343" t="str">
        <f>IF(B764&lt;&gt;"",IF(AND(B764='IN-TC'!$S$4,OR(TH!N764="1111",TH!O764="1111")),TH!D764,""),"")</f>
        <v/>
      </c>
      <c r="B764" s="63">
        <f t="shared" si="52"/>
        <v>4</v>
      </c>
      <c r="C764" s="882">
        <v>42489</v>
      </c>
      <c r="D764" s="882" t="s">
        <v>585</v>
      </c>
      <c r="E764" s="882">
        <f t="shared" si="54"/>
        <v>42489</v>
      </c>
      <c r="F764" s="883" t="s">
        <v>1348</v>
      </c>
      <c r="G764" s="278"/>
      <c r="H764" s="322"/>
      <c r="I764" s="447"/>
      <c r="J764" s="447"/>
      <c r="K764" s="438"/>
      <c r="L764" s="447"/>
      <c r="M764" s="888">
        <f>G760*$G763</f>
        <v>19505880</v>
      </c>
      <c r="N764" s="889" t="s">
        <v>283</v>
      </c>
      <c r="O764" s="889" t="s">
        <v>596</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8" customFormat="1" ht="15.75" hidden="1" customHeight="1">
      <c r="A765" s="343" t="str">
        <f>IF(B765&lt;&gt;"",IF(AND(B765='IN-TC'!$S$4,OR(TH!N765="1111",TH!O765="1111")),TH!D765,""),"")</f>
        <v/>
      </c>
      <c r="B765" s="63">
        <f t="shared" si="52"/>
        <v>4</v>
      </c>
      <c r="C765" s="882">
        <v>42489</v>
      </c>
      <c r="D765" s="882" t="s">
        <v>585</v>
      </c>
      <c r="E765" s="882">
        <f t="shared" si="54"/>
        <v>42489</v>
      </c>
      <c r="F765" s="883" t="s">
        <v>1349</v>
      </c>
      <c r="G765" s="990" t="s">
        <v>588</v>
      </c>
      <c r="H765" s="324"/>
      <c r="I765" s="445"/>
      <c r="J765" s="445"/>
      <c r="K765" s="436"/>
      <c r="L765" s="445"/>
      <c r="M765" s="888">
        <f>G759*$G765</f>
        <v>560535</v>
      </c>
      <c r="N765" s="889" t="s">
        <v>595</v>
      </c>
      <c r="O765" s="889"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8" customFormat="1" ht="15.75" hidden="1" customHeight="1">
      <c r="A766" s="343" t="str">
        <f>IF(B766&lt;&gt;"",IF(AND(B766='IN-TC'!$S$4,OR(TH!N766="1111",TH!O766="1111")),TH!D766,""),"")</f>
        <v/>
      </c>
      <c r="B766" s="63">
        <f t="shared" si="52"/>
        <v>4</v>
      </c>
      <c r="C766" s="882">
        <v>42489</v>
      </c>
      <c r="D766" s="882" t="s">
        <v>585</v>
      </c>
      <c r="E766" s="882">
        <f t="shared" si="54"/>
        <v>42489</v>
      </c>
      <c r="F766" s="883" t="s">
        <v>1350</v>
      </c>
      <c r="G766" s="278"/>
      <c r="H766" s="324"/>
      <c r="I766" s="445"/>
      <c r="J766" s="445"/>
      <c r="K766" s="436"/>
      <c r="L766" s="445"/>
      <c r="M766" s="888">
        <f>G760*$G765</f>
        <v>1625490</v>
      </c>
      <c r="N766" s="889" t="s">
        <v>595</v>
      </c>
      <c r="O766" s="889"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8" customFormat="1" ht="15.75" hidden="1" customHeight="1">
      <c r="A767" s="343" t="str">
        <f>IF(B767&lt;&gt;"",IF(AND(B767='IN-TC'!$S$4,OR(TH!N767="1111",TH!O767="1111")),TH!D767,""),"")</f>
        <v/>
      </c>
      <c r="B767" s="63">
        <f t="shared" si="52"/>
        <v>4</v>
      </c>
      <c r="C767" s="882">
        <v>42489</v>
      </c>
      <c r="D767" s="882" t="s">
        <v>585</v>
      </c>
      <c r="E767" s="882">
        <f t="shared" si="54"/>
        <v>42489</v>
      </c>
      <c r="F767" s="883" t="s">
        <v>1351</v>
      </c>
      <c r="G767" s="990" t="s">
        <v>589</v>
      </c>
      <c r="H767" s="322"/>
      <c r="I767" s="447"/>
      <c r="J767" s="447"/>
      <c r="K767" s="438"/>
      <c r="L767" s="447"/>
      <c r="M767" s="888">
        <f>G759*$G767</f>
        <v>1121070</v>
      </c>
      <c r="N767" s="889" t="s">
        <v>594</v>
      </c>
      <c r="O767" s="889"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8" customFormat="1" ht="15.75" hidden="1" customHeight="1">
      <c r="A768" s="343" t="str">
        <f>IF(B768&lt;&gt;"",IF(AND(B768='IN-TC'!$S$4,OR(TH!N768="1111",TH!O768="1111")),TH!D768,""),"")</f>
        <v/>
      </c>
      <c r="B768" s="63">
        <f t="shared" si="52"/>
        <v>4</v>
      </c>
      <c r="C768" s="882">
        <v>42489</v>
      </c>
      <c r="D768" s="882" t="s">
        <v>585</v>
      </c>
      <c r="E768" s="882">
        <f t="shared" si="54"/>
        <v>42489</v>
      </c>
      <c r="F768" s="883" t="s">
        <v>1352</v>
      </c>
      <c r="G768" s="278"/>
      <c r="H768" s="322"/>
      <c r="I768" s="447"/>
      <c r="J768" s="447"/>
      <c r="K768" s="438"/>
      <c r="L768" s="447"/>
      <c r="M768" s="888">
        <f>G760*$G767</f>
        <v>3250980</v>
      </c>
      <c r="N768" s="889" t="s">
        <v>283</v>
      </c>
      <c r="O768" s="889" t="s">
        <v>597</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8" customFormat="1" ht="15.75" hidden="1" customHeight="1">
      <c r="A769" s="343" t="str">
        <f>IF(B769&lt;&gt;"",IF(AND(B769='IN-TC'!$S$4,OR(TH!N769="1111",TH!O769="1111")),TH!D769,""),"")</f>
        <v/>
      </c>
      <c r="B769" s="63">
        <f t="shared" si="52"/>
        <v>4</v>
      </c>
      <c r="C769" s="882">
        <v>42489</v>
      </c>
      <c r="D769" s="882" t="s">
        <v>585</v>
      </c>
      <c r="E769" s="882">
        <f t="shared" si="54"/>
        <v>42489</v>
      </c>
      <c r="F769" s="883" t="s">
        <v>1353</v>
      </c>
      <c r="G769" s="990" t="s">
        <v>590</v>
      </c>
      <c r="H769" s="322"/>
      <c r="I769" s="447"/>
      <c r="J769" s="447"/>
      <c r="K769" s="438"/>
      <c r="L769" s="447"/>
      <c r="M769" s="888">
        <f>G759*$G769</f>
        <v>373690</v>
      </c>
      <c r="N769" s="889" t="s">
        <v>595</v>
      </c>
      <c r="O769" s="889"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8" customFormat="1" ht="15.75" hidden="1" customHeight="1">
      <c r="A770" s="343" t="str">
        <f>IF(B770&lt;&gt;"",IF(AND(B770='IN-TC'!$S$4,OR(TH!N770="1111",TH!O770="1111")),TH!D770,""),"")</f>
        <v/>
      </c>
      <c r="B770" s="63">
        <f t="shared" si="52"/>
        <v>4</v>
      </c>
      <c r="C770" s="882">
        <v>42489</v>
      </c>
      <c r="D770" s="882" t="s">
        <v>585</v>
      </c>
      <c r="E770" s="882">
        <f t="shared" si="54"/>
        <v>42489</v>
      </c>
      <c r="F770" s="883" t="s">
        <v>1354</v>
      </c>
      <c r="G770" s="278"/>
      <c r="H770" s="322"/>
      <c r="I770" s="447"/>
      <c r="J770" s="447"/>
      <c r="K770" s="438"/>
      <c r="L770" s="447"/>
      <c r="M770" s="888">
        <f>G760*$G769</f>
        <v>1083660</v>
      </c>
      <c r="N770" s="889" t="s">
        <v>595</v>
      </c>
      <c r="O770" s="889"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8" customFormat="1" ht="15.75" hidden="1" customHeight="1">
      <c r="A771" s="343" t="str">
        <f>IF(B771&lt;&gt;"",IF(AND(B771='IN-TC'!$S$4,OR(TH!N771="1111",TH!O771="1111")),TH!D771,""),"")</f>
        <v/>
      </c>
      <c r="B771" s="63">
        <f t="shared" si="52"/>
        <v>4</v>
      </c>
      <c r="C771" s="882">
        <v>42489</v>
      </c>
      <c r="D771" s="882" t="s">
        <v>585</v>
      </c>
      <c r="E771" s="882">
        <f t="shared" si="54"/>
        <v>42489</v>
      </c>
      <c r="F771" s="883" t="s">
        <v>1355</v>
      </c>
      <c r="G771" s="990" t="s">
        <v>590</v>
      </c>
      <c r="H771" s="1147"/>
      <c r="I771" s="448"/>
      <c r="J771" s="448"/>
      <c r="K771" s="439"/>
      <c r="L771" s="448"/>
      <c r="M771" s="888">
        <f>M769</f>
        <v>373690</v>
      </c>
      <c r="N771" s="889" t="s">
        <v>594</v>
      </c>
      <c r="O771" s="889"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8" customFormat="1" ht="15.75" hidden="1" customHeight="1">
      <c r="A772" s="343" t="str">
        <f>IF(B772&lt;&gt;"",IF(AND(B772='IN-TC'!$S$4,OR(TH!N772="1111",TH!O772="1111")),TH!D772,""),"")</f>
        <v/>
      </c>
      <c r="B772" s="63">
        <f t="shared" ref="B772:B803" si="55">IF(C772&lt;&gt;"",MONTH(C772),"")</f>
        <v>4</v>
      </c>
      <c r="C772" s="882">
        <v>42489</v>
      </c>
      <c r="D772" s="882" t="s">
        <v>585</v>
      </c>
      <c r="E772" s="882">
        <f t="shared" si="54"/>
        <v>42489</v>
      </c>
      <c r="F772" s="883" t="s">
        <v>1356</v>
      </c>
      <c r="G772" s="278"/>
      <c r="H772" s="322"/>
      <c r="I772" s="447"/>
      <c r="J772" s="447"/>
      <c r="K772" s="438"/>
      <c r="L772" s="447"/>
      <c r="M772" s="888">
        <f>M770</f>
        <v>1083660</v>
      </c>
      <c r="N772" s="889" t="s">
        <v>283</v>
      </c>
      <c r="O772" s="889" t="s">
        <v>598</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8" customFormat="1" ht="15.75" hidden="1" customHeight="1">
      <c r="A773" s="343" t="str">
        <f>IF(B773&lt;&gt;"",IF(AND(B773='IN-TC'!$S$4,OR(TH!N773="1111",TH!O773="1111")),TH!D773,""),"")</f>
        <v/>
      </c>
      <c r="B773" s="63">
        <f t="shared" si="55"/>
        <v>5</v>
      </c>
      <c r="C773" s="882">
        <v>42521</v>
      </c>
      <c r="D773" s="882" t="s">
        <v>585</v>
      </c>
      <c r="E773" s="882">
        <f>C773</f>
        <v>42521</v>
      </c>
      <c r="F773" s="883" t="s">
        <v>1343</v>
      </c>
      <c r="G773" s="278"/>
      <c r="H773" s="322"/>
      <c r="I773" s="447"/>
      <c r="J773" s="447"/>
      <c r="K773" s="438"/>
      <c r="L773" s="447"/>
      <c r="M773" s="888"/>
      <c r="N773" s="889" t="s">
        <v>594</v>
      </c>
      <c r="O773" s="889"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8" customFormat="1" ht="15.75" hidden="1" customHeight="1">
      <c r="A774" s="343" t="str">
        <f>IF(B774&lt;&gt;"",IF(AND(B774='IN-TC'!$S$4,OR(TH!N774="1111",TH!O774="1111")),TH!D774,""),"")</f>
        <v/>
      </c>
      <c r="B774" s="63">
        <f t="shared" si="55"/>
        <v>5</v>
      </c>
      <c r="C774" s="882">
        <v>42521</v>
      </c>
      <c r="D774" s="882" t="s">
        <v>585</v>
      </c>
      <c r="E774" s="882">
        <f t="shared" ref="E774:E793" si="56">C774</f>
        <v>42521</v>
      </c>
      <c r="F774" s="883" t="s">
        <v>1344</v>
      </c>
      <c r="G774" s="278"/>
      <c r="H774" s="322"/>
      <c r="I774" s="447"/>
      <c r="J774" s="447"/>
      <c r="K774" s="438"/>
      <c r="L774" s="447"/>
      <c r="M774" s="888"/>
      <c r="N774" s="889" t="s">
        <v>283</v>
      </c>
      <c r="O774" s="889" t="s">
        <v>595</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8" customFormat="1" ht="15.75" hidden="1" customHeight="1">
      <c r="A775" s="343" t="str">
        <f>IF(B775&lt;&gt;"",IF(AND(B775='IN-TC'!$S$4,OR(TH!N775="1111",TH!O775="1111")),TH!D775,""),"")</f>
        <v/>
      </c>
      <c r="B775" s="63">
        <f t="shared" si="55"/>
        <v>5</v>
      </c>
      <c r="C775" s="882">
        <v>42521</v>
      </c>
      <c r="D775" s="882" t="s">
        <v>585</v>
      </c>
      <c r="E775" s="882">
        <f t="shared" si="56"/>
        <v>42521</v>
      </c>
      <c r="F775" s="883" t="s">
        <v>1345</v>
      </c>
      <c r="G775" s="990" t="s">
        <v>586</v>
      </c>
      <c r="H775" s="322"/>
      <c r="I775" s="447"/>
      <c r="J775" s="447"/>
      <c r="K775" s="438"/>
      <c r="L775" s="447"/>
      <c r="M775" s="888">
        <f>G773*$G775</f>
        <v>0</v>
      </c>
      <c r="N775" s="889" t="s">
        <v>595</v>
      </c>
      <c r="O775" s="889"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8" customFormat="1" ht="15.75" hidden="1" customHeight="1">
      <c r="A776" s="343" t="str">
        <f>IF(B776&lt;&gt;"",IF(AND(B776='IN-TC'!$S$4,OR(TH!N776="1111",TH!O776="1111")),TH!D776,""),"")</f>
        <v/>
      </c>
      <c r="B776" s="63">
        <f t="shared" si="55"/>
        <v>5</v>
      </c>
      <c r="C776" s="882">
        <v>42521</v>
      </c>
      <c r="D776" s="882" t="s">
        <v>585</v>
      </c>
      <c r="E776" s="882">
        <f t="shared" si="56"/>
        <v>42521</v>
      </c>
      <c r="F776" s="883" t="s">
        <v>1346</v>
      </c>
      <c r="G776" s="278"/>
      <c r="H776" s="322"/>
      <c r="I776" s="447"/>
      <c r="J776" s="447"/>
      <c r="K776" s="438"/>
      <c r="L776" s="447"/>
      <c r="M776" s="888">
        <f>G774*$G775</f>
        <v>0</v>
      </c>
      <c r="N776" s="890" t="s">
        <v>595</v>
      </c>
      <c r="O776" s="891"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8" customFormat="1" ht="15.75" hidden="1" customHeight="1">
      <c r="A777" s="343" t="str">
        <f>IF(B777&lt;&gt;"",IF(AND(B777='IN-TC'!$S$4,OR(TH!N777="1111",TH!O777="1111")),TH!D777,""),"")</f>
        <v/>
      </c>
      <c r="B777" s="63">
        <f t="shared" si="55"/>
        <v>5</v>
      </c>
      <c r="C777" s="882">
        <v>42521</v>
      </c>
      <c r="D777" s="882" t="s">
        <v>585</v>
      </c>
      <c r="E777" s="882">
        <f t="shared" si="56"/>
        <v>42521</v>
      </c>
      <c r="F777" s="883" t="s">
        <v>1347</v>
      </c>
      <c r="G777" s="990" t="s">
        <v>587</v>
      </c>
      <c r="H777" s="322"/>
      <c r="I777" s="447"/>
      <c r="J777" s="447"/>
      <c r="K777" s="438"/>
      <c r="L777" s="447"/>
      <c r="M777" s="888">
        <f>G773*$G777</f>
        <v>0</v>
      </c>
      <c r="N777" s="889" t="s">
        <v>594</v>
      </c>
      <c r="O777" s="889"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8" customFormat="1" ht="15.75" hidden="1" customHeight="1">
      <c r="A778" s="343" t="str">
        <f>IF(B778&lt;&gt;"",IF(AND(B778='IN-TC'!$S$4,OR(TH!N778="1111",TH!O778="1111")),TH!D778,""),"")</f>
        <v/>
      </c>
      <c r="B778" s="63">
        <f t="shared" si="55"/>
        <v>5</v>
      </c>
      <c r="C778" s="882">
        <v>42521</v>
      </c>
      <c r="D778" s="882" t="s">
        <v>585</v>
      </c>
      <c r="E778" s="882">
        <f t="shared" si="56"/>
        <v>42521</v>
      </c>
      <c r="F778" s="883" t="s">
        <v>1348</v>
      </c>
      <c r="G778" s="278"/>
      <c r="H778" s="322"/>
      <c r="I778" s="447"/>
      <c r="J778" s="447"/>
      <c r="K778" s="438"/>
      <c r="L778" s="447"/>
      <c r="M778" s="888">
        <f>G774*$G777</f>
        <v>0</v>
      </c>
      <c r="N778" s="889" t="s">
        <v>283</v>
      </c>
      <c r="O778" s="889" t="s">
        <v>596</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8" customFormat="1" ht="15.75" hidden="1" customHeight="1">
      <c r="A779" s="343" t="str">
        <f>IF(B779&lt;&gt;"",IF(AND(B779='IN-TC'!$S$4,OR(TH!N779="1111",TH!O779="1111")),TH!D779,""),"")</f>
        <v/>
      </c>
      <c r="B779" s="63">
        <f t="shared" si="55"/>
        <v>5</v>
      </c>
      <c r="C779" s="882">
        <v>42521</v>
      </c>
      <c r="D779" s="882" t="s">
        <v>585</v>
      </c>
      <c r="E779" s="882">
        <f t="shared" si="56"/>
        <v>42521</v>
      </c>
      <c r="F779" s="883" t="s">
        <v>1349</v>
      </c>
      <c r="G779" s="990" t="s">
        <v>588</v>
      </c>
      <c r="H779" s="324"/>
      <c r="I779" s="445"/>
      <c r="J779" s="445"/>
      <c r="K779" s="436"/>
      <c r="L779" s="445"/>
      <c r="M779" s="888">
        <f>G773*$G779</f>
        <v>0</v>
      </c>
      <c r="N779" s="889" t="s">
        <v>595</v>
      </c>
      <c r="O779" s="889"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8" customFormat="1" ht="15.75" hidden="1" customHeight="1">
      <c r="A780" s="343" t="str">
        <f>IF(B780&lt;&gt;"",IF(AND(B780='IN-TC'!$S$4,OR(TH!N780="1111",TH!O780="1111")),TH!D780,""),"")</f>
        <v/>
      </c>
      <c r="B780" s="63">
        <f t="shared" si="55"/>
        <v>5</v>
      </c>
      <c r="C780" s="882">
        <v>42521</v>
      </c>
      <c r="D780" s="882" t="s">
        <v>585</v>
      </c>
      <c r="E780" s="882">
        <f t="shared" si="56"/>
        <v>42521</v>
      </c>
      <c r="F780" s="883" t="s">
        <v>1350</v>
      </c>
      <c r="G780" s="278"/>
      <c r="H780" s="324"/>
      <c r="I780" s="445"/>
      <c r="J780" s="445"/>
      <c r="K780" s="436"/>
      <c r="L780" s="445"/>
      <c r="M780" s="888">
        <f>G774*$G779</f>
        <v>0</v>
      </c>
      <c r="N780" s="889" t="s">
        <v>595</v>
      </c>
      <c r="O780" s="889"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8" customFormat="1" ht="15.75" hidden="1" customHeight="1">
      <c r="A781" s="343" t="str">
        <f>IF(B781&lt;&gt;"",IF(AND(B781='IN-TC'!$S$4,OR(TH!N781="1111",TH!O781="1111")),TH!D781,""),"")</f>
        <v/>
      </c>
      <c r="B781" s="63">
        <f t="shared" si="55"/>
        <v>5</v>
      </c>
      <c r="C781" s="882">
        <v>42521</v>
      </c>
      <c r="D781" s="882" t="s">
        <v>585</v>
      </c>
      <c r="E781" s="882">
        <f t="shared" si="56"/>
        <v>42521</v>
      </c>
      <c r="F781" s="883" t="s">
        <v>1351</v>
      </c>
      <c r="G781" s="990" t="s">
        <v>589</v>
      </c>
      <c r="H781" s="322"/>
      <c r="I781" s="447"/>
      <c r="J781" s="447"/>
      <c r="K781" s="438"/>
      <c r="L781" s="447"/>
      <c r="M781" s="888">
        <f>G773*$G781</f>
        <v>0</v>
      </c>
      <c r="N781" s="889" t="s">
        <v>594</v>
      </c>
      <c r="O781" s="889"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8" customFormat="1" ht="15.75" hidden="1" customHeight="1">
      <c r="A782" s="343" t="str">
        <f>IF(B782&lt;&gt;"",IF(AND(B782='IN-TC'!$S$4,OR(TH!N782="1111",TH!O782="1111")),TH!D782,""),"")</f>
        <v/>
      </c>
      <c r="B782" s="63">
        <f t="shared" si="55"/>
        <v>5</v>
      </c>
      <c r="C782" s="882">
        <v>42521</v>
      </c>
      <c r="D782" s="882" t="s">
        <v>585</v>
      </c>
      <c r="E782" s="882">
        <f t="shared" si="56"/>
        <v>42521</v>
      </c>
      <c r="F782" s="883" t="s">
        <v>1352</v>
      </c>
      <c r="G782" s="278"/>
      <c r="H782" s="322"/>
      <c r="I782" s="447"/>
      <c r="J782" s="447"/>
      <c r="K782" s="438"/>
      <c r="L782" s="447"/>
      <c r="M782" s="888">
        <f>G774*$G781</f>
        <v>0</v>
      </c>
      <c r="N782" s="889" t="s">
        <v>283</v>
      </c>
      <c r="O782" s="889" t="s">
        <v>597</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8" customFormat="1" ht="15.75" hidden="1" customHeight="1">
      <c r="A783" s="343" t="str">
        <f>IF(B783&lt;&gt;"",IF(AND(B783='IN-TC'!$S$4,OR(TH!N783="1111",TH!O783="1111")),TH!D783,""),"")</f>
        <v/>
      </c>
      <c r="B783" s="63">
        <f t="shared" si="55"/>
        <v>5</v>
      </c>
      <c r="C783" s="882">
        <v>42521</v>
      </c>
      <c r="D783" s="882" t="s">
        <v>585</v>
      </c>
      <c r="E783" s="882">
        <f t="shared" si="56"/>
        <v>42521</v>
      </c>
      <c r="F783" s="883" t="s">
        <v>1353</v>
      </c>
      <c r="G783" s="990" t="s">
        <v>590</v>
      </c>
      <c r="H783" s="322"/>
      <c r="I783" s="447"/>
      <c r="J783" s="447"/>
      <c r="K783" s="438"/>
      <c r="L783" s="447"/>
      <c r="M783" s="888">
        <f>G773*$G783</f>
        <v>0</v>
      </c>
      <c r="N783" s="889" t="s">
        <v>595</v>
      </c>
      <c r="O783" s="889"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8" customFormat="1" ht="15.75" hidden="1" customHeight="1">
      <c r="A784" s="343" t="str">
        <f>IF(B784&lt;&gt;"",IF(AND(B784='IN-TC'!$S$4,OR(TH!N784="1111",TH!O784="1111")),TH!D784,""),"")</f>
        <v/>
      </c>
      <c r="B784" s="63">
        <f t="shared" si="55"/>
        <v>5</v>
      </c>
      <c r="C784" s="882">
        <v>42521</v>
      </c>
      <c r="D784" s="882" t="s">
        <v>585</v>
      </c>
      <c r="E784" s="882">
        <f t="shared" si="56"/>
        <v>42521</v>
      </c>
      <c r="F784" s="883" t="s">
        <v>1354</v>
      </c>
      <c r="G784" s="278"/>
      <c r="H784" s="322"/>
      <c r="I784" s="447"/>
      <c r="J784" s="447"/>
      <c r="K784" s="438"/>
      <c r="L784" s="447"/>
      <c r="M784" s="888">
        <f>G774*$G783</f>
        <v>0</v>
      </c>
      <c r="N784" s="889" t="s">
        <v>595</v>
      </c>
      <c r="O784" s="889"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8" customFormat="1" ht="15.75" hidden="1" customHeight="1">
      <c r="A785" s="343" t="str">
        <f>IF(B785&lt;&gt;"",IF(AND(B785='IN-TC'!$S$4,OR(TH!N785="1111",TH!O785="1111")),TH!D785,""),"")</f>
        <v/>
      </c>
      <c r="B785" s="63">
        <f t="shared" si="55"/>
        <v>5</v>
      </c>
      <c r="C785" s="882">
        <v>42521</v>
      </c>
      <c r="D785" s="882" t="s">
        <v>585</v>
      </c>
      <c r="E785" s="882">
        <f t="shared" si="56"/>
        <v>42521</v>
      </c>
      <c r="F785" s="883" t="s">
        <v>1355</v>
      </c>
      <c r="G785" s="990" t="s">
        <v>590</v>
      </c>
      <c r="H785" s="1147"/>
      <c r="I785" s="448"/>
      <c r="J785" s="448"/>
      <c r="K785" s="439"/>
      <c r="L785" s="448"/>
      <c r="M785" s="888">
        <f>M783</f>
        <v>0</v>
      </c>
      <c r="N785" s="889" t="s">
        <v>594</v>
      </c>
      <c r="O785" s="889"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8" customFormat="1" ht="15.75" hidden="1" customHeight="1">
      <c r="A786" s="343" t="str">
        <f>IF(B786&lt;&gt;"",IF(AND(B786='IN-TC'!$S$4,OR(TH!N786="1111",TH!O786="1111")),TH!D786,""),"")</f>
        <v/>
      </c>
      <c r="B786" s="63">
        <f t="shared" si="55"/>
        <v>5</v>
      </c>
      <c r="C786" s="882">
        <v>42521</v>
      </c>
      <c r="D786" s="882" t="s">
        <v>585</v>
      </c>
      <c r="E786" s="882">
        <f t="shared" si="56"/>
        <v>42521</v>
      </c>
      <c r="F786" s="883" t="s">
        <v>1356</v>
      </c>
      <c r="G786" s="278"/>
      <c r="H786" s="322"/>
      <c r="I786" s="447"/>
      <c r="J786" s="447"/>
      <c r="K786" s="438"/>
      <c r="L786" s="447"/>
      <c r="M786" s="888">
        <f>M784</f>
        <v>0</v>
      </c>
      <c r="N786" s="889" t="s">
        <v>283</v>
      </c>
      <c r="O786" s="889" t="s">
        <v>598</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8" customFormat="1" ht="15.75" hidden="1" customHeight="1">
      <c r="A787" s="343" t="str">
        <f>IF(B787&lt;&gt;"",IF(AND(B787='IN-TC'!$S$4,OR(TH!N787="1111",TH!O787="1111")),TH!D787,""),"")</f>
        <v/>
      </c>
      <c r="B787" s="63">
        <f t="shared" si="55"/>
        <v>6</v>
      </c>
      <c r="C787" s="882">
        <v>42551</v>
      </c>
      <c r="D787" s="882" t="s">
        <v>585</v>
      </c>
      <c r="E787" s="882">
        <f t="shared" si="56"/>
        <v>42551</v>
      </c>
      <c r="F787" s="883" t="s">
        <v>1343</v>
      </c>
      <c r="G787" s="278"/>
      <c r="H787" s="322"/>
      <c r="I787" s="447"/>
      <c r="J787" s="447"/>
      <c r="K787" s="438"/>
      <c r="L787" s="447"/>
      <c r="M787" s="888"/>
      <c r="N787" s="889" t="s">
        <v>594</v>
      </c>
      <c r="O787" s="889" t="s">
        <v>595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8" customFormat="1" ht="15.75" hidden="1" customHeight="1">
      <c r="A788" s="343" t="str">
        <f>IF(B788&lt;&gt;"",IF(AND(B788='IN-TC'!$S$4,OR(TH!N788="1111",TH!O788="1111")),TH!D788,""),"")</f>
        <v/>
      </c>
      <c r="B788" s="63">
        <f t="shared" si="55"/>
        <v>6</v>
      </c>
      <c r="C788" s="882">
        <v>42551</v>
      </c>
      <c r="D788" s="882" t="s">
        <v>585</v>
      </c>
      <c r="E788" s="882">
        <f t="shared" si="56"/>
        <v>42551</v>
      </c>
      <c r="F788" s="883" t="s">
        <v>1344</v>
      </c>
      <c r="G788" s="278"/>
      <c r="H788" s="322"/>
      <c r="I788" s="447"/>
      <c r="J788" s="447"/>
      <c r="K788" s="438"/>
      <c r="L788" s="447"/>
      <c r="M788" s="888"/>
      <c r="N788" s="889" t="s">
        <v>283</v>
      </c>
      <c r="O788" s="889" t="s">
        <v>595</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8" customFormat="1" ht="15.75" hidden="1" customHeight="1">
      <c r="A789" s="343" t="str">
        <f>IF(B789&lt;&gt;"",IF(AND(B789='IN-TC'!$S$4,OR(TH!N789="1111",TH!O789="1111")),TH!D789,""),"")</f>
        <v/>
      </c>
      <c r="B789" s="63">
        <f t="shared" si="55"/>
        <v>6</v>
      </c>
      <c r="C789" s="882">
        <v>42551</v>
      </c>
      <c r="D789" s="882" t="s">
        <v>585</v>
      </c>
      <c r="E789" s="882">
        <f t="shared" si="56"/>
        <v>42551</v>
      </c>
      <c r="F789" s="883" t="s">
        <v>1345</v>
      </c>
      <c r="G789" s="990" t="s">
        <v>586</v>
      </c>
      <c r="H789" s="322"/>
      <c r="I789" s="447"/>
      <c r="J789" s="447"/>
      <c r="K789" s="438"/>
      <c r="L789" s="447"/>
      <c r="M789" s="888">
        <f>G787*$G789</f>
        <v>0</v>
      </c>
      <c r="N789" s="889" t="s">
        <v>595</v>
      </c>
      <c r="O789" s="889" t="s">
        <v>596</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8" customFormat="1" ht="15.75" hidden="1" customHeight="1">
      <c r="A790" s="343" t="str">
        <f>IF(B790&lt;&gt;"",IF(AND(B790='IN-TC'!$S$4,OR(TH!N790="1111",TH!O790="1111")),TH!D790,""),"")</f>
        <v/>
      </c>
      <c r="B790" s="63">
        <f t="shared" si="55"/>
        <v>6</v>
      </c>
      <c r="C790" s="882">
        <v>42551</v>
      </c>
      <c r="D790" s="882" t="s">
        <v>585</v>
      </c>
      <c r="E790" s="882">
        <f t="shared" si="56"/>
        <v>42551</v>
      </c>
      <c r="F790" s="883" t="s">
        <v>1346</v>
      </c>
      <c r="G790" s="278"/>
      <c r="H790" s="322"/>
      <c r="I790" s="447"/>
      <c r="J790" s="447"/>
      <c r="K790" s="438"/>
      <c r="L790" s="447"/>
      <c r="M790" s="888">
        <f>G788*$G789</f>
        <v>0</v>
      </c>
      <c r="N790" s="890" t="s">
        <v>595</v>
      </c>
      <c r="O790" s="891" t="s">
        <v>596</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8" customFormat="1" ht="15.75" hidden="1" customHeight="1">
      <c r="A791" s="343" t="str">
        <f>IF(B791&lt;&gt;"",IF(AND(B791='IN-TC'!$S$4,OR(TH!N791="1111",TH!O791="1111")),TH!D791,""),"")</f>
        <v/>
      </c>
      <c r="B791" s="63">
        <f t="shared" si="55"/>
        <v>6</v>
      </c>
      <c r="C791" s="882">
        <v>42551</v>
      </c>
      <c r="D791" s="882" t="s">
        <v>585</v>
      </c>
      <c r="E791" s="882">
        <f t="shared" si="56"/>
        <v>42551</v>
      </c>
      <c r="F791" s="883" t="s">
        <v>1347</v>
      </c>
      <c r="G791" s="990" t="s">
        <v>587</v>
      </c>
      <c r="H791" s="322"/>
      <c r="I791" s="447"/>
      <c r="J791" s="447"/>
      <c r="K791" s="438"/>
      <c r="L791" s="447"/>
      <c r="M791" s="888">
        <f>G787*$G791</f>
        <v>0</v>
      </c>
      <c r="N791" s="889" t="s">
        <v>594</v>
      </c>
      <c r="O791" s="889" t="s">
        <v>596</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8" customFormat="1" ht="15.75" hidden="1" customHeight="1">
      <c r="A792" s="343" t="str">
        <f>IF(B792&lt;&gt;"",IF(AND(B792='IN-TC'!$S$4,OR(TH!N792="1111",TH!O792="1111")),TH!D792,""),"")</f>
        <v/>
      </c>
      <c r="B792" s="63">
        <f t="shared" si="55"/>
        <v>6</v>
      </c>
      <c r="C792" s="882">
        <v>42551</v>
      </c>
      <c r="D792" s="882" t="s">
        <v>585</v>
      </c>
      <c r="E792" s="882">
        <f t="shared" si="56"/>
        <v>42551</v>
      </c>
      <c r="F792" s="883" t="s">
        <v>1348</v>
      </c>
      <c r="G792" s="278"/>
      <c r="H792" s="322"/>
      <c r="I792" s="447"/>
      <c r="J792" s="447"/>
      <c r="K792" s="438"/>
      <c r="L792" s="447"/>
      <c r="M792" s="888">
        <f>G788*$G791</f>
        <v>0</v>
      </c>
      <c r="N792" s="889" t="s">
        <v>283</v>
      </c>
      <c r="O792" s="889" t="s">
        <v>596</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8" customFormat="1" ht="15.75" hidden="1" customHeight="1">
      <c r="A793" s="343" t="str">
        <f>IF(B793&lt;&gt;"",IF(AND(B793='IN-TC'!$S$4,OR(TH!N793="1111",TH!O793="1111")),TH!D793,""),"")</f>
        <v/>
      </c>
      <c r="B793" s="63">
        <f t="shared" si="55"/>
        <v>6</v>
      </c>
      <c r="C793" s="882">
        <v>42551</v>
      </c>
      <c r="D793" s="882" t="s">
        <v>585</v>
      </c>
      <c r="E793" s="882">
        <f t="shared" si="56"/>
        <v>42551</v>
      </c>
      <c r="F793" s="883" t="s">
        <v>1349</v>
      </c>
      <c r="G793" s="990" t="s">
        <v>588</v>
      </c>
      <c r="H793" s="324"/>
      <c r="I793" s="445"/>
      <c r="J793" s="445"/>
      <c r="K793" s="436"/>
      <c r="L793" s="445"/>
      <c r="M793" s="888">
        <f>G787*$G793</f>
        <v>0</v>
      </c>
      <c r="N793" s="889" t="s">
        <v>595</v>
      </c>
      <c r="O793" s="889" t="s">
        <v>597</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8" customFormat="1" ht="15.75" hidden="1" customHeight="1">
      <c r="A794" s="343" t="str">
        <f>IF(B794&lt;&gt;"",IF(AND(B794='IN-TC'!$S$4,OR(TH!N794="1111",TH!O794="1111")),TH!D794,""),"")</f>
        <v/>
      </c>
      <c r="B794" s="63">
        <f t="shared" si="55"/>
        <v>6</v>
      </c>
      <c r="C794" s="882">
        <v>42551</v>
      </c>
      <c r="D794" s="882" t="s">
        <v>585</v>
      </c>
      <c r="E794" s="882">
        <f>C794</f>
        <v>42551</v>
      </c>
      <c r="F794" s="883" t="s">
        <v>1350</v>
      </c>
      <c r="G794" s="278"/>
      <c r="H794" s="324"/>
      <c r="I794" s="445"/>
      <c r="J794" s="445"/>
      <c r="K794" s="436"/>
      <c r="L794" s="445"/>
      <c r="M794" s="888">
        <f>G788*$G793</f>
        <v>0</v>
      </c>
      <c r="N794" s="889" t="s">
        <v>595</v>
      </c>
      <c r="O794" s="889" t="s">
        <v>597</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8" customFormat="1" ht="15.75" hidden="1" customHeight="1">
      <c r="A795" s="343" t="str">
        <f>IF(B795&lt;&gt;"",IF(AND(B795='IN-TC'!$S$4,OR(TH!N795="1111",TH!O795="1111")),TH!D795,""),"")</f>
        <v/>
      </c>
      <c r="B795" s="63">
        <f t="shared" si="55"/>
        <v>6</v>
      </c>
      <c r="C795" s="882">
        <v>42551</v>
      </c>
      <c r="D795" s="882" t="s">
        <v>585</v>
      </c>
      <c r="E795" s="882">
        <f t="shared" ref="E795:E800" si="57">C795</f>
        <v>42551</v>
      </c>
      <c r="F795" s="883" t="s">
        <v>1351</v>
      </c>
      <c r="G795" s="990" t="s">
        <v>589</v>
      </c>
      <c r="H795" s="322"/>
      <c r="I795" s="447"/>
      <c r="J795" s="447"/>
      <c r="K795" s="438"/>
      <c r="L795" s="447"/>
      <c r="M795" s="888">
        <f>G787*$G795</f>
        <v>0</v>
      </c>
      <c r="N795" s="889" t="s">
        <v>594</v>
      </c>
      <c r="O795" s="889" t="s">
        <v>597</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8" customFormat="1" ht="15.75" hidden="1" customHeight="1">
      <c r="A796" s="343" t="str">
        <f>IF(B796&lt;&gt;"",IF(AND(B796='IN-TC'!$S$4,OR(TH!N796="1111",TH!O796="1111")),TH!D796,""),"")</f>
        <v/>
      </c>
      <c r="B796" s="63">
        <f t="shared" si="55"/>
        <v>6</v>
      </c>
      <c r="C796" s="882">
        <v>42551</v>
      </c>
      <c r="D796" s="882" t="s">
        <v>585</v>
      </c>
      <c r="E796" s="882">
        <f t="shared" si="57"/>
        <v>42551</v>
      </c>
      <c r="F796" s="883" t="s">
        <v>1352</v>
      </c>
      <c r="G796" s="278"/>
      <c r="H796" s="322"/>
      <c r="I796" s="447"/>
      <c r="J796" s="447"/>
      <c r="K796" s="438"/>
      <c r="L796" s="447"/>
      <c r="M796" s="888">
        <f>G788*$G795</f>
        <v>0</v>
      </c>
      <c r="N796" s="889" t="s">
        <v>283</v>
      </c>
      <c r="O796" s="889" t="s">
        <v>597</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8" customFormat="1" ht="15.75" hidden="1" customHeight="1">
      <c r="A797" s="343" t="str">
        <f>IF(B797&lt;&gt;"",IF(AND(B797='IN-TC'!$S$4,OR(TH!N797="1111",TH!O797="1111")),TH!D797,""),"")</f>
        <v/>
      </c>
      <c r="B797" s="63">
        <f t="shared" si="55"/>
        <v>6</v>
      </c>
      <c r="C797" s="882">
        <v>42551</v>
      </c>
      <c r="D797" s="882" t="s">
        <v>585</v>
      </c>
      <c r="E797" s="882">
        <f t="shared" si="57"/>
        <v>42551</v>
      </c>
      <c r="F797" s="883" t="s">
        <v>1353</v>
      </c>
      <c r="G797" s="990" t="s">
        <v>590</v>
      </c>
      <c r="H797" s="322"/>
      <c r="I797" s="447"/>
      <c r="J797" s="447"/>
      <c r="K797" s="438"/>
      <c r="L797" s="447"/>
      <c r="M797" s="888">
        <f>G787*$G797</f>
        <v>0</v>
      </c>
      <c r="N797" s="889" t="s">
        <v>595</v>
      </c>
      <c r="O797" s="889" t="s">
        <v>598</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8" customFormat="1" ht="15.75" hidden="1" customHeight="1">
      <c r="A798" s="343" t="str">
        <f>IF(B798&lt;&gt;"",IF(AND(B798='IN-TC'!$S$4,OR(TH!N798="1111",TH!O798="1111")),TH!D798,""),"")</f>
        <v/>
      </c>
      <c r="B798" s="63">
        <f t="shared" si="55"/>
        <v>6</v>
      </c>
      <c r="C798" s="882">
        <v>42551</v>
      </c>
      <c r="D798" s="882" t="s">
        <v>585</v>
      </c>
      <c r="E798" s="882">
        <f t="shared" si="57"/>
        <v>42551</v>
      </c>
      <c r="F798" s="883" t="s">
        <v>1354</v>
      </c>
      <c r="G798" s="278"/>
      <c r="H798" s="322"/>
      <c r="I798" s="447"/>
      <c r="J798" s="447"/>
      <c r="K798" s="438"/>
      <c r="L798" s="447"/>
      <c r="M798" s="888">
        <f>G788*$G797</f>
        <v>0</v>
      </c>
      <c r="N798" s="889" t="s">
        <v>595</v>
      </c>
      <c r="O798" s="889" t="s">
        <v>598</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8" customFormat="1" ht="15.75" hidden="1" customHeight="1">
      <c r="A799" s="343" t="str">
        <f>IF(B799&lt;&gt;"",IF(AND(B799='IN-TC'!$S$4,OR(TH!N799="1111",TH!O799="1111")),TH!D799,""),"")</f>
        <v/>
      </c>
      <c r="B799" s="63">
        <f t="shared" si="55"/>
        <v>6</v>
      </c>
      <c r="C799" s="882">
        <v>42551</v>
      </c>
      <c r="D799" s="882" t="s">
        <v>585</v>
      </c>
      <c r="E799" s="882">
        <f t="shared" si="57"/>
        <v>42551</v>
      </c>
      <c r="F799" s="883" t="s">
        <v>1355</v>
      </c>
      <c r="G799" s="990" t="s">
        <v>590</v>
      </c>
      <c r="H799" s="1147"/>
      <c r="I799" s="448"/>
      <c r="J799" s="448"/>
      <c r="K799" s="439"/>
      <c r="L799" s="448"/>
      <c r="M799" s="888">
        <f>M797</f>
        <v>0</v>
      </c>
      <c r="N799" s="889" t="s">
        <v>594</v>
      </c>
      <c r="O799" s="889" t="s">
        <v>598</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8" customFormat="1" ht="15.75" hidden="1" customHeight="1">
      <c r="A800" s="343" t="str">
        <f>IF(B800&lt;&gt;"",IF(AND(B800='IN-TC'!$S$4,OR(TH!N800="1111",TH!O800="1111")),TH!D800,""),"")</f>
        <v/>
      </c>
      <c r="B800" s="63">
        <f t="shared" si="55"/>
        <v>6</v>
      </c>
      <c r="C800" s="882">
        <v>42551</v>
      </c>
      <c r="D800" s="882" t="s">
        <v>585</v>
      </c>
      <c r="E800" s="882">
        <f t="shared" si="57"/>
        <v>42551</v>
      </c>
      <c r="F800" s="883" t="s">
        <v>1356</v>
      </c>
      <c r="G800" s="278"/>
      <c r="H800" s="322"/>
      <c r="I800" s="447"/>
      <c r="J800" s="447"/>
      <c r="K800" s="438"/>
      <c r="L800" s="447"/>
      <c r="M800" s="888">
        <f>M798</f>
        <v>0</v>
      </c>
      <c r="N800" s="889" t="s">
        <v>283</v>
      </c>
      <c r="O800" s="889" t="s">
        <v>598</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2" customFormat="1" ht="15.75" hidden="1" customHeight="1">
      <c r="A801" s="1181" t="str">
        <f>IF(B801&lt;&gt;"",IF(AND(B801='IN-TC'!$S$4,OR(TH!N801="1111",TH!O801="1111")),TH!D801,""),"")</f>
        <v/>
      </c>
      <c r="B801" s="1149">
        <f t="shared" si="55"/>
        <v>4</v>
      </c>
      <c r="C801" s="876">
        <v>42473</v>
      </c>
      <c r="D801" s="876" t="s">
        <v>599</v>
      </c>
      <c r="E801" s="876">
        <f t="shared" ref="E801:E818" si="58">C801</f>
        <v>42473</v>
      </c>
      <c r="F801" s="877" t="s">
        <v>454</v>
      </c>
      <c r="G801" s="993" t="s">
        <v>1387</v>
      </c>
      <c r="H801" s="985" t="s">
        <v>1388</v>
      </c>
      <c r="I801" s="986">
        <v>8800</v>
      </c>
      <c r="J801" s="988">
        <v>8.6999999999999993</v>
      </c>
      <c r="K801" s="987">
        <f>I801*J801</f>
        <v>76560</v>
      </c>
      <c r="L801" s="986">
        <v>22250</v>
      </c>
      <c r="M801" s="1151">
        <f>ROUND(K801*L801,0)</f>
        <v>1703460000</v>
      </c>
      <c r="N801" s="884" t="s">
        <v>591</v>
      </c>
      <c r="O801" s="884"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8" customFormat="1" ht="15.75" hidden="1" customHeight="1">
      <c r="A802" s="343" t="str">
        <f>IF(B802&lt;&gt;"",IF(AND(B802='IN-TC'!$S$4,OR(TH!N802="1111",TH!O802="1111")),TH!D802,""),"")</f>
        <v/>
      </c>
      <c r="B802" s="63">
        <f t="shared" si="55"/>
        <v>4</v>
      </c>
      <c r="C802" s="81">
        <v>42461</v>
      </c>
      <c r="D802" s="81" t="s">
        <v>599</v>
      </c>
      <c r="E802" s="1155">
        <f t="shared" si="58"/>
        <v>42461</v>
      </c>
      <c r="F802" s="82" t="s">
        <v>454</v>
      </c>
      <c r="G802" s="82"/>
      <c r="H802" s="83" t="s">
        <v>700</v>
      </c>
      <c r="I802" s="445">
        <v>5000</v>
      </c>
      <c r="J802" s="445"/>
      <c r="K802" s="436"/>
      <c r="L802" s="445"/>
      <c r="M802" s="84">
        <v>889417147.29243457</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hidden="1" customHeight="1">
      <c r="A803" s="343" t="str">
        <f>IF(B803&lt;&gt;"",IF(AND(B803='IN-TC'!$S$4,OR(TH!N803="1111",TH!O803="1111")),TH!D803,""),"")</f>
        <v/>
      </c>
      <c r="B803" s="63">
        <f t="shared" si="55"/>
        <v>4</v>
      </c>
      <c r="C803" s="81">
        <v>42473</v>
      </c>
      <c r="D803" s="81" t="s">
        <v>702</v>
      </c>
      <c r="E803" s="1155">
        <f t="shared" si="58"/>
        <v>42473</v>
      </c>
      <c r="F803" s="82" t="s">
        <v>454</v>
      </c>
      <c r="G803" s="82"/>
      <c r="H803" s="83" t="s">
        <v>700</v>
      </c>
      <c r="I803" s="445">
        <v>5000</v>
      </c>
      <c r="J803" s="445"/>
      <c r="K803" s="436"/>
      <c r="L803" s="445"/>
      <c r="M803" s="84">
        <v>937996693</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hidden="1" customHeight="1">
      <c r="A804" s="343" t="str">
        <f>IF(B804&lt;&gt;"",IF(AND(B804='IN-TC'!$S$4,OR(TH!N804="1111",TH!O804="1111")),TH!D804,""),"")</f>
        <v/>
      </c>
      <c r="B804" s="63">
        <f t="shared" ref="B804:B813" si="59">IF(C804&lt;&gt;"",MONTH(C804),"")</f>
        <v>4</v>
      </c>
      <c r="C804" s="81">
        <v>42473</v>
      </c>
      <c r="D804" s="81" t="s">
        <v>702</v>
      </c>
      <c r="E804" s="1155">
        <f t="shared" si="58"/>
        <v>42473</v>
      </c>
      <c r="F804" s="82" t="s">
        <v>454</v>
      </c>
      <c r="G804" s="82"/>
      <c r="H804" s="83" t="s">
        <v>700</v>
      </c>
      <c r="I804" s="445">
        <v>3800</v>
      </c>
      <c r="J804" s="445"/>
      <c r="K804" s="436"/>
      <c r="L804" s="445"/>
      <c r="M804" s="84">
        <v>656459297</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hidden="1" customHeight="1">
      <c r="A805" s="343" t="str">
        <f>IF(B805&lt;&gt;"",IF(AND(B805='IN-TC'!$S$4,OR(TH!N805="1111",TH!O805="1111")),TH!D805,""),"")</f>
        <v/>
      </c>
      <c r="B805" s="63">
        <f t="shared" si="59"/>
        <v>4</v>
      </c>
      <c r="C805" s="81">
        <v>42473</v>
      </c>
      <c r="D805" s="81" t="s">
        <v>599</v>
      </c>
      <c r="E805" s="1155">
        <f t="shared" si="58"/>
        <v>42473</v>
      </c>
      <c r="F805" s="82" t="s">
        <v>454</v>
      </c>
      <c r="G805" s="82"/>
      <c r="H805" s="83" t="s">
        <v>1388</v>
      </c>
      <c r="I805" s="445">
        <v>8800</v>
      </c>
      <c r="J805" s="445"/>
      <c r="K805" s="436"/>
      <c r="L805" s="445"/>
      <c r="M805" s="84">
        <v>1594455990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ht="15.75" hidden="1" customHeight="1">
      <c r="A806" s="343" t="str">
        <f>IF(B806&lt;&gt;"",IF(AND(B806='IN-TC'!$S$4,OR(TH!N806="1111",TH!O806="1111")),TH!D806,""),"")</f>
        <v/>
      </c>
      <c r="B806" s="63">
        <f t="shared" si="59"/>
        <v>4</v>
      </c>
      <c r="C806" s="64">
        <v>42462</v>
      </c>
      <c r="D806" s="64" t="s">
        <v>878</v>
      </c>
      <c r="E806" s="64">
        <f t="shared" si="58"/>
        <v>42462</v>
      </c>
      <c r="F806" s="67" t="s">
        <v>1025</v>
      </c>
      <c r="G806" s="996" t="s">
        <v>1410</v>
      </c>
      <c r="H806" s="74" t="s">
        <v>818</v>
      </c>
      <c r="I806" s="447"/>
      <c r="J806" s="447"/>
      <c r="K806" s="438"/>
      <c r="L806" s="447"/>
      <c r="M806" s="65">
        <v>1036637</v>
      </c>
      <c r="N806" s="66" t="s">
        <v>101</v>
      </c>
      <c r="O806" s="66" t="s">
        <v>63</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ht="15.75" hidden="1" customHeight="1">
      <c r="A807" s="343" t="str">
        <f>IF(B807&lt;&gt;"",IF(AND(B807='IN-TC'!$S$4,OR(TH!N807="1111",TH!O807="1111")),TH!D807,""),"")</f>
        <v/>
      </c>
      <c r="B807" s="63">
        <f t="shared" si="59"/>
        <v>4</v>
      </c>
      <c r="C807" s="64">
        <v>42462</v>
      </c>
      <c r="D807" s="64" t="s">
        <v>878</v>
      </c>
      <c r="E807" s="64">
        <f t="shared" si="58"/>
        <v>42462</v>
      </c>
      <c r="F807" s="67" t="s">
        <v>1411</v>
      </c>
      <c r="G807" s="996" t="s">
        <v>1410</v>
      </c>
      <c r="H807" s="74" t="s">
        <v>818</v>
      </c>
      <c r="I807" s="447"/>
      <c r="J807" s="447"/>
      <c r="K807" s="438"/>
      <c r="L807" s="447"/>
      <c r="M807" s="65">
        <v>103663</v>
      </c>
      <c r="N807" s="66" t="s">
        <v>9</v>
      </c>
      <c r="O807" s="66" t="s">
        <v>63</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ht="15.75" hidden="1" customHeight="1">
      <c r="A808" s="343" t="str">
        <f>IF(B808&lt;&gt;"",IF(AND(B808='IN-TC'!$S$4,OR(TH!N808="1111",TH!O808="1111")),TH!D808,""),"")</f>
        <v/>
      </c>
      <c r="B808" s="63">
        <f t="shared" si="59"/>
        <v>4</v>
      </c>
      <c r="C808" s="64">
        <v>42464</v>
      </c>
      <c r="D808" s="64" t="s">
        <v>879</v>
      </c>
      <c r="E808" s="64">
        <f t="shared" si="58"/>
        <v>42464</v>
      </c>
      <c r="F808" s="67" t="s">
        <v>1024</v>
      </c>
      <c r="G808" s="996" t="s">
        <v>1412</v>
      </c>
      <c r="H808" s="74" t="s">
        <v>1048</v>
      </c>
      <c r="I808" s="447"/>
      <c r="J808" s="447"/>
      <c r="K808" s="438"/>
      <c r="L808" s="447"/>
      <c r="M808" s="65">
        <v>2100000</v>
      </c>
      <c r="N808" s="66" t="s">
        <v>101</v>
      </c>
      <c r="O808" s="66" t="s">
        <v>63</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ht="15.75" hidden="1" customHeight="1">
      <c r="A809" s="343" t="str">
        <f>IF(B809&lt;&gt;"",IF(AND(B809='IN-TC'!$S$4,OR(TH!N809="1111",TH!O809="1111")),TH!D809,""),"")</f>
        <v/>
      </c>
      <c r="B809" s="63">
        <f t="shared" si="59"/>
        <v>4</v>
      </c>
      <c r="C809" s="64">
        <v>42464</v>
      </c>
      <c r="D809" s="64" t="s">
        <v>880</v>
      </c>
      <c r="E809" s="64">
        <f t="shared" si="58"/>
        <v>42464</v>
      </c>
      <c r="F809" s="67" t="s">
        <v>785</v>
      </c>
      <c r="G809" s="996" t="s">
        <v>1413</v>
      </c>
      <c r="H809" s="74" t="s">
        <v>818</v>
      </c>
      <c r="I809" s="447"/>
      <c r="J809" s="447"/>
      <c r="K809" s="438"/>
      <c r="L809" s="447"/>
      <c r="M809" s="65">
        <v>646036</v>
      </c>
      <c r="N809" s="66" t="s">
        <v>101</v>
      </c>
      <c r="O809" s="66" t="s">
        <v>63</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ht="15.75" hidden="1" customHeight="1">
      <c r="A810" s="343" t="str">
        <f>IF(B810&lt;&gt;"",IF(AND(B810='IN-TC'!$S$4,OR(TH!N810="1111",TH!O810="1111")),TH!D810,""),"")</f>
        <v/>
      </c>
      <c r="B810" s="63">
        <f t="shared" si="59"/>
        <v>4</v>
      </c>
      <c r="C810" s="64">
        <v>42464</v>
      </c>
      <c r="D810" s="64" t="s">
        <v>880</v>
      </c>
      <c r="E810" s="64">
        <f t="shared" si="58"/>
        <v>42464</v>
      </c>
      <c r="F810" s="67" t="s">
        <v>786</v>
      </c>
      <c r="G810" s="996" t="s">
        <v>1413</v>
      </c>
      <c r="H810" s="74" t="s">
        <v>818</v>
      </c>
      <c r="I810" s="447"/>
      <c r="J810" s="447"/>
      <c r="K810" s="438"/>
      <c r="L810" s="447"/>
      <c r="M810" s="65">
        <v>64604</v>
      </c>
      <c r="N810" s="66" t="s">
        <v>9</v>
      </c>
      <c r="O810" s="66" t="s">
        <v>63</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hidden="1" customHeight="1">
      <c r="A811" s="343" t="str">
        <f>IF(B811&lt;&gt;"",IF(AND(B811='IN-TC'!$S$4,OR(TH!N811="1111",TH!O811="1111")),TH!D811,""),"")</f>
        <v/>
      </c>
      <c r="B811" s="63">
        <f t="shared" si="59"/>
        <v>4</v>
      </c>
      <c r="C811" s="64">
        <v>42465</v>
      </c>
      <c r="D811" s="64" t="s">
        <v>881</v>
      </c>
      <c r="E811" s="64">
        <f t="shared" si="58"/>
        <v>42465</v>
      </c>
      <c r="F811" s="67" t="s">
        <v>1414</v>
      </c>
      <c r="G811" s="996" t="s">
        <v>1415</v>
      </c>
      <c r="H811" s="74" t="s">
        <v>856</v>
      </c>
      <c r="I811" s="447"/>
      <c r="J811" s="447"/>
      <c r="K811" s="438"/>
      <c r="L811" s="447"/>
      <c r="M811" s="65">
        <v>1981538</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hidden="1" customHeight="1">
      <c r="A812" s="343" t="str">
        <f>IF(B812&lt;&gt;"",IF(AND(B812='IN-TC'!$S$4,OR(TH!N812="1111",TH!O812="1111")),TH!D812,""),"")</f>
        <v/>
      </c>
      <c r="B812" s="63">
        <f t="shared" si="59"/>
        <v>4</v>
      </c>
      <c r="C812" s="64">
        <v>42465</v>
      </c>
      <c r="D812" s="64" t="s">
        <v>881</v>
      </c>
      <c r="E812" s="64">
        <f t="shared" si="58"/>
        <v>42465</v>
      </c>
      <c r="F812" s="67" t="s">
        <v>1416</v>
      </c>
      <c r="G812" s="996" t="s">
        <v>1415</v>
      </c>
      <c r="H812" s="74" t="s">
        <v>856</v>
      </c>
      <c r="I812" s="447"/>
      <c r="J812" s="447"/>
      <c r="K812" s="438"/>
      <c r="L812" s="447"/>
      <c r="M812" s="65">
        <v>198154</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hidden="1" customHeight="1">
      <c r="A813" s="343" t="str">
        <f>IF(B813&lt;&gt;"",IF(AND(B813='IN-TC'!$S$4,OR(TH!N813="1111",TH!O813="1111")),TH!D813,""),"")</f>
        <v/>
      </c>
      <c r="B813" s="63">
        <f t="shared" si="59"/>
        <v>4</v>
      </c>
      <c r="C813" s="64">
        <v>42471</v>
      </c>
      <c r="D813" s="64" t="s">
        <v>883</v>
      </c>
      <c r="E813" s="64">
        <f t="shared" si="58"/>
        <v>42471</v>
      </c>
      <c r="F813" s="67" t="s">
        <v>1433</v>
      </c>
      <c r="G813" s="996" t="s">
        <v>1428</v>
      </c>
      <c r="H813" s="74" t="s">
        <v>1429</v>
      </c>
      <c r="I813" s="447"/>
      <c r="J813" s="447"/>
      <c r="K813" s="438"/>
      <c r="L813" s="447"/>
      <c r="M813" s="65">
        <v>1400080</v>
      </c>
      <c r="N813" s="66" t="s">
        <v>8</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hidden="1" customHeight="1">
      <c r="A814" s="343" t="str">
        <f>IF(B814&lt;&gt;"",IF(AND(B814='IN-TC'!$S$4,OR(TH!N814="1111",TH!O814="1111")),TH!D814,""),"")</f>
        <v/>
      </c>
      <c r="B814" s="63">
        <f t="shared" ref="B814:B892" si="60">IF(C814&lt;&gt;"",MONTH(C814),"")</f>
        <v>4</v>
      </c>
      <c r="C814" s="64">
        <v>42475</v>
      </c>
      <c r="D814" s="64" t="s">
        <v>885</v>
      </c>
      <c r="E814" s="64">
        <f t="shared" si="58"/>
        <v>42475</v>
      </c>
      <c r="F814" s="67" t="s">
        <v>1025</v>
      </c>
      <c r="G814" s="996" t="s">
        <v>1417</v>
      </c>
      <c r="H814" s="74" t="s">
        <v>818</v>
      </c>
      <c r="I814" s="447"/>
      <c r="J814" s="447"/>
      <c r="K814" s="438"/>
      <c r="L814" s="447"/>
      <c r="M814" s="65">
        <v>2879537</v>
      </c>
      <c r="N814" s="66" t="s">
        <v>101</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hidden="1" customHeight="1">
      <c r="A815" s="343" t="str">
        <f>IF(B815&lt;&gt;"",IF(AND(B815='IN-TC'!$S$4,OR(TH!N815="1111",TH!O815="1111")),TH!D815,""),"")</f>
        <v/>
      </c>
      <c r="B815" s="63">
        <f t="shared" si="60"/>
        <v>4</v>
      </c>
      <c r="C815" s="64">
        <v>42475</v>
      </c>
      <c r="D815" s="64" t="s">
        <v>885</v>
      </c>
      <c r="E815" s="64">
        <f t="shared" si="58"/>
        <v>42475</v>
      </c>
      <c r="F815" s="67" t="s">
        <v>1411</v>
      </c>
      <c r="G815" s="996" t="s">
        <v>1417</v>
      </c>
      <c r="H815" s="74" t="s">
        <v>818</v>
      </c>
      <c r="I815" s="447"/>
      <c r="J815" s="447"/>
      <c r="K815" s="438"/>
      <c r="L815" s="447"/>
      <c r="M815" s="65">
        <v>287953</v>
      </c>
      <c r="N815" s="66" t="s">
        <v>9</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hidden="1" customHeight="1">
      <c r="A816" s="343" t="str">
        <f>IF(B816&lt;&gt;"",IF(AND(B816='IN-TC'!$S$4,OR(TH!N816="1111",TH!O816="1111")),TH!D816,""),"")</f>
        <v/>
      </c>
      <c r="B816" s="63">
        <f t="shared" si="60"/>
        <v>4</v>
      </c>
      <c r="C816" s="64">
        <v>42475</v>
      </c>
      <c r="D816" s="64" t="s">
        <v>886</v>
      </c>
      <c r="E816" s="64">
        <f t="shared" si="58"/>
        <v>42475</v>
      </c>
      <c r="F816" s="67" t="s">
        <v>1418</v>
      </c>
      <c r="G816" s="996" t="s">
        <v>1419</v>
      </c>
      <c r="H816" s="74" t="s">
        <v>1420</v>
      </c>
      <c r="I816" s="447"/>
      <c r="J816" s="447"/>
      <c r="K816" s="438"/>
      <c r="L816" s="447"/>
      <c r="M816" s="65">
        <v>1935000</v>
      </c>
      <c r="N816" s="66" t="s">
        <v>101</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hidden="1" customHeight="1">
      <c r="A817" s="343" t="str">
        <f>IF(B817&lt;&gt;"",IF(AND(B817='IN-TC'!$S$4,OR(TH!N817="1111",TH!O817="1111")),TH!D817,""),"")</f>
        <v/>
      </c>
      <c r="B817" s="63">
        <f t="shared" si="60"/>
        <v>4</v>
      </c>
      <c r="C817" s="64">
        <v>42477</v>
      </c>
      <c r="D817" s="64" t="s">
        <v>887</v>
      </c>
      <c r="E817" s="64">
        <f t="shared" si="58"/>
        <v>42477</v>
      </c>
      <c r="F817" s="67" t="s">
        <v>780</v>
      </c>
      <c r="G817" s="996" t="s">
        <v>1421</v>
      </c>
      <c r="H817" s="74" t="s">
        <v>818</v>
      </c>
      <c r="I817" s="447"/>
      <c r="J817" s="447"/>
      <c r="K817" s="438"/>
      <c r="L817" s="447"/>
      <c r="M817" s="65">
        <v>484527</v>
      </c>
      <c r="N817" s="66" t="s">
        <v>101</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hidden="1" customHeight="1">
      <c r="A818" s="343" t="str">
        <f>IF(B818&lt;&gt;"",IF(AND(B818='IN-TC'!$S$4,OR(TH!N818="1111",TH!O818="1111")),TH!D818,""),"")</f>
        <v/>
      </c>
      <c r="B818" s="63">
        <f t="shared" ref="B818:B825" si="61">IF(C818&lt;&gt;"",MONTH(C818),"")</f>
        <v>4</v>
      </c>
      <c r="C818" s="64">
        <v>42477</v>
      </c>
      <c r="D818" s="64" t="s">
        <v>887</v>
      </c>
      <c r="E818" s="64">
        <f t="shared" si="58"/>
        <v>42477</v>
      </c>
      <c r="F818" s="67" t="s">
        <v>781</v>
      </c>
      <c r="G818" s="996" t="s">
        <v>1421</v>
      </c>
      <c r="H818" s="74" t="s">
        <v>818</v>
      </c>
      <c r="I818" s="447"/>
      <c r="J818" s="447"/>
      <c r="K818" s="438"/>
      <c r="L818" s="447"/>
      <c r="M818" s="65">
        <v>48453</v>
      </c>
      <c r="N818" s="66" t="s">
        <v>9</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hidden="1" customHeight="1">
      <c r="A819" s="343" t="str">
        <f>IF(B819&lt;&gt;"",IF(AND(B819='IN-TC'!$S$4,OR(TH!N819="1111",TH!O819="1111")),TH!D819,""),"")</f>
        <v/>
      </c>
      <c r="B819" s="63">
        <f t="shared" si="61"/>
        <v>4</v>
      </c>
      <c r="C819" s="64">
        <v>42484</v>
      </c>
      <c r="D819" s="64" t="s">
        <v>888</v>
      </c>
      <c r="E819" s="64">
        <v>42484</v>
      </c>
      <c r="F819" s="67" t="s">
        <v>1024</v>
      </c>
      <c r="G819" s="996" t="s">
        <v>1439</v>
      </c>
      <c r="H819" s="74" t="s">
        <v>1048</v>
      </c>
      <c r="I819" s="447"/>
      <c r="J819" s="447"/>
      <c r="K819" s="438"/>
      <c r="L819" s="447"/>
      <c r="M819" s="65">
        <v>2100000</v>
      </c>
      <c r="N819" s="66" t="s">
        <v>101</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hidden="1" customHeight="1">
      <c r="A820" s="343" t="str">
        <f>IF(B820&lt;&gt;"",IF(AND(B820='IN-TC'!$S$4,OR(TH!N820="1111",TH!O820="1111")),TH!D820,""),"")</f>
        <v/>
      </c>
      <c r="B820" s="63">
        <f t="shared" si="61"/>
        <v>4</v>
      </c>
      <c r="C820" s="64">
        <v>42485</v>
      </c>
      <c r="D820" s="64" t="s">
        <v>890</v>
      </c>
      <c r="E820" s="64">
        <v>42485</v>
      </c>
      <c r="F820" s="67" t="s">
        <v>800</v>
      </c>
      <c r="G820" s="996" t="s">
        <v>1457</v>
      </c>
      <c r="H820" s="74" t="s">
        <v>818</v>
      </c>
      <c r="I820" s="447"/>
      <c r="J820" s="447"/>
      <c r="K820" s="438"/>
      <c r="L820" s="447"/>
      <c r="M820" s="65">
        <v>1660746</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hidden="1" customHeight="1">
      <c r="A821" s="343" t="str">
        <f>IF(B821&lt;&gt;"",IF(AND(B821='IN-TC'!$S$4,OR(TH!N821="1111",TH!O821="1111")),TH!D821,""),"")</f>
        <v/>
      </c>
      <c r="B821" s="63">
        <f t="shared" si="61"/>
        <v>4</v>
      </c>
      <c r="C821" s="64">
        <v>42485</v>
      </c>
      <c r="D821" s="64" t="s">
        <v>890</v>
      </c>
      <c r="E821" s="64">
        <v>42485</v>
      </c>
      <c r="F821" s="67" t="s">
        <v>801</v>
      </c>
      <c r="G821" s="996" t="s">
        <v>1457</v>
      </c>
      <c r="H821" s="74" t="s">
        <v>818</v>
      </c>
      <c r="I821" s="447"/>
      <c r="J821" s="447"/>
      <c r="K821" s="438"/>
      <c r="L821" s="447"/>
      <c r="M821" s="65">
        <v>166074</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hidden="1" customHeight="1">
      <c r="A822" s="343" t="str">
        <f>IF(B822&lt;&gt;"",IF(AND(B822='IN-TC'!$S$4,OR(TH!N822="1111",TH!O822="1111")),TH!D822,""),"")</f>
        <v/>
      </c>
      <c r="B822" s="63">
        <f t="shared" si="61"/>
        <v>4</v>
      </c>
      <c r="C822" s="64">
        <v>42487</v>
      </c>
      <c r="D822" s="64" t="s">
        <v>892</v>
      </c>
      <c r="E822" s="64">
        <v>42487</v>
      </c>
      <c r="F822" s="67" t="s">
        <v>1442</v>
      </c>
      <c r="G822" s="996" t="s">
        <v>1444</v>
      </c>
      <c r="H822" s="74" t="s">
        <v>849</v>
      </c>
      <c r="I822" s="447"/>
      <c r="J822" s="447"/>
      <c r="K822" s="438"/>
      <c r="L822" s="447"/>
      <c r="M822" s="65">
        <v>16050000</v>
      </c>
      <c r="N822" s="66" t="s">
        <v>101</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hidden="1" customHeight="1">
      <c r="A823" s="343" t="str">
        <f>IF(B823&lt;&gt;"",IF(AND(B823='IN-TC'!$S$4,OR(TH!N823="1111",TH!O823="1111")),TH!D823,""),"")</f>
        <v/>
      </c>
      <c r="B823" s="63">
        <f t="shared" si="61"/>
        <v>4</v>
      </c>
      <c r="C823" s="64">
        <v>42487</v>
      </c>
      <c r="D823" s="64" t="s">
        <v>892</v>
      </c>
      <c r="E823" s="64">
        <v>42487</v>
      </c>
      <c r="F823" s="67" t="s">
        <v>1443</v>
      </c>
      <c r="G823" s="996" t="s">
        <v>1444</v>
      </c>
      <c r="H823" s="74" t="s">
        <v>849</v>
      </c>
      <c r="I823" s="447"/>
      <c r="J823" s="447"/>
      <c r="K823" s="438"/>
      <c r="L823" s="447"/>
      <c r="M823" s="65">
        <v>1605000</v>
      </c>
      <c r="N823" s="66" t="s">
        <v>9</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hidden="1" customHeight="1">
      <c r="A824" s="343" t="str">
        <f>IF(B824&lt;&gt;"",IF(AND(B824='IN-TC'!$S$4,OR(TH!N824="1111",TH!O824="1111")),TH!D824,""),"")</f>
        <v/>
      </c>
      <c r="B824" s="63">
        <f t="shared" si="61"/>
        <v>4</v>
      </c>
      <c r="C824" s="64">
        <v>42487</v>
      </c>
      <c r="D824" s="64" t="s">
        <v>893</v>
      </c>
      <c r="E824" s="64">
        <v>42487</v>
      </c>
      <c r="F824" s="67" t="s">
        <v>1453</v>
      </c>
      <c r="G824" s="996" t="s">
        <v>1455</v>
      </c>
      <c r="H824" s="74" t="s">
        <v>1456</v>
      </c>
      <c r="I824" s="447"/>
      <c r="J824" s="447"/>
      <c r="K824" s="438"/>
      <c r="L824" s="447"/>
      <c r="M824" s="65">
        <v>2638000</v>
      </c>
      <c r="N824" s="66" t="s">
        <v>101</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hidden="1" customHeight="1">
      <c r="A825" s="343" t="str">
        <f>IF(B825&lt;&gt;"",IF(AND(B825='IN-TC'!$S$4,OR(TH!N825="1111",TH!O825="1111")),TH!D825,""),"")</f>
        <v/>
      </c>
      <c r="B825" s="63">
        <f t="shared" si="61"/>
        <v>4</v>
      </c>
      <c r="C825" s="64">
        <v>42487</v>
      </c>
      <c r="D825" s="64" t="s">
        <v>893</v>
      </c>
      <c r="E825" s="64">
        <v>42487</v>
      </c>
      <c r="F825" s="67" t="s">
        <v>1454</v>
      </c>
      <c r="G825" s="996" t="s">
        <v>1455</v>
      </c>
      <c r="H825" s="74" t="s">
        <v>1456</v>
      </c>
      <c r="I825" s="447"/>
      <c r="J825" s="447"/>
      <c r="K825" s="438"/>
      <c r="L825" s="447"/>
      <c r="M825" s="65">
        <v>263800</v>
      </c>
      <c r="N825" s="66" t="s">
        <v>9</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hidden="1" customHeight="1">
      <c r="A826" s="343" t="str">
        <f>IF(B826&lt;&gt;"",IF(AND(B826='IN-TC'!$S$4,OR(TH!N826="1111",TH!O826="1111")),TH!D826,""),"")</f>
        <v/>
      </c>
      <c r="B826" s="63">
        <f t="shared" si="60"/>
        <v>4</v>
      </c>
      <c r="C826" s="64">
        <v>42489</v>
      </c>
      <c r="D826" s="64" t="s">
        <v>894</v>
      </c>
      <c r="E826" s="64">
        <f>C826</f>
        <v>42489</v>
      </c>
      <c r="F826" s="67" t="s">
        <v>1376</v>
      </c>
      <c r="G826" s="996"/>
      <c r="H826" s="322" t="s">
        <v>1378</v>
      </c>
      <c r="I826" s="447"/>
      <c r="J826" s="447"/>
      <c r="K826" s="438"/>
      <c r="L826" s="447"/>
      <c r="M826" s="65">
        <v>818182</v>
      </c>
      <c r="N826" s="66" t="s">
        <v>101</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hidden="1" customHeight="1">
      <c r="A827" s="343" t="str">
        <f>IF(B827&lt;&gt;"",IF(AND(B827='IN-TC'!$S$4,OR(TH!N827="1111",TH!O827="1111")),TH!D827,""),"")</f>
        <v/>
      </c>
      <c r="B827" s="63">
        <f>IF(C827&lt;&gt;"",MONTH(C827),"")</f>
        <v>4</v>
      </c>
      <c r="C827" s="64">
        <v>42489</v>
      </c>
      <c r="D827" s="64" t="s">
        <v>894</v>
      </c>
      <c r="E827" s="64">
        <f>C827</f>
        <v>42489</v>
      </c>
      <c r="F827" s="67" t="s">
        <v>1377</v>
      </c>
      <c r="G827" s="996"/>
      <c r="H827" s="322" t="s">
        <v>1378</v>
      </c>
      <c r="I827" s="447"/>
      <c r="J827" s="447"/>
      <c r="K827" s="438"/>
      <c r="L827" s="447"/>
      <c r="M827" s="65">
        <v>81818</v>
      </c>
      <c r="N827" s="66" t="s">
        <v>9</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hidden="1" customHeight="1">
      <c r="A828" s="343" t="str">
        <f>IF(B828&lt;&gt;"",IF(AND(B828='IN-TC'!$S$4,OR(TH!N828="1111",TH!O828="1111")),TH!D828,""),"")</f>
        <v/>
      </c>
      <c r="B828" s="63">
        <f>IF(C828&lt;&gt;"",MONTH(C828),"")</f>
        <v>4</v>
      </c>
      <c r="C828" s="64">
        <v>42489</v>
      </c>
      <c r="D828" s="64" t="s">
        <v>895</v>
      </c>
      <c r="E828" s="64">
        <f>C828</f>
        <v>42489</v>
      </c>
      <c r="F828" s="67" t="s">
        <v>780</v>
      </c>
      <c r="G828" s="996" t="s">
        <v>1458</v>
      </c>
      <c r="H828" s="74" t="s">
        <v>818</v>
      </c>
      <c r="I828" s="447"/>
      <c r="J828" s="447"/>
      <c r="K828" s="438"/>
      <c r="L828" s="447"/>
      <c r="M828" s="65">
        <v>546782</v>
      </c>
      <c r="N828" s="66" t="s">
        <v>101</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hidden="1" customHeight="1">
      <c r="A829" s="343" t="str">
        <f>IF(B829&lt;&gt;"",IF(AND(B829='IN-TC'!$S$4,OR(TH!N829="1111",TH!O829="1111")),TH!D829,""),"")</f>
        <v/>
      </c>
      <c r="B829" s="63">
        <f>IF(C829&lt;&gt;"",MONTH(C829),"")</f>
        <v>4</v>
      </c>
      <c r="C829" s="64">
        <v>42489</v>
      </c>
      <c r="D829" s="64" t="s">
        <v>895</v>
      </c>
      <c r="E829" s="64">
        <f>C829</f>
        <v>42489</v>
      </c>
      <c r="F829" s="67" t="s">
        <v>781</v>
      </c>
      <c r="G829" s="996" t="s">
        <v>1458</v>
      </c>
      <c r="H829" s="74" t="s">
        <v>818</v>
      </c>
      <c r="I829" s="447"/>
      <c r="J829" s="447"/>
      <c r="K829" s="438"/>
      <c r="L829" s="447"/>
      <c r="M829" s="65">
        <v>54678</v>
      </c>
      <c r="N829" s="66" t="s">
        <v>9</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7.25" hidden="1" customHeight="1">
      <c r="A830" s="343" t="str">
        <f>IF(B830&lt;&gt;"",IF(AND(B830='IN-TC'!$S$4,OR(TH!N830="1111",TH!O830="1111")),TH!D830,""),"")</f>
        <v/>
      </c>
      <c r="B830" s="63">
        <f t="shared" si="60"/>
        <v>4</v>
      </c>
      <c r="C830" s="64">
        <v>42489</v>
      </c>
      <c r="D830" s="64" t="s">
        <v>896</v>
      </c>
      <c r="E830" s="64">
        <f>C830</f>
        <v>42489</v>
      </c>
      <c r="F830" s="67" t="s">
        <v>1422</v>
      </c>
      <c r="G830" s="996"/>
      <c r="H830" s="74" t="s">
        <v>859</v>
      </c>
      <c r="I830" s="447"/>
      <c r="J830" s="447"/>
      <c r="K830" s="438"/>
      <c r="L830" s="447"/>
      <c r="M830" s="65">
        <v>140728119</v>
      </c>
      <c r="N830" s="332" t="s">
        <v>595</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hidden="1" customHeight="1">
      <c r="A831" s="343" t="str">
        <f>IF(B831&lt;&gt;"",IF(AND(B831='IN-TC'!$S$4,OR(TH!N831="1111",TH!O831="1111")),TH!D831,""),"")</f>
        <v/>
      </c>
      <c r="B831" s="63">
        <f t="shared" ref="B831:B839" si="62">IF(C831&lt;&gt;"",MONTH(C831),"")</f>
        <v>4</v>
      </c>
      <c r="C831" s="64">
        <v>42461</v>
      </c>
      <c r="D831" s="320" t="s">
        <v>680</v>
      </c>
      <c r="E831" s="64">
        <f t="shared" ref="E831:E848" si="63">C831</f>
        <v>42461</v>
      </c>
      <c r="F831" s="67" t="s">
        <v>354</v>
      </c>
      <c r="G831" s="996" t="s">
        <v>1423</v>
      </c>
      <c r="H831" s="7" t="s">
        <v>625</v>
      </c>
      <c r="I831" s="447">
        <v>2000</v>
      </c>
      <c r="J831" s="447">
        <v>3200</v>
      </c>
      <c r="K831" s="438"/>
      <c r="L831" s="447"/>
      <c r="M831" s="65">
        <f>ROUND(I831*J831,0)</f>
        <v>6400000</v>
      </c>
      <c r="N831" s="66" t="s">
        <v>277</v>
      </c>
      <c r="O831" s="66" t="s">
        <v>8</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hidden="1" customHeight="1">
      <c r="A832" s="343" t="str">
        <f>IF(B832&lt;&gt;"",IF(AND(B832='IN-TC'!$S$4,OR(TH!N832="1111",TH!O832="1111")),TH!D832,""),"")</f>
        <v/>
      </c>
      <c r="B832" s="63">
        <f t="shared" si="62"/>
        <v>4</v>
      </c>
      <c r="C832" s="64">
        <v>42467</v>
      </c>
      <c r="D832" s="320" t="s">
        <v>681</v>
      </c>
      <c r="E832" s="64">
        <f t="shared" si="63"/>
        <v>42467</v>
      </c>
      <c r="F832" s="67" t="s">
        <v>656</v>
      </c>
      <c r="G832" s="996" t="s">
        <v>1424</v>
      </c>
      <c r="H832" s="74" t="s">
        <v>1441</v>
      </c>
      <c r="I832" s="447">
        <v>4500</v>
      </c>
      <c r="J832" s="447">
        <v>14000</v>
      </c>
      <c r="K832" s="438"/>
      <c r="L832" s="447"/>
      <c r="M832" s="65">
        <f t="shared" ref="M832:M838" si="64">ROUND(I832*J832,0)</f>
        <v>63000000</v>
      </c>
      <c r="N832" s="66" t="s">
        <v>277</v>
      </c>
      <c r="O832" s="66" t="s">
        <v>8</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hidden="1" customHeight="1">
      <c r="A833" s="343" t="str">
        <f>IF(B833&lt;&gt;"",IF(AND(B833='IN-TC'!$S$4,OR(TH!N833="1111",TH!O833="1111")),TH!D833,""),"")</f>
        <v/>
      </c>
      <c r="B833" s="63">
        <f t="shared" si="62"/>
        <v>4</v>
      </c>
      <c r="C833" s="64">
        <v>42467</v>
      </c>
      <c r="D833" s="320" t="s">
        <v>681</v>
      </c>
      <c r="E833" s="64">
        <f t="shared" si="63"/>
        <v>42467</v>
      </c>
      <c r="F833" s="67" t="s">
        <v>657</v>
      </c>
      <c r="G833" s="996" t="s">
        <v>1424</v>
      </c>
      <c r="H833" s="74" t="s">
        <v>1441</v>
      </c>
      <c r="I833" s="447"/>
      <c r="J833" s="447"/>
      <c r="K833" s="438"/>
      <c r="L833" s="447"/>
      <c r="M833" s="65">
        <v>6300000</v>
      </c>
      <c r="N833" s="66" t="s">
        <v>9</v>
      </c>
      <c r="O833" s="66" t="s">
        <v>8</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hidden="1" customHeight="1">
      <c r="A834" s="343" t="str">
        <f>IF(B834&lt;&gt;"",IF(AND(B834='IN-TC'!$S$4,OR(TH!N834="1111",TH!O834="1111")),TH!D834,""),"")</f>
        <v/>
      </c>
      <c r="B834" s="63">
        <f t="shared" si="62"/>
        <v>4</v>
      </c>
      <c r="C834" s="64">
        <v>42468</v>
      </c>
      <c r="D834" s="320" t="s">
        <v>682</v>
      </c>
      <c r="E834" s="64">
        <f t="shared" si="63"/>
        <v>42468</v>
      </c>
      <c r="F834" s="523" t="s">
        <v>402</v>
      </c>
      <c r="G834" s="996" t="s">
        <v>1425</v>
      </c>
      <c r="H834" s="7" t="s">
        <v>626</v>
      </c>
      <c r="I834" s="447">
        <v>1250</v>
      </c>
      <c r="J834" s="447">
        <v>18000</v>
      </c>
      <c r="K834" s="438"/>
      <c r="L834" s="447"/>
      <c r="M834" s="65">
        <f t="shared" si="64"/>
        <v>22500000</v>
      </c>
      <c r="N834" s="66" t="s">
        <v>277</v>
      </c>
      <c r="O834" s="66" t="s">
        <v>8</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hidden="1" customHeight="1">
      <c r="A835" s="343" t="str">
        <f>IF(B835&lt;&gt;"",IF(AND(B835='IN-TC'!$S$4,OR(TH!N835="1111",TH!O835="1111")),TH!D835,""),"")</f>
        <v/>
      </c>
      <c r="B835" s="63">
        <f t="shared" si="62"/>
        <v>4</v>
      </c>
      <c r="C835" s="64">
        <v>42468</v>
      </c>
      <c r="D835" s="320" t="s">
        <v>682</v>
      </c>
      <c r="E835" s="64">
        <f t="shared" si="63"/>
        <v>42468</v>
      </c>
      <c r="F835" s="523" t="s">
        <v>1426</v>
      </c>
      <c r="G835" s="996" t="s">
        <v>1425</v>
      </c>
      <c r="H835" s="7" t="s">
        <v>626</v>
      </c>
      <c r="I835" s="447"/>
      <c r="J835" s="447"/>
      <c r="K835" s="438"/>
      <c r="L835" s="447"/>
      <c r="M835" s="65">
        <v>2250000</v>
      </c>
      <c r="N835" s="66" t="s">
        <v>9</v>
      </c>
      <c r="O835" s="66" t="s">
        <v>8</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hidden="1" customHeight="1">
      <c r="A836" s="343" t="str">
        <f>IF(B836&lt;&gt;"",IF(AND(B836='IN-TC'!$S$4,OR(TH!N836="1111",TH!O836="1111")),TH!D836,""),"")</f>
        <v/>
      </c>
      <c r="B836" s="63">
        <f t="shared" si="62"/>
        <v>4</v>
      </c>
      <c r="C836" s="64">
        <v>42471</v>
      </c>
      <c r="D836" s="320" t="s">
        <v>683</v>
      </c>
      <c r="E836" s="64">
        <f t="shared" si="63"/>
        <v>42471</v>
      </c>
      <c r="F836" s="523" t="s">
        <v>1427</v>
      </c>
      <c r="G836" s="996" t="s">
        <v>1428</v>
      </c>
      <c r="H836" s="7" t="s">
        <v>1429</v>
      </c>
      <c r="I836" s="447">
        <v>100</v>
      </c>
      <c r="J836" s="447">
        <v>12728</v>
      </c>
      <c r="K836" s="438"/>
      <c r="L836" s="447"/>
      <c r="M836" s="65">
        <f t="shared" si="64"/>
        <v>1272800</v>
      </c>
      <c r="N836" s="66" t="s">
        <v>277</v>
      </c>
      <c r="O836" s="66" t="s">
        <v>8</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hidden="1" customHeight="1">
      <c r="A837" s="343" t="str">
        <f>IF(B837&lt;&gt;"",IF(AND(B837='IN-TC'!$S$4,OR(TH!N837="1111",TH!O837="1111")),TH!D837,""),"")</f>
        <v/>
      </c>
      <c r="B837" s="63">
        <f t="shared" si="62"/>
        <v>4</v>
      </c>
      <c r="C837" s="64">
        <v>42471</v>
      </c>
      <c r="D837" s="320" t="s">
        <v>683</v>
      </c>
      <c r="E837" s="64">
        <f t="shared" si="63"/>
        <v>42471</v>
      </c>
      <c r="F837" s="523" t="s">
        <v>1430</v>
      </c>
      <c r="G837" s="996" t="s">
        <v>1428</v>
      </c>
      <c r="H837" s="7" t="s">
        <v>1429</v>
      </c>
      <c r="I837" s="447"/>
      <c r="J837" s="447"/>
      <c r="K837" s="438"/>
      <c r="L837" s="447"/>
      <c r="M837" s="65">
        <v>127280</v>
      </c>
      <c r="N837" s="66" t="s">
        <v>9</v>
      </c>
      <c r="O837" s="66" t="s">
        <v>8</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5.75" customHeight="1">
      <c r="A838" s="343" t="str">
        <f>IF(B838&lt;&gt;"",IF(AND(B838='IN-TC'!$S$4,OR(TH!N838="1111",TH!O838="1111")),TH!D838,""),"")</f>
        <v/>
      </c>
      <c r="B838" s="63">
        <f t="shared" si="62"/>
        <v>4</v>
      </c>
      <c r="C838" s="64">
        <v>42471</v>
      </c>
      <c r="D838" s="320" t="s">
        <v>684</v>
      </c>
      <c r="E838" s="64">
        <f t="shared" si="63"/>
        <v>42471</v>
      </c>
      <c r="F838" s="523" t="s">
        <v>357</v>
      </c>
      <c r="G838" s="996" t="s">
        <v>1431</v>
      </c>
      <c r="H838" s="74" t="s">
        <v>629</v>
      </c>
      <c r="I838" s="447">
        <v>6750</v>
      </c>
      <c r="J838" s="447">
        <v>14728</v>
      </c>
      <c r="K838" s="438"/>
      <c r="L838" s="447"/>
      <c r="M838" s="65">
        <f t="shared" si="64"/>
        <v>99414000</v>
      </c>
      <c r="N838" s="66" t="s">
        <v>277</v>
      </c>
      <c r="O838" s="66" t="s">
        <v>8</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3" t="str">
        <f>IF(B839&lt;&gt;"",IF(AND(B839='IN-TC'!$S$4,OR(TH!N839="1111",TH!O839="1111")),TH!D839,""),"")</f>
        <v/>
      </c>
      <c r="B839" s="63">
        <f t="shared" si="62"/>
        <v>4</v>
      </c>
      <c r="C839" s="64">
        <v>42471</v>
      </c>
      <c r="D839" s="320" t="s">
        <v>684</v>
      </c>
      <c r="E839" s="64">
        <f t="shared" si="63"/>
        <v>42471</v>
      </c>
      <c r="F839" s="523" t="s">
        <v>1432</v>
      </c>
      <c r="G839" s="996" t="s">
        <v>1431</v>
      </c>
      <c r="H839" s="74" t="s">
        <v>629</v>
      </c>
      <c r="I839" s="447"/>
      <c r="J839" s="447"/>
      <c r="K839" s="438"/>
      <c r="L839" s="447"/>
      <c r="M839" s="65">
        <v>9941400</v>
      </c>
      <c r="N839" s="66" t="s">
        <v>9</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s="358" customFormat="1" ht="15.75" hidden="1" customHeight="1">
      <c r="A840" s="343" t="str">
        <f>IF(B840&lt;&gt;"",IF(AND(B840='IN-TC'!$S$4,OR(TH!N840="1111",TH!O840="1111")),TH!D840,""),"")</f>
        <v/>
      </c>
      <c r="B840" s="63">
        <f>IF(C840&lt;&gt;"",MONTH(C840),"")</f>
        <v>4</v>
      </c>
      <c r="C840" s="64">
        <v>42486</v>
      </c>
      <c r="D840" s="64" t="s">
        <v>685</v>
      </c>
      <c r="E840" s="64">
        <f>C840</f>
        <v>42486</v>
      </c>
      <c r="F840" s="67" t="s">
        <v>656</v>
      </c>
      <c r="G840" s="996" t="s">
        <v>1440</v>
      </c>
      <c r="H840" s="74" t="s">
        <v>1441</v>
      </c>
      <c r="I840" s="447">
        <v>2000</v>
      </c>
      <c r="J840" s="447">
        <v>14000</v>
      </c>
      <c r="K840" s="438"/>
      <c r="L840" s="447"/>
      <c r="M840" s="65">
        <f>ROUND(I840*J840,0)</f>
        <v>28000000</v>
      </c>
      <c r="N840" s="323" t="s">
        <v>277</v>
      </c>
      <c r="O840" s="66" t="s">
        <v>8</v>
      </c>
      <c r="P840" s="66" t="str">
        <f>IF(AND('331-CT'!$E$7=TH!H840,OR(N840="331",O840="331")),"x","")</f>
        <v/>
      </c>
      <c r="Q840" s="66" t="str">
        <f>IF(AND(B840='111'!$L$11,OR($N840=$Q$7,$O840=$Q$7)),"x","")</f>
        <v/>
      </c>
      <c r="R840" s="66" t="str">
        <f>IF(AND($N840=$Q$7,$B840&lt;'111'!$L$11),"x","")</f>
        <v/>
      </c>
      <c r="S840" s="66" t="str">
        <f>IF(AND($O840=$Q$7,$B840&lt;'111'!$L$11),"x","")</f>
        <v/>
      </c>
      <c r="T840" s="66" t="str">
        <f>IF(ISERROR(FIND('112'!$M$9,G840,1)),"",IF((AND(FIND('112'!$M$9,G840,1)&gt;=1,B840='112'!$K$9,OR($N840='112'!$I$6,$O840='112'!$I$6))),"x",""))</f>
        <v/>
      </c>
      <c r="U840" s="66" t="str">
        <f>IF(ISERROR(FIND('112'!$M$9,G840,1)),"",IF((AND(LEFT(G840,2)=LEFT('112'!$M$9,2),B840&lt;'112'!$K$9,$N840='112'!$I$6)),"x",""))</f>
        <v/>
      </c>
      <c r="V840" s="66" t="str">
        <f>IF(ISERROR(FIND('112'!$M$9,G840,1)),"",IF((AND(RIGHT(G840,2)=RIGHT('112'!$M$9,2),B840&lt;'112'!$K$9,$O840='112'!$I$6)),"x",""))</f>
        <v/>
      </c>
      <c r="W840" s="66" t="str">
        <f>IF(AND('341-CT'!$H$9=H840,OR(LEFT(N840,3)=$W$7,LEFT(O840,3)=$W$7)),"x","")</f>
        <v/>
      </c>
      <c r="X840" s="66" t="str">
        <f>IF(OR(TH!N840=TH!$X$7,O840=TH!$X$7),"x","")</f>
        <v/>
      </c>
      <c r="Y840" s="66" t="str">
        <f>IF(AND(OR(N840="131",O840="131"),H840='131-CT'!$H$9),"x","")</f>
        <v/>
      </c>
      <c r="Z840" s="66"/>
      <c r="AA840" s="66" t="str">
        <f>IF(AND(MONTH(E840)='IN-NX'!$J$5,'IN-NX'!$D$7=D840),"x","")</f>
        <v/>
      </c>
      <c r="AB840" s="66" t="str">
        <f>IF(AND(OR(LEFT(TH!N840,2)="15",LEFT(TH!O840,2)="15"),'152-CT'!$J$8=TH!F840),"x","")</f>
        <v/>
      </c>
      <c r="AC840" s="66" t="str">
        <f>IF(AND(OR(LEFT(TH!N840,2)="15",LEFT(TH!O840,2)="15"),TK!$E$7=TH!F840),"x","")</f>
        <v/>
      </c>
      <c r="AD840" s="66" t="str">
        <f>IF(AND(N840="1521",MONTH(C840)='BK-NL'!$M$11),"x","")</f>
        <v/>
      </c>
    </row>
    <row r="841" spans="1:30" s="358" customFormat="1" ht="15.75" hidden="1" customHeight="1">
      <c r="A841" s="343" t="str">
        <f>IF(B841&lt;&gt;"",IF(AND(B841='IN-TC'!$S$4,OR(TH!N841="1111",TH!O841="1111")),TH!D841,""),"")</f>
        <v/>
      </c>
      <c r="B841" s="63">
        <f>IF(C841&lt;&gt;"",MONTH(C841),"")</f>
        <v>4</v>
      </c>
      <c r="C841" s="64">
        <v>42486</v>
      </c>
      <c r="D841" s="64" t="s">
        <v>685</v>
      </c>
      <c r="E841" s="64">
        <f>C841</f>
        <v>42486</v>
      </c>
      <c r="F841" s="67" t="s">
        <v>657</v>
      </c>
      <c r="G841" s="996" t="s">
        <v>1440</v>
      </c>
      <c r="H841" s="74" t="s">
        <v>1441</v>
      </c>
      <c r="I841" s="447"/>
      <c r="J841" s="447"/>
      <c r="K841" s="438"/>
      <c r="L841" s="447"/>
      <c r="M841" s="65">
        <v>2800000</v>
      </c>
      <c r="N841" s="323" t="s">
        <v>9</v>
      </c>
      <c r="O841" s="66" t="s">
        <v>8</v>
      </c>
      <c r="P841" s="66" t="str">
        <f>IF(AND('331-CT'!$E$7=TH!H841,OR(N841="331",O841="331")),"x","")</f>
        <v/>
      </c>
      <c r="Q841" s="66" t="str">
        <f>IF(AND(B841='111'!$L$11,OR($N841=$Q$7,$O841=$Q$7)),"x","")</f>
        <v/>
      </c>
      <c r="R841" s="66" t="str">
        <f>IF(AND($N841=$Q$7,$B841&lt;'111'!$L$11),"x","")</f>
        <v/>
      </c>
      <c r="S841" s="66" t="str">
        <f>IF(AND($O841=$Q$7,$B841&lt;'111'!$L$11),"x","")</f>
        <v/>
      </c>
      <c r="T841" s="66" t="str">
        <f>IF(ISERROR(FIND('112'!$M$9,G841,1)),"",IF((AND(FIND('112'!$M$9,G841,1)&gt;=1,B841='112'!$K$9,OR($N841='112'!$I$6,$O841='112'!$I$6))),"x",""))</f>
        <v/>
      </c>
      <c r="U841" s="66" t="str">
        <f>IF(ISERROR(FIND('112'!$M$9,G841,1)),"",IF((AND(LEFT(G841,2)=LEFT('112'!$M$9,2),B841&lt;'112'!$K$9,$N841='112'!$I$6)),"x",""))</f>
        <v/>
      </c>
      <c r="V841" s="66" t="str">
        <f>IF(ISERROR(FIND('112'!$M$9,G841,1)),"",IF((AND(RIGHT(G841,2)=RIGHT('112'!$M$9,2),B841&lt;'112'!$K$9,$O841='112'!$I$6)),"x",""))</f>
        <v/>
      </c>
      <c r="W841" s="66" t="str">
        <f>IF(AND('341-CT'!$H$9=H841,OR(LEFT(N841,3)=$W$7,LEFT(O841,3)=$W$7)),"x","")</f>
        <v/>
      </c>
      <c r="X841" s="66" t="str">
        <f>IF(OR(TH!N841=TH!$X$7,O841=TH!$X$7),"x","")</f>
        <v/>
      </c>
      <c r="Y841" s="66" t="str">
        <f>IF(AND(OR(N841="131",O841="131"),H841='131-CT'!$H$9),"x","")</f>
        <v/>
      </c>
      <c r="Z841" s="66"/>
      <c r="AA841" s="66" t="str">
        <f>IF(AND(MONTH(E841)='IN-NX'!$J$5,'IN-NX'!$D$7=D841),"x","")</f>
        <v/>
      </c>
      <c r="AB841" s="66" t="str">
        <f>IF(AND(OR(LEFT(TH!N841,2)="15",LEFT(TH!O841,2)="15"),'152-CT'!$J$8=TH!F841),"x","")</f>
        <v/>
      </c>
      <c r="AC841" s="66" t="str">
        <f>IF(AND(OR(LEFT(TH!N841,2)="15",LEFT(TH!O841,2)="15"),TK!$E$7=TH!F841),"x","")</f>
        <v/>
      </c>
      <c r="AD841" s="66" t="str">
        <f>IF(AND(N841="1521",MONTH(C841)='BK-NL'!$M$11),"x","")</f>
        <v/>
      </c>
    </row>
    <row r="842" spans="1:30" s="358" customFormat="1" ht="15.75" hidden="1" customHeight="1">
      <c r="A842" s="343" t="str">
        <f>IF(B842&lt;&gt;"",IF(AND(B842='IN-TC'!$S$4,OR(TH!N842="1111",TH!O842="1111")),TH!D842,""),"")</f>
        <v/>
      </c>
      <c r="B842" s="63">
        <f>IF(C842&lt;&gt;"",MONTH(C842),"")</f>
        <v>4</v>
      </c>
      <c r="C842" s="64">
        <v>42488</v>
      </c>
      <c r="D842" s="64" t="s">
        <v>1459</v>
      </c>
      <c r="E842" s="64">
        <f>C842</f>
        <v>42488</v>
      </c>
      <c r="F842" s="67" t="s">
        <v>402</v>
      </c>
      <c r="G842" s="996" t="s">
        <v>1460</v>
      </c>
      <c r="H842" s="74" t="s">
        <v>626</v>
      </c>
      <c r="I842" s="447">
        <v>578</v>
      </c>
      <c r="J842" s="447">
        <v>18000</v>
      </c>
      <c r="K842" s="438"/>
      <c r="L842" s="447"/>
      <c r="M842" s="65">
        <f>ROUND(I842*J842,0)</f>
        <v>10404000</v>
      </c>
      <c r="N842" s="323" t="s">
        <v>277</v>
      </c>
      <c r="O842" s="66" t="s">
        <v>8</v>
      </c>
      <c r="P842" s="66" t="str">
        <f>IF(AND('331-CT'!$E$7=TH!H842,OR(N842="331",O842="331")),"x","")</f>
        <v/>
      </c>
      <c r="Q842" s="66" t="str">
        <f>IF(AND(B842='111'!$L$11,OR($N842=$Q$7,$O842=$Q$7)),"x","")</f>
        <v/>
      </c>
      <c r="R842" s="66" t="str">
        <f>IF(AND($N842=$Q$7,$B842&lt;'111'!$L$11),"x","")</f>
        <v/>
      </c>
      <c r="S842" s="66" t="str">
        <f>IF(AND($O842=$Q$7,$B842&lt;'111'!$L$11),"x","")</f>
        <v/>
      </c>
      <c r="T842" s="66" t="str">
        <f>IF(ISERROR(FIND('112'!$M$9,G842,1)),"",IF((AND(FIND('112'!$M$9,G842,1)&gt;=1,B842='112'!$K$9,OR($N842='112'!$I$6,$O842='112'!$I$6))),"x",""))</f>
        <v/>
      </c>
      <c r="U842" s="66" t="str">
        <f>IF(ISERROR(FIND('112'!$M$9,G842,1)),"",IF((AND(LEFT(G842,2)=LEFT('112'!$M$9,2),B842&lt;'112'!$K$9,$N842='112'!$I$6)),"x",""))</f>
        <v/>
      </c>
      <c r="V842" s="66" t="str">
        <f>IF(ISERROR(FIND('112'!$M$9,G842,1)),"",IF((AND(RIGHT(G842,2)=RIGHT('112'!$M$9,2),B842&lt;'112'!$K$9,$O842='112'!$I$6)),"x",""))</f>
        <v/>
      </c>
      <c r="W842" s="66" t="str">
        <f>IF(AND('341-CT'!$H$9=H842,OR(LEFT(N842,3)=$W$7,LEFT(O842,3)=$W$7)),"x","")</f>
        <v/>
      </c>
      <c r="X842" s="66" t="str">
        <f>IF(OR(TH!N842=TH!$X$7,O842=TH!$X$7),"x","")</f>
        <v/>
      </c>
      <c r="Y842" s="66" t="str">
        <f>IF(AND(OR(N842="131",O842="131"),H842='131-CT'!$H$9),"x","")</f>
        <v/>
      </c>
      <c r="Z842" s="66"/>
      <c r="AA842" s="66" t="str">
        <f>IF(AND(MONTH(E842)='IN-NX'!$J$5,'IN-NX'!$D$7=D842),"x","")</f>
        <v/>
      </c>
      <c r="AB842" s="66" t="str">
        <f>IF(AND(OR(LEFT(TH!N842,2)="15",LEFT(TH!O842,2)="15"),'152-CT'!$J$8=TH!F842),"x","")</f>
        <v/>
      </c>
      <c r="AC842" s="66" t="str">
        <f>IF(AND(OR(LEFT(TH!N842,2)="15",LEFT(TH!O842,2)="15"),TK!$E$7=TH!F842),"x","")</f>
        <v/>
      </c>
      <c r="AD842" s="66" t="str">
        <f>IF(AND(N842="1521",MONTH(C842)='BK-NL'!$M$11),"x","")</f>
        <v/>
      </c>
    </row>
    <row r="843" spans="1:30" s="358" customFormat="1" ht="15.75" hidden="1" customHeight="1">
      <c r="A843" s="343" t="str">
        <f>IF(B843&lt;&gt;"",IF(AND(B843='IN-TC'!$S$4,OR(TH!N843="1111",TH!O843="1111")),TH!D843,""),"")</f>
        <v/>
      </c>
      <c r="B843" s="63">
        <f>IF(C843&lt;&gt;"",MONTH(C843),"")</f>
        <v>4</v>
      </c>
      <c r="C843" s="64">
        <v>42488</v>
      </c>
      <c r="D843" s="64" t="s">
        <v>1459</v>
      </c>
      <c r="E843" s="64">
        <f>C843</f>
        <v>42488</v>
      </c>
      <c r="F843" s="67" t="s">
        <v>1426</v>
      </c>
      <c r="G843" s="996" t="s">
        <v>1460</v>
      </c>
      <c r="H843" s="74" t="s">
        <v>626</v>
      </c>
      <c r="I843" s="447"/>
      <c r="J843" s="447"/>
      <c r="K843" s="438"/>
      <c r="L843" s="447"/>
      <c r="M843" s="65">
        <v>1040400</v>
      </c>
      <c r="N843" s="323" t="s">
        <v>9</v>
      </c>
      <c r="O843" s="66" t="s">
        <v>8</v>
      </c>
      <c r="P843" s="66" t="str">
        <f>IF(AND('331-CT'!$E$7=TH!H843,OR(N843="331",O843="331")),"x","")</f>
        <v/>
      </c>
      <c r="Q843" s="66" t="str">
        <f>IF(AND(B843='111'!$L$11,OR($N843=$Q$7,$O843=$Q$7)),"x","")</f>
        <v/>
      </c>
      <c r="R843" s="66" t="str">
        <f>IF(AND($N843=$Q$7,$B843&lt;'111'!$L$11),"x","")</f>
        <v/>
      </c>
      <c r="S843" s="66" t="str">
        <f>IF(AND($O843=$Q$7,$B843&lt;'111'!$L$11),"x","")</f>
        <v/>
      </c>
      <c r="T843" s="66" t="str">
        <f>IF(ISERROR(FIND('112'!$M$9,G843,1)),"",IF((AND(FIND('112'!$M$9,G843,1)&gt;=1,B843='112'!$K$9,OR($N843='112'!$I$6,$O843='112'!$I$6))),"x",""))</f>
        <v/>
      </c>
      <c r="U843" s="66" t="str">
        <f>IF(ISERROR(FIND('112'!$M$9,G843,1)),"",IF((AND(LEFT(G843,2)=LEFT('112'!$M$9,2),B843&lt;'112'!$K$9,$N843='112'!$I$6)),"x",""))</f>
        <v/>
      </c>
      <c r="V843" s="66" t="str">
        <f>IF(ISERROR(FIND('112'!$M$9,G843,1)),"",IF((AND(RIGHT(G843,2)=RIGHT('112'!$M$9,2),B843&lt;'112'!$K$9,$O843='112'!$I$6)),"x",""))</f>
        <v/>
      </c>
      <c r="W843" s="66" t="str">
        <f>IF(AND('341-CT'!$H$9=H843,OR(LEFT(N843,3)=$W$7,LEFT(O843,3)=$W$7)),"x","")</f>
        <v/>
      </c>
      <c r="X843" s="66" t="str">
        <f>IF(OR(TH!N843=TH!$X$7,O843=TH!$X$7),"x","")</f>
        <v/>
      </c>
      <c r="Y843" s="66" t="str">
        <f>IF(AND(OR(N843="131",O843="131"),H843='131-CT'!$H$9),"x","")</f>
        <v/>
      </c>
      <c r="Z843" s="66"/>
      <c r="AA843" s="66" t="str">
        <f>IF(AND(MONTH(E843)='IN-NX'!$J$5,'IN-NX'!$D$7=D843),"x","")</f>
        <v/>
      </c>
      <c r="AB843" s="66" t="str">
        <f>IF(AND(OR(LEFT(TH!N843,2)="15",LEFT(TH!O843,2)="15"),'152-CT'!$J$8=TH!F843),"x","")</f>
        <v/>
      </c>
      <c r="AC843" s="66" t="str">
        <f>IF(AND(OR(LEFT(TH!N843,2)="15",LEFT(TH!O843,2)="15"),TK!$E$7=TH!F843),"x","")</f>
        <v/>
      </c>
      <c r="AD843" s="66" t="str">
        <f>IF(AND(N843="1521",MONTH(C843)='BK-NL'!$M$11),"x","")</f>
        <v/>
      </c>
    </row>
    <row r="844" spans="1:30" ht="15.75" hidden="1" customHeight="1">
      <c r="A844" s="343" t="str">
        <f>IF(B844&lt;&gt;"",IF(AND(B844='IN-TC'!$S$4,OR(TH!N844="1111",TH!O844="1111")),TH!D844,""),"")</f>
        <v/>
      </c>
      <c r="B844" s="63">
        <f t="shared" si="60"/>
        <v>4</v>
      </c>
      <c r="C844" s="64">
        <v>42466</v>
      </c>
      <c r="D844" s="64" t="s">
        <v>585</v>
      </c>
      <c r="E844" s="64">
        <f t="shared" si="63"/>
        <v>42466</v>
      </c>
      <c r="F844" s="67" t="s">
        <v>642</v>
      </c>
      <c r="G844" s="996" t="s">
        <v>1434</v>
      </c>
      <c r="H844" s="74" t="s">
        <v>633</v>
      </c>
      <c r="I844" s="447"/>
      <c r="J844" s="447"/>
      <c r="K844" s="438"/>
      <c r="L844" s="447"/>
      <c r="M844" s="65">
        <v>2000000</v>
      </c>
      <c r="N844" s="66" t="s">
        <v>594</v>
      </c>
      <c r="O844" s="66" t="s">
        <v>8</v>
      </c>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hidden="1" customHeight="1">
      <c r="A845" s="343" t="str">
        <f>IF(B845&lt;&gt;"",IF(AND(B845='IN-TC'!$S$4,OR(TH!N845="1111",TH!O845="1111")),TH!D845,""),"")</f>
        <v/>
      </c>
      <c r="B845" s="63">
        <f>IF(C845&lt;&gt;"",MONTH(C845),"")</f>
        <v>4</v>
      </c>
      <c r="C845" s="64">
        <v>42466</v>
      </c>
      <c r="D845" s="64" t="s">
        <v>585</v>
      </c>
      <c r="E845" s="64">
        <f t="shared" si="63"/>
        <v>42466</v>
      </c>
      <c r="F845" s="67" t="s">
        <v>643</v>
      </c>
      <c r="G845" s="996" t="s">
        <v>1434</v>
      </c>
      <c r="H845" s="74" t="s">
        <v>633</v>
      </c>
      <c r="I845" s="447"/>
      <c r="J845" s="447"/>
      <c r="K845" s="438"/>
      <c r="L845" s="447"/>
      <c r="M845" s="65">
        <v>200000</v>
      </c>
      <c r="N845" s="66" t="s">
        <v>9</v>
      </c>
      <c r="O845" s="66" t="s">
        <v>8</v>
      </c>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hidden="1" customHeight="1">
      <c r="A846" s="343" t="str">
        <f>IF(B846&lt;&gt;"",IF(AND(B846='IN-TC'!$S$4,OR(TH!N846="1111",TH!O846="1111")),TH!D846,""),"")</f>
        <v/>
      </c>
      <c r="B846" s="63">
        <f t="shared" si="60"/>
        <v>4</v>
      </c>
      <c r="C846" s="64">
        <v>42475</v>
      </c>
      <c r="D846" s="64" t="s">
        <v>585</v>
      </c>
      <c r="E846" s="64">
        <f t="shared" si="63"/>
        <v>42475</v>
      </c>
      <c r="F846" s="67" t="s">
        <v>638</v>
      </c>
      <c r="G846" s="996" t="s">
        <v>1435</v>
      </c>
      <c r="H846" s="74" t="s">
        <v>634</v>
      </c>
      <c r="I846" s="447"/>
      <c r="J846" s="447"/>
      <c r="K846" s="438"/>
      <c r="L846" s="447"/>
      <c r="M846" s="65">
        <v>11856100</v>
      </c>
      <c r="N846" s="66" t="s">
        <v>594</v>
      </c>
      <c r="O846" s="66" t="s">
        <v>8</v>
      </c>
      <c r="P846" s="85" t="str">
        <f>IF(AND('331-CT'!$E$7=TH!H846,OR(N846="331",O846="331")),"x","")</f>
        <v>x</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hidden="1" customHeight="1">
      <c r="A847" s="343" t="str">
        <f>IF(B847&lt;&gt;"",IF(AND(B847='IN-TC'!$S$4,OR(TH!N847="1111",TH!O847="1111")),TH!D847,""),"")</f>
        <v/>
      </c>
      <c r="B847" s="63">
        <f t="shared" si="60"/>
        <v>4</v>
      </c>
      <c r="C847" s="64">
        <v>42475</v>
      </c>
      <c r="D847" s="64" t="s">
        <v>585</v>
      </c>
      <c r="E847" s="64">
        <f t="shared" si="63"/>
        <v>42475</v>
      </c>
      <c r="F847" s="67" t="s">
        <v>1092</v>
      </c>
      <c r="G847" s="996" t="s">
        <v>1436</v>
      </c>
      <c r="H847" s="74" t="s">
        <v>634</v>
      </c>
      <c r="I847" s="447"/>
      <c r="J847" s="447"/>
      <c r="K847" s="438"/>
      <c r="L847" s="447"/>
      <c r="M847" s="65">
        <v>6218860</v>
      </c>
      <c r="N847" s="66" t="s">
        <v>594</v>
      </c>
      <c r="O847" s="66" t="s">
        <v>8</v>
      </c>
      <c r="P847" s="85" t="str">
        <f>IF(AND('331-CT'!$E$7=TH!H847,OR(N847="331",O847="331")),"x","")</f>
        <v>x</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s="358" customFormat="1" ht="15.75" hidden="1" customHeight="1">
      <c r="A848" s="343" t="str">
        <f>IF(B848&lt;&gt;"",IF(AND(B848='IN-TC'!$S$4,OR(TH!N848="1111",TH!O848="1111")),TH!D848,""),"")</f>
        <v/>
      </c>
      <c r="B848" s="63">
        <f t="shared" si="60"/>
        <v>4</v>
      </c>
      <c r="C848" s="64">
        <v>42475</v>
      </c>
      <c r="D848" s="64" t="s">
        <v>585</v>
      </c>
      <c r="E848" s="64">
        <f t="shared" si="63"/>
        <v>42475</v>
      </c>
      <c r="F848" s="67" t="s">
        <v>1093</v>
      </c>
      <c r="G848" s="996" t="s">
        <v>1436</v>
      </c>
      <c r="H848" s="74" t="s">
        <v>634</v>
      </c>
      <c r="I848" s="447"/>
      <c r="J848" s="447"/>
      <c r="K848" s="438"/>
      <c r="L848" s="447"/>
      <c r="M848" s="65">
        <v>621886</v>
      </c>
      <c r="N848" s="323" t="s">
        <v>9</v>
      </c>
      <c r="O848" s="66" t="s">
        <v>8</v>
      </c>
      <c r="P848" s="66" t="str">
        <f>IF(AND('331-CT'!$E$7=TH!H848,OR(N848="331",O848="331")),"x","")</f>
        <v>x</v>
      </c>
      <c r="Q848" s="66" t="str">
        <f>IF(AND(B848='111'!$L$11,OR($N848=$Q$7,$O848=$Q$7)),"x","")</f>
        <v/>
      </c>
      <c r="R848" s="66" t="str">
        <f>IF(AND($N848=$Q$7,$B848&lt;'111'!$L$11),"x","")</f>
        <v/>
      </c>
      <c r="S848" s="66" t="str">
        <f>IF(AND($O848=$Q$7,$B848&lt;'111'!$L$11),"x","")</f>
        <v/>
      </c>
      <c r="T848" s="66" t="str">
        <f>IF(ISERROR(FIND('112'!$M$9,G848,1)),"",IF((AND(FIND('112'!$M$9,G848,1)&gt;=1,B848='112'!$K$9,OR($N848='112'!$I$6,$O848='112'!$I$6))),"x",""))</f>
        <v/>
      </c>
      <c r="U848" s="66" t="str">
        <f>IF(ISERROR(FIND('112'!$M$9,G848,1)),"",IF((AND(LEFT(G848,2)=LEFT('112'!$M$9,2),B848&lt;'112'!$K$9,$N848='112'!$I$6)),"x",""))</f>
        <v/>
      </c>
      <c r="V848" s="66" t="str">
        <f>IF(ISERROR(FIND('112'!$M$9,G848,1)),"",IF((AND(RIGHT(G848,2)=RIGHT('112'!$M$9,2),B848&lt;'112'!$K$9,$O848='112'!$I$6)),"x",""))</f>
        <v/>
      </c>
      <c r="W848" s="66" t="str">
        <f>IF(AND('341-CT'!$H$9=H848,OR(LEFT(N848,3)=$W$7,LEFT(O848,3)=$W$7)),"x","")</f>
        <v/>
      </c>
      <c r="X848" s="66" t="str">
        <f>IF(OR(TH!N848=TH!$X$7,O848=TH!$X$7),"x","")</f>
        <v/>
      </c>
      <c r="Y848" s="66" t="str">
        <f>IF(AND(OR(N848="131",O848="131"),H848='131-CT'!$H$9),"x","")</f>
        <v/>
      </c>
      <c r="Z848" s="66"/>
      <c r="AA848" s="66" t="str">
        <f>IF(AND(MONTH(E848)='IN-NX'!$J$5,'IN-NX'!$D$7=D848),"x","")</f>
        <v/>
      </c>
      <c r="AB848" s="66" t="str">
        <f>IF(AND(OR(LEFT(TH!N848,2)="15",LEFT(TH!O848,2)="15"),'152-CT'!$J$8=TH!F848),"x","")</f>
        <v/>
      </c>
      <c r="AC848" s="66" t="str">
        <f>IF(AND(OR(LEFT(TH!N848,2)="15",LEFT(TH!O848,2)="15"),TK!$E$7=TH!F848),"x","")</f>
        <v/>
      </c>
      <c r="AD848" s="66" t="str">
        <f>IF(AND(N848="1521",MONTH(C848)='BK-NL'!$M$11),"x","")</f>
        <v/>
      </c>
    </row>
    <row r="849" spans="1:30" s="358" customFormat="1" ht="15.75" hidden="1" customHeight="1">
      <c r="A849" s="343" t="str">
        <f>IF(B849&lt;&gt;"",IF(AND(B849='IN-TC'!$S$4,OR(TH!N849="1111",TH!O849="1111")),TH!D849,""),"")</f>
        <v/>
      </c>
      <c r="B849" s="63">
        <f>IF(C849&lt;&gt;"",MONTH(C849),"")</f>
        <v>4</v>
      </c>
      <c r="C849" s="64">
        <v>42488</v>
      </c>
      <c r="D849" s="64" t="s">
        <v>585</v>
      </c>
      <c r="E849" s="64">
        <f>C849</f>
        <v>42488</v>
      </c>
      <c r="F849" s="67" t="s">
        <v>1449</v>
      </c>
      <c r="G849" s="996" t="s">
        <v>1451</v>
      </c>
      <c r="H849" s="74" t="s">
        <v>1452</v>
      </c>
      <c r="I849" s="447"/>
      <c r="J849" s="447"/>
      <c r="K849" s="438"/>
      <c r="L849" s="447"/>
      <c r="M849" s="65">
        <v>7200000</v>
      </c>
      <c r="N849" s="323" t="s">
        <v>101</v>
      </c>
      <c r="O849" s="66" t="s">
        <v>8</v>
      </c>
      <c r="P849" s="66" t="str">
        <f>IF(AND('331-CT'!$E$7=TH!H849,OR(N849="331",O849="331")),"x","")</f>
        <v/>
      </c>
      <c r="Q849" s="66" t="str">
        <f>IF(AND(B849='111'!$L$11,OR($N849=$Q$7,$O849=$Q$7)),"x","")</f>
        <v/>
      </c>
      <c r="R849" s="66" t="str">
        <f>IF(AND($N849=$Q$7,$B849&lt;'111'!$L$11),"x","")</f>
        <v/>
      </c>
      <c r="S849" s="66" t="str">
        <f>IF(AND($O849=$Q$7,$B849&lt;'111'!$L$11),"x","")</f>
        <v/>
      </c>
      <c r="T849" s="66" t="str">
        <f>IF(ISERROR(FIND('112'!$M$9,G849,1)),"",IF((AND(FIND('112'!$M$9,G849,1)&gt;=1,B849='112'!$K$9,OR($N849='112'!$I$6,$O849='112'!$I$6))),"x",""))</f>
        <v/>
      </c>
      <c r="U849" s="66" t="str">
        <f>IF(ISERROR(FIND('112'!$M$9,G849,1)),"",IF((AND(LEFT(G849,2)=LEFT('112'!$M$9,2),B849&lt;'112'!$K$9,$N849='112'!$I$6)),"x",""))</f>
        <v/>
      </c>
      <c r="V849" s="66" t="str">
        <f>IF(ISERROR(FIND('112'!$M$9,G849,1)),"",IF((AND(RIGHT(G849,2)=RIGHT('112'!$M$9,2),B849&lt;'112'!$K$9,$O849='112'!$I$6)),"x",""))</f>
        <v/>
      </c>
      <c r="W849" s="66" t="str">
        <f>IF(AND('341-CT'!$H$9=H849,OR(LEFT(N849,3)=$W$7,LEFT(O849,3)=$W$7)),"x","")</f>
        <v/>
      </c>
      <c r="X849" s="66" t="str">
        <f>IF(OR(TH!N849=TH!$X$7,O849=TH!$X$7),"x","")</f>
        <v/>
      </c>
      <c r="Y849" s="66" t="str">
        <f>IF(AND(OR(N849="131",O849="131"),H849='131-CT'!$H$9),"x","")</f>
        <v/>
      </c>
      <c r="Z849" s="66"/>
      <c r="AA849" s="66" t="str">
        <f>IF(AND(MONTH(E849)='IN-NX'!$J$5,'IN-NX'!$D$7=D849),"x","")</f>
        <v/>
      </c>
      <c r="AB849" s="66" t="str">
        <f>IF(AND(OR(LEFT(TH!N849,2)="15",LEFT(TH!O849,2)="15"),'152-CT'!$J$8=TH!F849),"x","")</f>
        <v/>
      </c>
      <c r="AC849" s="66" t="str">
        <f>IF(AND(OR(LEFT(TH!N849,2)="15",LEFT(TH!O849,2)="15"),TK!$E$7=TH!F849),"x","")</f>
        <v/>
      </c>
      <c r="AD849" s="66" t="str">
        <f>IF(AND(N849="1521",MONTH(C849)='BK-NL'!$M$11),"x","")</f>
        <v/>
      </c>
    </row>
    <row r="850" spans="1:30" s="358" customFormat="1" ht="15.75" hidden="1" customHeight="1">
      <c r="A850" s="343" t="str">
        <f>IF(B850&lt;&gt;"",IF(AND(B850='IN-TC'!$S$4,OR(TH!N850="1111",TH!O850="1111")),TH!D850,""),"")</f>
        <v/>
      </c>
      <c r="B850" s="63">
        <f>IF(C850&lt;&gt;"",MONTH(C850),"")</f>
        <v>4</v>
      </c>
      <c r="C850" s="64">
        <v>42488</v>
      </c>
      <c r="D850" s="64" t="s">
        <v>585</v>
      </c>
      <c r="E850" s="64">
        <f>C850</f>
        <v>42488</v>
      </c>
      <c r="F850" s="67" t="s">
        <v>1450</v>
      </c>
      <c r="G850" s="996" t="s">
        <v>1451</v>
      </c>
      <c r="H850" s="74" t="s">
        <v>1452</v>
      </c>
      <c r="I850" s="447"/>
      <c r="J850" s="447"/>
      <c r="K850" s="438"/>
      <c r="L850" s="447"/>
      <c r="M850" s="65">
        <v>720000</v>
      </c>
      <c r="N850" s="323" t="s">
        <v>9</v>
      </c>
      <c r="O850" s="66" t="s">
        <v>8</v>
      </c>
      <c r="P850" s="66" t="str">
        <f>IF(AND('331-CT'!$E$7=TH!H850,OR(N850="331",O850="331")),"x","")</f>
        <v/>
      </c>
      <c r="Q850" s="66" t="str">
        <f>IF(AND(B850='111'!$L$11,OR($N850=$Q$7,$O850=$Q$7)),"x","")</f>
        <v/>
      </c>
      <c r="R850" s="66" t="str">
        <f>IF(AND($N850=$Q$7,$B850&lt;'111'!$L$11),"x","")</f>
        <v/>
      </c>
      <c r="S850" s="66" t="str">
        <f>IF(AND($O850=$Q$7,$B850&lt;'111'!$L$11),"x","")</f>
        <v/>
      </c>
      <c r="T850" s="66" t="str">
        <f>IF(ISERROR(FIND('112'!$M$9,G850,1)),"",IF((AND(FIND('112'!$M$9,G850,1)&gt;=1,B850='112'!$K$9,OR($N850='112'!$I$6,$O850='112'!$I$6))),"x",""))</f>
        <v/>
      </c>
      <c r="U850" s="66" t="str">
        <f>IF(ISERROR(FIND('112'!$M$9,G850,1)),"",IF((AND(LEFT(G850,2)=LEFT('112'!$M$9,2),B850&lt;'112'!$K$9,$N850='112'!$I$6)),"x",""))</f>
        <v/>
      </c>
      <c r="V850" s="66" t="str">
        <f>IF(ISERROR(FIND('112'!$M$9,G850,1)),"",IF((AND(RIGHT(G850,2)=RIGHT('112'!$M$9,2),B850&lt;'112'!$K$9,$O850='112'!$I$6)),"x",""))</f>
        <v/>
      </c>
      <c r="W850" s="66" t="str">
        <f>IF(AND('341-CT'!$H$9=H850,OR(LEFT(N850,3)=$W$7,LEFT(O850,3)=$W$7)),"x","")</f>
        <v/>
      </c>
      <c r="X850" s="66" t="str">
        <f>IF(OR(TH!N850=TH!$X$7,O850=TH!$X$7),"x","")</f>
        <v/>
      </c>
      <c r="Y850" s="66" t="str">
        <f>IF(AND(OR(N850="131",O850="131"),H850='131-CT'!$H$9),"x","")</f>
        <v/>
      </c>
      <c r="Z850" s="66"/>
      <c r="AA850" s="66" t="str">
        <f>IF(AND(MONTH(E850)='IN-NX'!$J$5,'IN-NX'!$D$7=D850),"x","")</f>
        <v/>
      </c>
      <c r="AB850" s="66" t="str">
        <f>IF(AND(OR(LEFT(TH!N850,2)="15",LEFT(TH!O850,2)="15"),'152-CT'!$J$8=TH!F850),"x","")</f>
        <v/>
      </c>
      <c r="AC850" s="66" t="str">
        <f>IF(AND(OR(LEFT(TH!N850,2)="15",LEFT(TH!O850,2)="15"),TK!$E$7=TH!F850),"x","")</f>
        <v/>
      </c>
      <c r="AD850" s="66" t="str">
        <f>IF(AND(N850="1521",MONTH(C850)='BK-NL'!$M$11),"x","")</f>
        <v/>
      </c>
    </row>
    <row r="851" spans="1:30" s="358" customFormat="1" ht="15.75" hidden="1" customHeight="1">
      <c r="A851" s="343"/>
      <c r="B851" s="63">
        <f t="shared" ref="B851:B861" si="65">IF(C851&lt;&gt;"",MONTH(C851),"")</f>
        <v>4</v>
      </c>
      <c r="C851" s="64">
        <v>42485</v>
      </c>
      <c r="D851" s="64" t="s">
        <v>585</v>
      </c>
      <c r="E851" s="64">
        <f>C851</f>
        <v>42485</v>
      </c>
      <c r="F851" s="67" t="s">
        <v>641</v>
      </c>
      <c r="G851" s="996" t="s">
        <v>1479</v>
      </c>
      <c r="H851" s="74" t="s">
        <v>632</v>
      </c>
      <c r="I851" s="447"/>
      <c r="J851" s="447"/>
      <c r="K851" s="438"/>
      <c r="L851" s="447"/>
      <c r="M851" s="65">
        <v>1095000</v>
      </c>
      <c r="N851" s="323" t="s">
        <v>594</v>
      </c>
      <c r="O851" s="66" t="s">
        <v>8</v>
      </c>
      <c r="P851" s="66"/>
      <c r="Q851" s="66"/>
      <c r="R851" s="66"/>
      <c r="S851" s="66"/>
      <c r="T851" s="66"/>
      <c r="U851" s="66"/>
      <c r="V851" s="66"/>
      <c r="W851" s="66"/>
      <c r="X851" s="66"/>
      <c r="Y851" s="66"/>
      <c r="Z851" s="66"/>
      <c r="AA851" s="66"/>
      <c r="AB851" s="66"/>
      <c r="AC851" s="66"/>
      <c r="AD851" s="66"/>
    </row>
    <row r="852" spans="1:30" s="358" customFormat="1" ht="15.75" hidden="1" customHeight="1">
      <c r="A852" s="343"/>
      <c r="B852" s="63">
        <f t="shared" si="65"/>
        <v>4</v>
      </c>
      <c r="C852" s="64">
        <v>42485</v>
      </c>
      <c r="D852" s="64" t="s">
        <v>585</v>
      </c>
      <c r="E852" s="64">
        <f>C852</f>
        <v>42485</v>
      </c>
      <c r="F852" s="67" t="s">
        <v>641</v>
      </c>
      <c r="G852" s="996" t="s">
        <v>1480</v>
      </c>
      <c r="H852" s="74" t="s">
        <v>632</v>
      </c>
      <c r="I852" s="447"/>
      <c r="J852" s="447"/>
      <c r="K852" s="438"/>
      <c r="L852" s="447"/>
      <c r="M852" s="65">
        <v>780000</v>
      </c>
      <c r="N852" s="323" t="s">
        <v>594</v>
      </c>
      <c r="O852" s="66" t="s">
        <v>8</v>
      </c>
      <c r="P852" s="66"/>
      <c r="Q852" s="66"/>
      <c r="R852" s="66"/>
      <c r="S852" s="66"/>
      <c r="T852" s="66"/>
      <c r="U852" s="66"/>
      <c r="V852" s="66"/>
      <c r="W852" s="66"/>
      <c r="X852" s="66"/>
      <c r="Y852" s="66"/>
      <c r="Z852" s="66"/>
      <c r="AA852" s="66"/>
      <c r="AB852" s="66"/>
      <c r="AC852" s="66"/>
      <c r="AD852" s="66"/>
    </row>
    <row r="853" spans="1:30" s="358" customFormat="1" ht="15.75" hidden="1" customHeight="1">
      <c r="A853" s="343"/>
      <c r="B853" s="63">
        <f t="shared" si="65"/>
        <v>4</v>
      </c>
      <c r="C853" s="64">
        <v>42482</v>
      </c>
      <c r="D853" s="64" t="s">
        <v>585</v>
      </c>
      <c r="E853" s="64">
        <f>C853</f>
        <v>42482</v>
      </c>
      <c r="F853" s="67" t="s">
        <v>641</v>
      </c>
      <c r="G853" s="996" t="s">
        <v>1481</v>
      </c>
      <c r="H853" s="74" t="s">
        <v>632</v>
      </c>
      <c r="I853" s="447"/>
      <c r="J853" s="447"/>
      <c r="K853" s="438"/>
      <c r="L853" s="447"/>
      <c r="M853" s="65">
        <v>1110000</v>
      </c>
      <c r="N853" s="323" t="s">
        <v>594</v>
      </c>
      <c r="O853" s="66" t="s">
        <v>8</v>
      </c>
      <c r="P853" s="66"/>
      <c r="Q853" s="66"/>
      <c r="R853" s="66"/>
      <c r="S853" s="66"/>
      <c r="T853" s="66"/>
      <c r="U853" s="66"/>
      <c r="V853" s="66"/>
      <c r="W853" s="66"/>
      <c r="X853" s="66"/>
      <c r="Y853" s="66"/>
      <c r="Z853" s="66"/>
      <c r="AA853" s="66"/>
      <c r="AB853" s="66"/>
      <c r="AC853" s="66"/>
      <c r="AD853" s="66"/>
    </row>
    <row r="854" spans="1:30" ht="15.75" hidden="1" customHeight="1">
      <c r="A854" s="343" t="str">
        <f>IF(B854&lt;&gt;"",IF(AND(B854='IN-TC'!$S$4,OR(TH!N854="1111",TH!O854="1111")),TH!D854,""),"")</f>
        <v/>
      </c>
      <c r="B854" s="63">
        <f t="shared" si="65"/>
        <v>4</v>
      </c>
      <c r="C854" s="320">
        <v>42489</v>
      </c>
      <c r="D854" s="320" t="s">
        <v>585</v>
      </c>
      <c r="E854" s="320">
        <v>42466</v>
      </c>
      <c r="F854" s="321" t="s">
        <v>1482</v>
      </c>
      <c r="G854" s="1000" t="s">
        <v>1488</v>
      </c>
      <c r="H854" s="322" t="s">
        <v>635</v>
      </c>
      <c r="I854" s="447"/>
      <c r="J854" s="447"/>
      <c r="K854" s="438"/>
      <c r="L854" s="447"/>
      <c r="M854" s="65">
        <v>23841200</v>
      </c>
      <c r="N854" s="323" t="s">
        <v>283</v>
      </c>
      <c r="O854" s="323" t="s">
        <v>8</v>
      </c>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hidden="1" customHeight="1">
      <c r="A855" s="343" t="str">
        <f>IF(B855&lt;&gt;"",IF(AND(B855='IN-TC'!$S$4,OR(TH!N855="1111",TH!O855="1111")),TH!D855,""),"")</f>
        <v/>
      </c>
      <c r="B855" s="63">
        <f t="shared" si="65"/>
        <v>4</v>
      </c>
      <c r="C855" s="320">
        <v>42489</v>
      </c>
      <c r="D855" s="320" t="s">
        <v>585</v>
      </c>
      <c r="E855" s="320">
        <v>42466</v>
      </c>
      <c r="F855" s="321" t="s">
        <v>1483</v>
      </c>
      <c r="G855" s="1000" t="s">
        <v>1488</v>
      </c>
      <c r="H855" s="322" t="s">
        <v>635</v>
      </c>
      <c r="I855" s="447"/>
      <c r="J855" s="447"/>
      <c r="K855" s="438"/>
      <c r="L855" s="447"/>
      <c r="M855" s="65">
        <v>2384120</v>
      </c>
      <c r="N855" s="323" t="s">
        <v>9</v>
      </c>
      <c r="O855" s="323" t="s">
        <v>8</v>
      </c>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ht="15.75" hidden="1" customHeight="1">
      <c r="A856" s="343"/>
      <c r="B856" s="63">
        <f t="shared" si="65"/>
        <v>4</v>
      </c>
      <c r="C856" s="320">
        <v>42489</v>
      </c>
      <c r="D856" s="320" t="s">
        <v>585</v>
      </c>
      <c r="E856" s="320">
        <v>42476</v>
      </c>
      <c r="F856" s="321" t="s">
        <v>1484</v>
      </c>
      <c r="G856" s="1000" t="s">
        <v>1489</v>
      </c>
      <c r="H856" s="322" t="s">
        <v>635</v>
      </c>
      <c r="I856" s="447"/>
      <c r="J856" s="447"/>
      <c r="K856" s="438"/>
      <c r="L856" s="447"/>
      <c r="M856" s="65">
        <v>28369800</v>
      </c>
      <c r="N856" s="323" t="s">
        <v>283</v>
      </c>
      <c r="O856" s="323" t="s">
        <v>8</v>
      </c>
      <c r="P856" s="85"/>
      <c r="Q856" s="85"/>
      <c r="R856" s="85"/>
      <c r="S856" s="85"/>
      <c r="T856" s="85"/>
      <c r="U856" s="85"/>
      <c r="V856" s="85"/>
      <c r="W856" s="85"/>
      <c r="X856" s="85"/>
      <c r="Y856" s="85"/>
      <c r="Z856" s="85"/>
      <c r="AA856" s="85"/>
      <c r="AB856" s="85"/>
      <c r="AC856" s="85"/>
      <c r="AD856" s="85"/>
    </row>
    <row r="857" spans="1:30" ht="15.75" hidden="1" customHeight="1">
      <c r="A857" s="343"/>
      <c r="B857" s="63">
        <f t="shared" si="65"/>
        <v>4</v>
      </c>
      <c r="C857" s="320">
        <v>42489</v>
      </c>
      <c r="D857" s="320" t="s">
        <v>585</v>
      </c>
      <c r="E857" s="320">
        <v>42476</v>
      </c>
      <c r="F857" s="321" t="s">
        <v>1485</v>
      </c>
      <c r="G857" s="1000" t="s">
        <v>1489</v>
      </c>
      <c r="H857" s="322" t="s">
        <v>635</v>
      </c>
      <c r="I857" s="447"/>
      <c r="J857" s="447"/>
      <c r="K857" s="438"/>
      <c r="L857" s="447"/>
      <c r="M857" s="65">
        <v>2836980</v>
      </c>
      <c r="N857" s="323" t="s">
        <v>9</v>
      </c>
      <c r="O857" s="323" t="s">
        <v>8</v>
      </c>
      <c r="P857" s="85"/>
      <c r="Q857" s="85"/>
      <c r="R857" s="85"/>
      <c r="S857" s="85"/>
      <c r="T857" s="85"/>
      <c r="U857" s="85"/>
      <c r="V857" s="85"/>
      <c r="W857" s="85"/>
      <c r="X857" s="85"/>
      <c r="Y857" s="85"/>
      <c r="Z857" s="85"/>
      <c r="AA857" s="85"/>
      <c r="AB857" s="85"/>
      <c r="AC857" s="85"/>
      <c r="AD857" s="85"/>
    </row>
    <row r="858" spans="1:30" s="1201" customFormat="1" ht="15.75" hidden="1" customHeight="1">
      <c r="A858" s="1183"/>
      <c r="B858" s="63">
        <f t="shared" si="65"/>
        <v>4</v>
      </c>
      <c r="C858" s="1193">
        <v>42489</v>
      </c>
      <c r="D858" s="1193" t="s">
        <v>585</v>
      </c>
      <c r="E858" s="1193">
        <v>42486</v>
      </c>
      <c r="F858" s="1194" t="s">
        <v>1486</v>
      </c>
      <c r="G858" s="1195"/>
      <c r="H858" s="1196" t="s">
        <v>635</v>
      </c>
      <c r="I858" s="1197"/>
      <c r="J858" s="1197"/>
      <c r="K858" s="1198"/>
      <c r="L858" s="1197"/>
      <c r="M858" s="1199">
        <v>24348800</v>
      </c>
      <c r="N858" s="1200" t="s">
        <v>283</v>
      </c>
      <c r="O858" s="1200" t="s">
        <v>8</v>
      </c>
      <c r="P858" s="1190"/>
      <c r="Q858" s="1190"/>
      <c r="R858" s="1190"/>
      <c r="S858" s="1190"/>
      <c r="T858" s="1190"/>
      <c r="U858" s="1190"/>
      <c r="V858" s="1190"/>
      <c r="W858" s="1190"/>
      <c r="X858" s="1190"/>
      <c r="Y858" s="1190"/>
      <c r="Z858" s="1190"/>
      <c r="AA858" s="1190"/>
      <c r="AB858" s="1190"/>
      <c r="AC858" s="1190"/>
      <c r="AD858" s="1190"/>
    </row>
    <row r="859" spans="1:30" s="1201" customFormat="1" ht="15.75" hidden="1" customHeight="1">
      <c r="A859" s="1183"/>
      <c r="B859" s="63">
        <f t="shared" si="65"/>
        <v>4</v>
      </c>
      <c r="C859" s="1193">
        <v>42489</v>
      </c>
      <c r="D859" s="1193" t="s">
        <v>585</v>
      </c>
      <c r="E859" s="1193">
        <v>42486</v>
      </c>
      <c r="F859" s="1194" t="s">
        <v>1487</v>
      </c>
      <c r="G859" s="1195"/>
      <c r="H859" s="1196" t="s">
        <v>635</v>
      </c>
      <c r="I859" s="1197"/>
      <c r="J859" s="1197"/>
      <c r="K859" s="1198"/>
      <c r="L859" s="1197"/>
      <c r="M859" s="1199">
        <v>2434880</v>
      </c>
      <c r="N859" s="1200" t="s">
        <v>9</v>
      </c>
      <c r="O859" s="1200" t="s">
        <v>8</v>
      </c>
      <c r="P859" s="1190"/>
      <c r="Q859" s="1190"/>
      <c r="R859" s="1190"/>
      <c r="S859" s="1190"/>
      <c r="T859" s="1190"/>
      <c r="U859" s="1190"/>
      <c r="V859" s="1190"/>
      <c r="W859" s="1190"/>
      <c r="X859" s="1190"/>
      <c r="Y859" s="1190"/>
      <c r="Z859" s="1190"/>
      <c r="AA859" s="1190"/>
      <c r="AB859" s="1190"/>
      <c r="AC859" s="1190"/>
      <c r="AD859" s="1190"/>
    </row>
    <row r="860" spans="1:30" ht="15.75" hidden="1" customHeight="1">
      <c r="A860" s="343" t="str">
        <f>IF(B860&lt;&gt;"",IF(AND(B860='IN-TC'!$S$4,OR(TH!N860="1111",TH!O860="1111")),TH!D860,""),"")</f>
        <v/>
      </c>
      <c r="B860" s="63">
        <f t="shared" si="65"/>
        <v>4</v>
      </c>
      <c r="C860" s="64">
        <f>E860</f>
        <v>42468</v>
      </c>
      <c r="D860" s="64" t="s">
        <v>708</v>
      </c>
      <c r="E860" s="64">
        <v>42468</v>
      </c>
      <c r="F860" s="67" t="s">
        <v>1461</v>
      </c>
      <c r="G860" s="996" t="s">
        <v>929</v>
      </c>
      <c r="H860" s="74"/>
      <c r="I860" s="447"/>
      <c r="J860" s="447"/>
      <c r="K860" s="438">
        <v>5</v>
      </c>
      <c r="L860" s="447">
        <v>22260</v>
      </c>
      <c r="M860" s="65">
        <f>ROUND(K860*L860,0)</f>
        <v>111300</v>
      </c>
      <c r="N860" s="66" t="s">
        <v>101</v>
      </c>
      <c r="O860" s="66" t="s">
        <v>267</v>
      </c>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IF(AND('341-CT'!$H$9=H860,OR(LEFT(N860,3)=$W$7,LEFT(O860,3)=$W$7)),"x","")</f>
        <v/>
      </c>
      <c r="X860" s="85" t="str">
        <f>IF(OR(TH!N860=TH!$X$7,O860=TH!$X$7),"x","")</f>
        <v/>
      </c>
      <c r="Y860" s="85" t="str">
        <f>IF(AND(OR(N860="131",O860="131"),H860='131-CT'!$H$9),"x","")</f>
        <v/>
      </c>
      <c r="Z860" s="85"/>
      <c r="AA860" s="85" t="str">
        <f>IF(AND(MONTH(E860)='IN-NX'!$J$5,'IN-NX'!$D$7=D860),"x","")</f>
        <v/>
      </c>
      <c r="AB860" s="85" t="str">
        <f>IF(AND(OR(LEFT(TH!N860,2)="15",LEFT(TH!O860,2)="15"),'152-CT'!$J$8=TH!F860),"x","")</f>
        <v/>
      </c>
      <c r="AC860" s="85" t="str">
        <f>IF(AND(OR(LEFT(TH!N860,2)="15",LEFT(TH!O860,2)="15"),TK!$E$7=TH!F860),"x","")</f>
        <v/>
      </c>
      <c r="AD860" s="85" t="str">
        <f>IF(AND(N860="1521",MONTH(C860)='BK-NL'!$M$11),"x","")</f>
        <v/>
      </c>
    </row>
    <row r="861" spans="1:30" ht="15.75" hidden="1" customHeight="1">
      <c r="A861" s="343" t="str">
        <f>IF(B861&lt;&gt;"",IF(AND(B861='IN-TC'!$S$4,OR(TH!N861="1111",TH!O861="1111")),TH!D861,""),"")</f>
        <v/>
      </c>
      <c r="B861" s="63">
        <f t="shared" si="65"/>
        <v>4</v>
      </c>
      <c r="C861" s="64">
        <f t="shared" ref="C861:C869" si="66">E861</f>
        <v>42468</v>
      </c>
      <c r="D861" s="64" t="s">
        <v>708</v>
      </c>
      <c r="E861" s="64">
        <v>42468</v>
      </c>
      <c r="F861" s="67" t="s">
        <v>1462</v>
      </c>
      <c r="G861" s="996" t="s">
        <v>929</v>
      </c>
      <c r="H861" s="74"/>
      <c r="I861" s="447"/>
      <c r="J861" s="447"/>
      <c r="K861" s="438">
        <v>0.5</v>
      </c>
      <c r="L861" s="447">
        <v>22260</v>
      </c>
      <c r="M861" s="65">
        <f t="shared" ref="M861:M869" si="67">ROUND(K861*L861,0)</f>
        <v>11130</v>
      </c>
      <c r="N861" s="66" t="s">
        <v>9</v>
      </c>
      <c r="O861" s="66" t="s">
        <v>267</v>
      </c>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IF(AND('341-CT'!$H$9=H861,OR(LEFT(N861,3)=$W$7,LEFT(O861,3)=$W$7)),"x","")</f>
        <v/>
      </c>
      <c r="X861" s="85" t="str">
        <f>IF(OR(TH!N861=TH!$X$7,O861=TH!$X$7),"x","")</f>
        <v/>
      </c>
      <c r="Y861" s="85" t="str">
        <f>IF(AND(OR(N861="131",O861="131"),H861='131-CT'!$H$9),"x","")</f>
        <v/>
      </c>
      <c r="Z861" s="85"/>
      <c r="AA861" s="85" t="str">
        <f>IF(AND(MONTH(E861)='IN-NX'!$J$5,'IN-NX'!$D$7=D861),"x","")</f>
        <v/>
      </c>
      <c r="AB861" s="85" t="str">
        <f>IF(AND(OR(LEFT(TH!N861,2)="15",LEFT(TH!O861,2)="15"),'152-CT'!$J$8=TH!F861),"x","")</f>
        <v/>
      </c>
      <c r="AC861" s="85" t="str">
        <f>IF(AND(OR(LEFT(TH!N861,2)="15",LEFT(TH!O861,2)="15"),TK!$E$7=TH!F861),"x","")</f>
        <v/>
      </c>
      <c r="AD861" s="85" t="str">
        <f>IF(AND(N861="1521",MONTH(C861)='BK-NL'!$M$11),"x","")</f>
        <v/>
      </c>
    </row>
    <row r="862" spans="1:30" ht="15.75" hidden="1" customHeight="1">
      <c r="A862" s="343" t="str">
        <f>IF(B862&lt;&gt;"",IF(AND(B862='IN-TC'!$S$4,OR(TH!N862="1111",TH!O862="1111")),TH!D862,""),"")</f>
        <v/>
      </c>
      <c r="B862" s="63">
        <f t="shared" si="60"/>
        <v>4</v>
      </c>
      <c r="C862" s="64">
        <f t="shared" si="66"/>
        <v>42475</v>
      </c>
      <c r="D862" s="64" t="s">
        <v>708</v>
      </c>
      <c r="E862" s="64">
        <v>42475</v>
      </c>
      <c r="F862" s="67" t="s">
        <v>1461</v>
      </c>
      <c r="G862" s="996" t="s">
        <v>929</v>
      </c>
      <c r="H862" s="74"/>
      <c r="I862" s="447"/>
      <c r="J862" s="447"/>
      <c r="K862" s="438">
        <v>5</v>
      </c>
      <c r="L862" s="447">
        <v>22260</v>
      </c>
      <c r="M862" s="65">
        <f t="shared" si="67"/>
        <v>111300</v>
      </c>
      <c r="N862" s="66" t="s">
        <v>101</v>
      </c>
      <c r="O862" s="66" t="s">
        <v>267</v>
      </c>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hidden="1" customHeight="1">
      <c r="A863" s="343" t="str">
        <f>IF(B863&lt;&gt;"",IF(AND(B863='IN-TC'!$S$4,OR(TH!N863="1111",TH!O863="1111")),TH!D863,""),"")</f>
        <v/>
      </c>
      <c r="B863" s="63">
        <f t="shared" si="60"/>
        <v>4</v>
      </c>
      <c r="C863" s="64">
        <f t="shared" si="66"/>
        <v>42475</v>
      </c>
      <c r="D863" s="64" t="s">
        <v>708</v>
      </c>
      <c r="E863" s="64">
        <v>42475</v>
      </c>
      <c r="F863" s="67" t="s">
        <v>1462</v>
      </c>
      <c r="G863" s="996" t="s">
        <v>929</v>
      </c>
      <c r="H863" s="74"/>
      <c r="I863" s="447"/>
      <c r="J863" s="447"/>
      <c r="K863" s="438">
        <v>0.5</v>
      </c>
      <c r="L863" s="447">
        <v>22260</v>
      </c>
      <c r="M863" s="65">
        <f t="shared" si="67"/>
        <v>11130</v>
      </c>
      <c r="N863" s="66" t="s">
        <v>9</v>
      </c>
      <c r="O863" s="66" t="s">
        <v>267</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hidden="1" customHeight="1">
      <c r="A864" s="343" t="str">
        <f>IF(B864&lt;&gt;"",IF(AND(B864='IN-TC'!$S$4,OR(TH!N864="1111",TH!O864="1111")),TH!D864,""),"")</f>
        <v/>
      </c>
      <c r="B864" s="63">
        <f t="shared" si="60"/>
        <v>4</v>
      </c>
      <c r="C864" s="64">
        <f t="shared" si="66"/>
        <v>42475</v>
      </c>
      <c r="D864" s="64" t="s">
        <v>708</v>
      </c>
      <c r="E864" s="64">
        <v>42475</v>
      </c>
      <c r="F864" s="67" t="s">
        <v>1211</v>
      </c>
      <c r="G864" s="996" t="s">
        <v>928</v>
      </c>
      <c r="H864" s="74" t="s">
        <v>737</v>
      </c>
      <c r="I864" s="449"/>
      <c r="J864" s="449"/>
      <c r="K864" s="440">
        <v>244.21</v>
      </c>
      <c r="L864" s="447">
        <v>22260</v>
      </c>
      <c r="M864" s="65">
        <f t="shared" si="67"/>
        <v>5436115</v>
      </c>
      <c r="N864" s="66" t="s">
        <v>99</v>
      </c>
      <c r="O864" s="66" t="s">
        <v>267</v>
      </c>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c r="AA864" s="85" t="str">
        <f>IF(AND(MONTH(E864)='IN-NX'!$J$5,'IN-NX'!$D$7=D864),"x","")</f>
        <v/>
      </c>
      <c r="AB864" s="85" t="str">
        <f>IF(AND(OR(LEFT(TH!N864,2)="15",LEFT(TH!O864,2)="15"),'152-CT'!$J$8=TH!F864),"x","")</f>
        <v/>
      </c>
      <c r="AC864" s="85" t="str">
        <f>IF(AND(OR(LEFT(TH!N864,2)="15",LEFT(TH!O864,2)="15"),TK!$E$7=TH!F864),"x","")</f>
        <v/>
      </c>
      <c r="AD864" s="85" t="str">
        <f>IF(AND(N864="1521",MONTH(C864)='BK-NL'!$M$11),"x","")</f>
        <v/>
      </c>
    </row>
    <row r="865" spans="1:30" ht="15.75" hidden="1" customHeight="1">
      <c r="A865" s="343" t="str">
        <f>IF(B865&lt;&gt;"",IF(AND(B865='IN-TC'!$S$4,OR(TH!N865="1111",TH!O865="1111")),TH!D865,""),"")</f>
        <v/>
      </c>
      <c r="B865" s="63">
        <f t="shared" si="60"/>
        <v>4</v>
      </c>
      <c r="C865" s="64">
        <f t="shared" si="66"/>
        <v>42475</v>
      </c>
      <c r="D865" s="64" t="s">
        <v>708</v>
      </c>
      <c r="E865" s="64">
        <v>42475</v>
      </c>
      <c r="F865" s="67" t="s">
        <v>1211</v>
      </c>
      <c r="G865" s="996" t="s">
        <v>928</v>
      </c>
      <c r="H865" s="74" t="s">
        <v>738</v>
      </c>
      <c r="I865" s="447"/>
      <c r="J865" s="447"/>
      <c r="K865" s="438">
        <v>213.56</v>
      </c>
      <c r="L865" s="447">
        <v>22260</v>
      </c>
      <c r="M865" s="65">
        <f t="shared" si="67"/>
        <v>4753846</v>
      </c>
      <c r="N865" s="66" t="s">
        <v>99</v>
      </c>
      <c r="O865" s="66" t="s">
        <v>267</v>
      </c>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c r="AA865" s="85" t="str">
        <f>IF(AND(MONTH(E865)='IN-NX'!$J$5,'IN-NX'!$D$7=D865),"x","")</f>
        <v/>
      </c>
      <c r="AB865" s="85" t="str">
        <f>IF(AND(OR(LEFT(TH!N865,2)="15",LEFT(TH!O865,2)="15"),'152-CT'!$J$8=TH!F865),"x","")</f>
        <v/>
      </c>
      <c r="AC865" s="85" t="str">
        <f>IF(AND(OR(LEFT(TH!N865,2)="15",LEFT(TH!O865,2)="15"),TK!$E$7=TH!F865),"x","")</f>
        <v/>
      </c>
      <c r="AD865" s="85" t="str">
        <f>IF(AND(N865="1521",MONTH(C865)='BK-NL'!$M$11),"x","")</f>
        <v/>
      </c>
    </row>
    <row r="866" spans="1:30" ht="15.75" hidden="1" customHeight="1">
      <c r="A866" s="343" t="str">
        <f>IF(B866&lt;&gt;"",IF(AND(B866='IN-TC'!$S$4,OR(TH!N866="1111",TH!O866="1111")),TH!D866,""),"")</f>
        <v/>
      </c>
      <c r="B866" s="63">
        <f t="shared" si="60"/>
        <v>4</v>
      </c>
      <c r="C866" s="64">
        <f t="shared" si="66"/>
        <v>42475</v>
      </c>
      <c r="D866" s="64" t="s">
        <v>708</v>
      </c>
      <c r="E866" s="64">
        <v>42475</v>
      </c>
      <c r="F866" s="67" t="s">
        <v>1211</v>
      </c>
      <c r="G866" s="996" t="s">
        <v>928</v>
      </c>
      <c r="H866" s="74" t="s">
        <v>739</v>
      </c>
      <c r="I866" s="447"/>
      <c r="J866" s="447"/>
      <c r="K866" s="438">
        <v>113.67</v>
      </c>
      <c r="L866" s="447">
        <v>22260</v>
      </c>
      <c r="M866" s="65">
        <f t="shared" si="67"/>
        <v>2530294</v>
      </c>
      <c r="N866" s="66" t="s">
        <v>99</v>
      </c>
      <c r="O866" s="66" t="s">
        <v>267</v>
      </c>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c r="AA866" s="85" t="str">
        <f>IF(AND(MONTH(E866)='IN-NX'!$J$5,'IN-NX'!$D$7=D866),"x","")</f>
        <v/>
      </c>
      <c r="AB866" s="85" t="str">
        <f>IF(AND(OR(LEFT(TH!N866,2)="15",LEFT(TH!O866,2)="15"),'152-CT'!$J$8=TH!F866),"x","")</f>
        <v/>
      </c>
      <c r="AC866" s="85" t="str">
        <f>IF(AND(OR(LEFT(TH!N866,2)="15",LEFT(TH!O866,2)="15"),TK!$E$7=TH!F866),"x","")</f>
        <v/>
      </c>
      <c r="AD866" s="85" t="str">
        <f>IF(AND(N866="1521",MONTH(C866)='BK-NL'!$M$11),"x","")</f>
        <v/>
      </c>
    </row>
    <row r="867" spans="1:30" ht="15.75" hidden="1" customHeight="1">
      <c r="A867" s="343" t="str">
        <f>IF(B867&lt;&gt;"",IF(AND(B867='IN-TC'!$S$4,OR(TH!N867="1111",TH!O867="1111")),TH!D867,""),"")</f>
        <v/>
      </c>
      <c r="B867" s="63">
        <f t="shared" si="60"/>
        <v>4</v>
      </c>
      <c r="C867" s="64">
        <f t="shared" si="66"/>
        <v>42475</v>
      </c>
      <c r="D867" s="64" t="s">
        <v>708</v>
      </c>
      <c r="E867" s="64">
        <v>42475</v>
      </c>
      <c r="F867" s="67" t="s">
        <v>1211</v>
      </c>
      <c r="G867" s="996" t="s">
        <v>928</v>
      </c>
      <c r="H867" s="74" t="s">
        <v>740</v>
      </c>
      <c r="I867" s="447"/>
      <c r="J867" s="447"/>
      <c r="K867" s="438">
        <v>148.11000000000001</v>
      </c>
      <c r="L867" s="447">
        <v>22260</v>
      </c>
      <c r="M867" s="65">
        <f t="shared" si="67"/>
        <v>3296929</v>
      </c>
      <c r="N867" s="66" t="s">
        <v>99</v>
      </c>
      <c r="O867" s="66" t="s">
        <v>267</v>
      </c>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c r="AA867" s="85" t="str">
        <f>IF(AND(MONTH(E867)='IN-NX'!$J$5,'IN-NX'!$D$7=D867),"x","")</f>
        <v/>
      </c>
      <c r="AB867" s="85" t="str">
        <f>IF(AND(OR(LEFT(TH!N867,2)="15",LEFT(TH!O867,2)="15"),'152-CT'!$J$8=TH!F867),"x","")</f>
        <v/>
      </c>
      <c r="AC867" s="85" t="str">
        <f>IF(AND(OR(LEFT(TH!N867,2)="15",LEFT(TH!O867,2)="15"),TK!$E$7=TH!F867),"x","")</f>
        <v/>
      </c>
      <c r="AD867" s="85" t="str">
        <f>IF(AND(N867="1521",MONTH(C867)='BK-NL'!$M$11),"x","")</f>
        <v/>
      </c>
    </row>
    <row r="868" spans="1:30" ht="15.75" hidden="1" customHeight="1">
      <c r="A868" s="343" t="str">
        <f>IF(B868&lt;&gt;"",IF(AND(B868='IN-TC'!$S$4,OR(TH!N868="1111",TH!O868="1111")),TH!D868,""),"")</f>
        <v/>
      </c>
      <c r="B868" s="63">
        <f t="shared" si="60"/>
        <v>4</v>
      </c>
      <c r="C868" s="64">
        <f t="shared" si="66"/>
        <v>42475</v>
      </c>
      <c r="D868" s="64" t="s">
        <v>708</v>
      </c>
      <c r="E868" s="64">
        <v>42475</v>
      </c>
      <c r="F868" s="67" t="s">
        <v>1211</v>
      </c>
      <c r="G868" s="996" t="s">
        <v>928</v>
      </c>
      <c r="H868" s="74" t="s">
        <v>750</v>
      </c>
      <c r="I868" s="447"/>
      <c r="J868" s="447"/>
      <c r="K868" s="438">
        <v>180.14</v>
      </c>
      <c r="L868" s="447">
        <v>22260</v>
      </c>
      <c r="M868" s="65">
        <f t="shared" si="67"/>
        <v>4009916</v>
      </c>
      <c r="N868" s="66" t="s">
        <v>99</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hidden="1" customHeight="1">
      <c r="A869" s="343" t="str">
        <f>IF(B869&lt;&gt;"",IF(AND(B869='IN-TC'!$S$4,OR(TH!N869="1111",TH!O869="1111")),TH!D869,""),"")</f>
        <v/>
      </c>
      <c r="B869" s="63">
        <f t="shared" si="60"/>
        <v>4</v>
      </c>
      <c r="C869" s="64">
        <f t="shared" si="66"/>
        <v>42481</v>
      </c>
      <c r="D869" s="64" t="s">
        <v>708</v>
      </c>
      <c r="E869" s="64">
        <v>42481</v>
      </c>
      <c r="F869" s="67" t="s">
        <v>1463</v>
      </c>
      <c r="G869" s="996" t="s">
        <v>930</v>
      </c>
      <c r="H869" s="74"/>
      <c r="I869" s="447"/>
      <c r="J869" s="447"/>
      <c r="K869" s="438">
        <v>3900</v>
      </c>
      <c r="L869" s="447">
        <v>22260</v>
      </c>
      <c r="M869" s="65">
        <f t="shared" si="67"/>
        <v>86814000</v>
      </c>
      <c r="N869" s="323" t="s">
        <v>26</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x</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hidden="1" customHeight="1">
      <c r="A870" s="343" t="str">
        <f>IF(B870&lt;&gt;"",IF(AND(B870='IN-TC'!$S$4,OR(TH!N870="1111",TH!O870="1111")),TH!D870,""),"")</f>
        <v/>
      </c>
      <c r="B870" s="63">
        <f t="shared" si="60"/>
        <v>4</v>
      </c>
      <c r="C870" s="64">
        <f t="shared" ref="C870:C910" si="68">E870</f>
        <v>42468</v>
      </c>
      <c r="D870" s="64" t="s">
        <v>708</v>
      </c>
      <c r="E870" s="64">
        <v>42468</v>
      </c>
      <c r="F870" s="67" t="s">
        <v>1464</v>
      </c>
      <c r="G870" s="996" t="s">
        <v>928</v>
      </c>
      <c r="H870" s="74" t="s">
        <v>1448</v>
      </c>
      <c r="I870" s="447"/>
      <c r="J870" s="447"/>
      <c r="K870" s="438"/>
      <c r="L870" s="447"/>
      <c r="M870" s="65">
        <v>1000000</v>
      </c>
      <c r="N870" s="323" t="s">
        <v>8</v>
      </c>
      <c r="O870" s="66" t="s">
        <v>26</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hidden="1" customHeight="1">
      <c r="A871" s="343" t="str">
        <f>IF(B871&lt;&gt;"",IF(AND(B871='IN-TC'!$S$4,OR(TH!N871="1111",TH!O871="1111")),TH!D871,""),"")</f>
        <v/>
      </c>
      <c r="B871" s="63">
        <f t="shared" si="60"/>
        <v>4</v>
      </c>
      <c r="C871" s="64">
        <f t="shared" si="68"/>
        <v>42468</v>
      </c>
      <c r="D871" s="64" t="s">
        <v>708</v>
      </c>
      <c r="E871" s="64">
        <v>42468</v>
      </c>
      <c r="F871" s="67" t="s">
        <v>1214</v>
      </c>
      <c r="G871" s="996" t="s">
        <v>928</v>
      </c>
      <c r="H871" s="74"/>
      <c r="I871" s="447"/>
      <c r="J871" s="447"/>
      <c r="K871" s="438"/>
      <c r="L871" s="447"/>
      <c r="M871" s="65">
        <v>20000</v>
      </c>
      <c r="N871" s="66" t="s">
        <v>101</v>
      </c>
      <c r="O871" s="66" t="s">
        <v>26</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hidden="1" customHeight="1">
      <c r="A872" s="343" t="str">
        <f>IF(B872&lt;&gt;"",IF(AND(B872='IN-TC'!$S$4,OR(TH!N872="1111",TH!O872="1111")),TH!D872,""),"")</f>
        <v/>
      </c>
      <c r="B872" s="63">
        <f t="shared" si="60"/>
        <v>4</v>
      </c>
      <c r="C872" s="64">
        <f t="shared" si="68"/>
        <v>42468</v>
      </c>
      <c r="D872" s="64" t="s">
        <v>708</v>
      </c>
      <c r="E872" s="64">
        <v>42468</v>
      </c>
      <c r="F872" s="67" t="s">
        <v>1215</v>
      </c>
      <c r="G872" s="996" t="s">
        <v>928</v>
      </c>
      <c r="H872" s="74"/>
      <c r="I872" s="447"/>
      <c r="J872" s="447"/>
      <c r="K872" s="438"/>
      <c r="L872" s="447"/>
      <c r="M872" s="65">
        <v>2000</v>
      </c>
      <c r="N872" s="66" t="s">
        <v>9</v>
      </c>
      <c r="O872" s="66" t="s">
        <v>26</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hidden="1" customHeight="1">
      <c r="A873" s="343" t="str">
        <f>IF(B873&lt;&gt;"",IF(AND(B873='IN-TC'!$S$4,OR(TH!N873="1111",TH!O873="1111")),TH!D873,""),"")</f>
        <v/>
      </c>
      <c r="B873" s="63">
        <f t="shared" si="60"/>
        <v>4</v>
      </c>
      <c r="C873" s="64">
        <f t="shared" si="68"/>
        <v>42466</v>
      </c>
      <c r="D873" s="64" t="s">
        <v>708</v>
      </c>
      <c r="E873" s="64">
        <v>42466</v>
      </c>
      <c r="F873" s="67" t="s">
        <v>1206</v>
      </c>
      <c r="G873" s="996" t="s">
        <v>929</v>
      </c>
      <c r="H873" s="74"/>
      <c r="I873" s="447"/>
      <c r="J873" s="447"/>
      <c r="K873" s="438"/>
      <c r="L873" s="447"/>
      <c r="M873" s="65">
        <v>333900</v>
      </c>
      <c r="N873" s="66" t="s">
        <v>101</v>
      </c>
      <c r="O873" s="66" t="s">
        <v>26</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x</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hidden="1" customHeight="1">
      <c r="A874" s="343" t="str">
        <f>IF(B874&lt;&gt;"",IF(AND(B874='IN-TC'!$S$4,OR(TH!N874="1111",TH!O874="1111")),TH!D874,""),"")</f>
        <v/>
      </c>
      <c r="B874" s="63">
        <f t="shared" si="60"/>
        <v>4</v>
      </c>
      <c r="C874" s="64">
        <f t="shared" si="68"/>
        <v>42466</v>
      </c>
      <c r="D874" s="64" t="s">
        <v>708</v>
      </c>
      <c r="E874" s="64">
        <v>42466</v>
      </c>
      <c r="F874" s="67" t="s">
        <v>1207</v>
      </c>
      <c r="G874" s="996" t="s">
        <v>929</v>
      </c>
      <c r="H874" s="74"/>
      <c r="I874" s="447"/>
      <c r="J874" s="447"/>
      <c r="K874" s="438"/>
      <c r="L874" s="447"/>
      <c r="M874" s="65">
        <v>33390</v>
      </c>
      <c r="N874" s="66" t="s">
        <v>9</v>
      </c>
      <c r="O874" s="66" t="s">
        <v>26</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x</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hidden="1" customHeight="1">
      <c r="A875" s="343" t="str">
        <f>IF(B875&lt;&gt;"",IF(AND(B875='IN-TC'!$S$4,OR(TH!N875="1111",TH!O875="1111")),TH!D875,""),"")</f>
        <v/>
      </c>
      <c r="B875" s="63">
        <f t="shared" si="60"/>
        <v>4</v>
      </c>
      <c r="C875" s="64">
        <f t="shared" si="68"/>
        <v>42466</v>
      </c>
      <c r="D875" s="64" t="s">
        <v>708</v>
      </c>
      <c r="E875" s="64">
        <v>42466</v>
      </c>
      <c r="F875" s="67" t="s">
        <v>1211</v>
      </c>
      <c r="G875" s="996" t="s">
        <v>929</v>
      </c>
      <c r="H875" s="7" t="s">
        <v>728</v>
      </c>
      <c r="I875" s="447"/>
      <c r="J875" s="447"/>
      <c r="K875" s="438"/>
      <c r="L875" s="447"/>
      <c r="M875" s="65">
        <v>1203494</v>
      </c>
      <c r="N875" s="66" t="s">
        <v>99</v>
      </c>
      <c r="O875" s="66" t="s">
        <v>26</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x</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hidden="1" customHeight="1">
      <c r="A876" s="343" t="str">
        <f>IF(B876&lt;&gt;"",IF(AND(B876='IN-TC'!$S$4,OR(TH!N876="1111",TH!O876="1111")),TH!D876,""),"")</f>
        <v/>
      </c>
      <c r="B876" s="63">
        <f t="shared" si="60"/>
        <v>4</v>
      </c>
      <c r="C876" s="64">
        <f t="shared" si="68"/>
        <v>42466</v>
      </c>
      <c r="D876" s="64" t="s">
        <v>708</v>
      </c>
      <c r="E876" s="64">
        <v>42466</v>
      </c>
      <c r="F876" s="67" t="s">
        <v>1211</v>
      </c>
      <c r="G876" s="996" t="s">
        <v>929</v>
      </c>
      <c r="H876" s="7" t="s">
        <v>720</v>
      </c>
      <c r="I876" s="447"/>
      <c r="J876" s="447"/>
      <c r="K876" s="438"/>
      <c r="L876" s="447"/>
      <c r="M876" s="65">
        <v>2881735</v>
      </c>
      <c r="N876" s="66" t="s">
        <v>99</v>
      </c>
      <c r="O876" s="66" t="s">
        <v>26</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x</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hidden="1" customHeight="1">
      <c r="A877" s="343" t="str">
        <f>IF(B877&lt;&gt;"",IF(AND(B877='IN-TC'!$S$4,OR(TH!N877="1111",TH!O877="1111")),TH!D877,""),"")</f>
        <v/>
      </c>
      <c r="B877" s="63">
        <f t="shared" si="60"/>
        <v>4</v>
      </c>
      <c r="C877" s="64">
        <f t="shared" si="68"/>
        <v>42466</v>
      </c>
      <c r="D877" s="64" t="s">
        <v>708</v>
      </c>
      <c r="E877" s="64">
        <v>42466</v>
      </c>
      <c r="F877" s="67" t="s">
        <v>1211</v>
      </c>
      <c r="G877" s="996" t="s">
        <v>929</v>
      </c>
      <c r="H877" s="7" t="s">
        <v>721</v>
      </c>
      <c r="I877" s="447"/>
      <c r="J877" s="447"/>
      <c r="K877" s="438"/>
      <c r="L877" s="447"/>
      <c r="M877" s="65">
        <v>1774440</v>
      </c>
      <c r="N877" s="66" t="s">
        <v>99</v>
      </c>
      <c r="O877" s="66" t="s">
        <v>26</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x</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hidden="1" customHeight="1">
      <c r="A878" s="343" t="str">
        <f>IF(B878&lt;&gt;"",IF(AND(B878='IN-TC'!$S$4,OR(TH!N878="1111",TH!O878="1111")),TH!D878,""),"")</f>
        <v/>
      </c>
      <c r="B878" s="63">
        <f t="shared" si="60"/>
        <v>4</v>
      </c>
      <c r="C878" s="64">
        <f t="shared" si="68"/>
        <v>42466</v>
      </c>
      <c r="D878" s="64" t="s">
        <v>708</v>
      </c>
      <c r="E878" s="64">
        <v>42466</v>
      </c>
      <c r="F878" s="67" t="s">
        <v>1211</v>
      </c>
      <c r="G878" s="996" t="s">
        <v>929</v>
      </c>
      <c r="H878" s="7" t="s">
        <v>729</v>
      </c>
      <c r="I878" s="447"/>
      <c r="J878" s="447"/>
      <c r="K878" s="438"/>
      <c r="L878" s="447"/>
      <c r="M878" s="65">
        <v>2483993</v>
      </c>
      <c r="N878" s="66" t="s">
        <v>99</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x</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hidden="1" customHeight="1">
      <c r="A879" s="343" t="str">
        <f>IF(B879&lt;&gt;"",IF(AND(B879='IN-TC'!$S$4,OR(TH!N879="1111",TH!O879="1111")),TH!D879,""),"")</f>
        <v/>
      </c>
      <c r="B879" s="63">
        <f t="shared" si="60"/>
        <v>4</v>
      </c>
      <c r="C879" s="64">
        <f t="shared" si="68"/>
        <v>42468</v>
      </c>
      <c r="D879" s="64" t="s">
        <v>705</v>
      </c>
      <c r="E879" s="64">
        <v>42468</v>
      </c>
      <c r="F879" s="67" t="s">
        <v>1118</v>
      </c>
      <c r="G879" s="996" t="s">
        <v>929</v>
      </c>
      <c r="H879" s="74" t="s">
        <v>1378</v>
      </c>
      <c r="I879" s="447"/>
      <c r="J879" s="447"/>
      <c r="K879" s="438"/>
      <c r="L879" s="447"/>
      <c r="M879" s="65">
        <v>20000000</v>
      </c>
      <c r="N879" s="66" t="s">
        <v>26</v>
      </c>
      <c r="O879" s="66" t="s">
        <v>63</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x</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hidden="1" customHeight="1">
      <c r="A880" s="343" t="str">
        <f>IF(B880&lt;&gt;"",IF(AND(B880='IN-TC'!$S$4,OR(TH!N880="1111",TH!O880="1111")),TH!D880,""),"")</f>
        <v/>
      </c>
      <c r="B880" s="63">
        <f t="shared" si="60"/>
        <v>4</v>
      </c>
      <c r="C880" s="64">
        <f t="shared" si="68"/>
        <v>42468</v>
      </c>
      <c r="D880" s="64" t="s">
        <v>708</v>
      </c>
      <c r="E880" s="64">
        <v>42468</v>
      </c>
      <c r="F880" s="67" t="s">
        <v>1465</v>
      </c>
      <c r="G880" s="996" t="s">
        <v>929</v>
      </c>
      <c r="H880" s="7" t="s">
        <v>635</v>
      </c>
      <c r="I880" s="447"/>
      <c r="J880" s="447"/>
      <c r="K880" s="438"/>
      <c r="L880" s="447"/>
      <c r="M880" s="65">
        <v>22186560</v>
      </c>
      <c r="N880" s="323" t="s">
        <v>8</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x</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hidden="1" customHeight="1">
      <c r="A881" s="343" t="str">
        <f>IF(B881&lt;&gt;"",IF(AND(B881='IN-TC'!$S$4,OR(TH!N881="1111",TH!O881="1111")),TH!D881,""),"")</f>
        <v/>
      </c>
      <c r="B881" s="63">
        <f t="shared" si="60"/>
        <v>4</v>
      </c>
      <c r="C881" s="64">
        <f t="shared" si="68"/>
        <v>42468</v>
      </c>
      <c r="D881" s="64" t="s">
        <v>708</v>
      </c>
      <c r="E881" s="64">
        <v>42468</v>
      </c>
      <c r="F881" s="67" t="s">
        <v>1214</v>
      </c>
      <c r="G881" s="996" t="s">
        <v>929</v>
      </c>
      <c r="H881" s="74"/>
      <c r="I881" s="447"/>
      <c r="J881" s="447"/>
      <c r="K881" s="438"/>
      <c r="L881" s="447"/>
      <c r="M881" s="65">
        <v>45000</v>
      </c>
      <c r="N881" s="66" t="s">
        <v>101</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x</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hidden="1" customHeight="1">
      <c r="A882" s="343" t="str">
        <f>IF(B882&lt;&gt;"",IF(AND(B882='IN-TC'!$S$4,OR(TH!N882="1111",TH!O882="1111")),TH!D882,""),"")</f>
        <v/>
      </c>
      <c r="B882" s="63">
        <f t="shared" si="60"/>
        <v>4</v>
      </c>
      <c r="C882" s="64">
        <f t="shared" si="68"/>
        <v>42468</v>
      </c>
      <c r="D882" s="64" t="s">
        <v>708</v>
      </c>
      <c r="E882" s="64">
        <v>42468</v>
      </c>
      <c r="F882" s="67" t="s">
        <v>1215</v>
      </c>
      <c r="G882" s="996" t="s">
        <v>929</v>
      </c>
      <c r="H882" s="74"/>
      <c r="I882" s="447"/>
      <c r="J882" s="447"/>
      <c r="K882" s="438"/>
      <c r="L882" s="447"/>
      <c r="M882" s="65">
        <v>4500</v>
      </c>
      <c r="N882" s="66" t="s">
        <v>9</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x</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hidden="1" customHeight="1">
      <c r="A883" s="343" t="str">
        <f>IF(B883&lt;&gt;"",IF(AND(B883='IN-TC'!$S$4,OR(TH!N883="1111",TH!O883="1111")),TH!D883,""),"")</f>
        <v/>
      </c>
      <c r="B883" s="63">
        <f t="shared" si="60"/>
        <v>4</v>
      </c>
      <c r="C883" s="64">
        <f t="shared" si="68"/>
        <v>42475</v>
      </c>
      <c r="D883" s="64" t="s">
        <v>708</v>
      </c>
      <c r="E883" s="64">
        <v>42475</v>
      </c>
      <c r="F883" s="67" t="s">
        <v>1466</v>
      </c>
      <c r="G883" s="996" t="s">
        <v>929</v>
      </c>
      <c r="H883" s="74" t="s">
        <v>1467</v>
      </c>
      <c r="I883" s="447"/>
      <c r="J883" s="447"/>
      <c r="K883" s="438"/>
      <c r="L883" s="447"/>
      <c r="M883" s="65">
        <v>19958000</v>
      </c>
      <c r="N883" s="66" t="s">
        <v>26</v>
      </c>
      <c r="O883" s="66" t="s">
        <v>596</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x</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s="358" customFormat="1" ht="15.75" hidden="1" customHeight="1">
      <c r="A884" s="343" t="str">
        <f>IF(B884&lt;&gt;"",IF(AND(B884='IN-TC'!$S$4,OR(TH!N884="1111",TH!O884="1111")),TH!D884,""),"")</f>
        <v/>
      </c>
      <c r="B884" s="63">
        <f t="shared" si="60"/>
        <v>4</v>
      </c>
      <c r="C884" s="64">
        <f t="shared" si="68"/>
        <v>42475</v>
      </c>
      <c r="D884" s="64" t="s">
        <v>708</v>
      </c>
      <c r="E884" s="64">
        <v>42475</v>
      </c>
      <c r="F884" s="67" t="s">
        <v>1205</v>
      </c>
      <c r="G884" s="996" t="s">
        <v>929</v>
      </c>
      <c r="H884" s="899" t="s">
        <v>1474</v>
      </c>
      <c r="I884" s="447"/>
      <c r="J884" s="447"/>
      <c r="K884" s="438"/>
      <c r="L884" s="447"/>
      <c r="M884" s="65">
        <v>1600000000</v>
      </c>
      <c r="N884" s="66" t="s">
        <v>26</v>
      </c>
      <c r="O884" s="66" t="s">
        <v>261</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x</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s="358" customFormat="1" ht="15.75" hidden="1" customHeight="1">
      <c r="A885" s="343" t="str">
        <f>IF(B885&lt;&gt;"",IF(AND(B885='IN-TC'!$S$4,OR(TH!N885="1111",TH!O885="1111")),TH!D885,""),"")</f>
        <v/>
      </c>
      <c r="B885" s="63">
        <f t="shared" ref="B885:B886" si="69">IF(C885&lt;&gt;"",MONTH(C885),"")</f>
        <v>4</v>
      </c>
      <c r="C885" s="64">
        <f t="shared" ref="C885:C886" si="70">E885</f>
        <v>42475</v>
      </c>
      <c r="D885" s="64" t="s">
        <v>708</v>
      </c>
      <c r="E885" s="64">
        <v>42475</v>
      </c>
      <c r="F885" s="67" t="s">
        <v>617</v>
      </c>
      <c r="G885" s="996" t="s">
        <v>929</v>
      </c>
      <c r="H885" s="899"/>
      <c r="I885" s="447"/>
      <c r="J885" s="447"/>
      <c r="K885" s="438"/>
      <c r="L885" s="447"/>
      <c r="M885" s="65">
        <v>222800</v>
      </c>
      <c r="N885" s="66" t="s">
        <v>101</v>
      </c>
      <c r="O885" s="66" t="s">
        <v>26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x</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s="358" customFormat="1" ht="15.75" hidden="1" customHeight="1">
      <c r="A886" s="343" t="str">
        <f>IF(B886&lt;&gt;"",IF(AND(B886='IN-TC'!$S$4,OR(TH!N886="1111",TH!O886="1111")),TH!D886,""),"")</f>
        <v/>
      </c>
      <c r="B886" s="63">
        <f t="shared" si="69"/>
        <v>4</v>
      </c>
      <c r="C886" s="64">
        <f t="shared" si="70"/>
        <v>42475</v>
      </c>
      <c r="D886" s="64" t="s">
        <v>708</v>
      </c>
      <c r="E886" s="64">
        <v>42475</v>
      </c>
      <c r="F886" s="67" t="s">
        <v>1208</v>
      </c>
      <c r="G886" s="996" t="s">
        <v>929</v>
      </c>
      <c r="H886" s="899"/>
      <c r="I886" s="447"/>
      <c r="J886" s="447"/>
      <c r="K886" s="438"/>
      <c r="L886" s="447"/>
      <c r="M886" s="65">
        <v>22280</v>
      </c>
      <c r="N886" s="66" t="s">
        <v>9</v>
      </c>
      <c r="O886" s="66" t="s">
        <v>26</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x</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s="358" customFormat="1" ht="15.75" hidden="1" customHeight="1">
      <c r="A887" s="343" t="str">
        <f>IF(B887&lt;&gt;"",IF(AND(B887='IN-TC'!$S$4,OR(TH!N887="1111",TH!O887="1111")),TH!D887,""),"")</f>
        <v/>
      </c>
      <c r="B887" s="63">
        <f t="shared" si="60"/>
        <v>4</v>
      </c>
      <c r="C887" s="64">
        <f t="shared" si="68"/>
        <v>42475</v>
      </c>
      <c r="D887" s="64" t="s">
        <v>708</v>
      </c>
      <c r="E887" s="64">
        <v>42475</v>
      </c>
      <c r="F887" s="67" t="s">
        <v>618</v>
      </c>
      <c r="G887" s="996" t="s">
        <v>929</v>
      </c>
      <c r="H887" s="899"/>
      <c r="I887" s="447"/>
      <c r="J887" s="447"/>
      <c r="K887" s="438"/>
      <c r="L887" s="447"/>
      <c r="M887" s="65">
        <v>615374</v>
      </c>
      <c r="N887" s="66" t="s">
        <v>101</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x</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s="358" customFormat="1" ht="15.75" hidden="1" customHeight="1">
      <c r="A888" s="343" t="str">
        <f>IF(B888&lt;&gt;"",IF(AND(B888='IN-TC'!$S$4,OR(TH!N888="1111",TH!O888="1111")),TH!D888,""),"")</f>
        <v/>
      </c>
      <c r="B888" s="63">
        <f t="shared" ref="B888" si="71">IF(C888&lt;&gt;"",MONTH(C888),"")</f>
        <v>4</v>
      </c>
      <c r="C888" s="64">
        <f t="shared" ref="C888" si="72">E888</f>
        <v>42475</v>
      </c>
      <c r="D888" s="64" t="s">
        <v>708</v>
      </c>
      <c r="E888" s="64">
        <v>42475</v>
      </c>
      <c r="F888" s="67" t="s">
        <v>1333</v>
      </c>
      <c r="G888" s="996" t="s">
        <v>929</v>
      </c>
      <c r="H888" s="899"/>
      <c r="I888" s="447"/>
      <c r="J888" s="447"/>
      <c r="K888" s="438"/>
      <c r="L888" s="447"/>
      <c r="M888" s="65">
        <v>61493</v>
      </c>
      <c r="N888" s="66" t="s">
        <v>9</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x</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s="358" customFormat="1" ht="15.75" hidden="1" customHeight="1">
      <c r="A889" s="343" t="str">
        <f>IF(B889&lt;&gt;"",IF(AND(B889='IN-TC'!$S$4,OR(TH!N889="1111",TH!O889="1111")),TH!D889,""),"")</f>
        <v/>
      </c>
      <c r="B889" s="63">
        <f t="shared" si="60"/>
        <v>4</v>
      </c>
      <c r="C889" s="64">
        <f t="shared" si="68"/>
        <v>42475</v>
      </c>
      <c r="D889" s="64" t="s">
        <v>708</v>
      </c>
      <c r="E889" s="64">
        <v>42475</v>
      </c>
      <c r="F889" s="67" t="s">
        <v>1157</v>
      </c>
      <c r="G889" s="996" t="s">
        <v>929</v>
      </c>
      <c r="H889" s="74" t="s">
        <v>772</v>
      </c>
      <c r="I889" s="447"/>
      <c r="J889" s="447"/>
      <c r="K889" s="438"/>
      <c r="L889" s="447"/>
      <c r="M889" s="65">
        <v>1600000000</v>
      </c>
      <c r="N889" s="66" t="s">
        <v>63</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x</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hidden="1" customHeight="1">
      <c r="A890" s="343" t="str">
        <f>IF(B890&lt;&gt;"",IF(AND(B890='IN-TC'!$S$4,OR(TH!N890="1111",TH!O890="1111")),TH!D890,""),"")</f>
        <v/>
      </c>
      <c r="B890" s="63">
        <f t="shared" si="60"/>
        <v>4</v>
      </c>
      <c r="C890" s="64">
        <f t="shared" si="68"/>
        <v>42479</v>
      </c>
      <c r="D890" s="64" t="s">
        <v>708</v>
      </c>
      <c r="E890" s="64">
        <v>42479</v>
      </c>
      <c r="F890" s="67" t="s">
        <v>1211</v>
      </c>
      <c r="G890" s="996" t="s">
        <v>929</v>
      </c>
      <c r="H890" s="7" t="s">
        <v>733</v>
      </c>
      <c r="I890" s="447"/>
      <c r="J890" s="447"/>
      <c r="K890" s="438"/>
      <c r="L890" s="447"/>
      <c r="M890" s="65">
        <v>6883892</v>
      </c>
      <c r="N890" s="66" t="s">
        <v>99</v>
      </c>
      <c r="O890" s="66" t="s">
        <v>26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x</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ht="15.75" hidden="1" customHeight="1">
      <c r="A891" s="343" t="str">
        <f>IF(B891&lt;&gt;"",IF(AND(B891='IN-TC'!$S$4,OR(TH!N891="1111",TH!O891="1111")),TH!D891,""),"")</f>
        <v/>
      </c>
      <c r="B891" s="63">
        <f t="shared" si="60"/>
        <v>4</v>
      </c>
      <c r="C891" s="64">
        <f t="shared" si="68"/>
        <v>42479</v>
      </c>
      <c r="D891" s="64" t="s">
        <v>708</v>
      </c>
      <c r="E891" s="64">
        <v>42479</v>
      </c>
      <c r="F891" s="67" t="s">
        <v>1211</v>
      </c>
      <c r="G891" s="996" t="s">
        <v>929</v>
      </c>
      <c r="H891" s="7" t="s">
        <v>734</v>
      </c>
      <c r="I891" s="447"/>
      <c r="J891" s="447"/>
      <c r="K891" s="438"/>
      <c r="L891" s="447"/>
      <c r="M891" s="65">
        <v>6845485</v>
      </c>
      <c r="N891" s="66" t="s">
        <v>99</v>
      </c>
      <c r="O891" s="66" t="s">
        <v>26</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x</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ht="15.75" hidden="1" customHeight="1">
      <c r="A892" s="343" t="str">
        <f>IF(B892&lt;&gt;"",IF(AND(B892='IN-TC'!$S$4,OR(TH!N892="1111",TH!O892="1111")),TH!D892,""),"")</f>
        <v/>
      </c>
      <c r="B892" s="63">
        <f t="shared" si="60"/>
        <v>4</v>
      </c>
      <c r="C892" s="64">
        <f t="shared" si="68"/>
        <v>42479</v>
      </c>
      <c r="D892" s="64" t="s">
        <v>708</v>
      </c>
      <c r="E892" s="64">
        <v>42479</v>
      </c>
      <c r="F892" s="67" t="s">
        <v>1211</v>
      </c>
      <c r="G892" s="996" t="s">
        <v>929</v>
      </c>
      <c r="H892" s="7" t="s">
        <v>741</v>
      </c>
      <c r="I892" s="447"/>
      <c r="J892" s="447"/>
      <c r="K892" s="438"/>
      <c r="L892" s="447"/>
      <c r="M892" s="65">
        <v>4691756</v>
      </c>
      <c r="N892" s="66" t="s">
        <v>99</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x</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ht="15.75" hidden="1" customHeight="1">
      <c r="A893" s="343" t="str">
        <f>IF(B893&lt;&gt;"",IF(AND(B893='IN-TC'!$S$4,OR(TH!N893="1111",TH!O893="1111")),TH!D893,""),"")</f>
        <v/>
      </c>
      <c r="B893" s="63">
        <f t="shared" ref="B893:B962" si="73">IF(C893&lt;&gt;"",MONTH(C893),"")</f>
        <v>4</v>
      </c>
      <c r="C893" s="64">
        <f t="shared" si="68"/>
        <v>42481</v>
      </c>
      <c r="D893" s="64" t="s">
        <v>708</v>
      </c>
      <c r="E893" s="64">
        <v>42481</v>
      </c>
      <c r="F893" s="67" t="s">
        <v>1468</v>
      </c>
      <c r="G893" s="996" t="s">
        <v>929</v>
      </c>
      <c r="H893" s="351" t="s">
        <v>1233</v>
      </c>
      <c r="I893" s="449"/>
      <c r="J893" s="449"/>
      <c r="K893" s="440"/>
      <c r="L893" s="449"/>
      <c r="M893" s="65">
        <v>40000000</v>
      </c>
      <c r="N893" s="66" t="s">
        <v>72</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x</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x</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ht="15.75" hidden="1" customHeight="1">
      <c r="A894" s="343" t="str">
        <f>IF(B894&lt;&gt;"",IF(AND(B894='IN-TC'!$S$4,OR(TH!N894="1111",TH!O894="1111")),TH!D894,""),"")</f>
        <v/>
      </c>
      <c r="B894" s="63">
        <f t="shared" si="73"/>
        <v>4</v>
      </c>
      <c r="C894" s="64">
        <f t="shared" si="68"/>
        <v>42481</v>
      </c>
      <c r="D894" s="64" t="s">
        <v>708</v>
      </c>
      <c r="E894" s="64">
        <v>42481</v>
      </c>
      <c r="F894" s="67" t="s">
        <v>1211</v>
      </c>
      <c r="G894" s="996" t="s">
        <v>929</v>
      </c>
      <c r="H894" s="7" t="s">
        <v>735</v>
      </c>
      <c r="I894" s="447"/>
      <c r="J894" s="447"/>
      <c r="K894" s="438"/>
      <c r="L894" s="447"/>
      <c r="M894" s="65">
        <v>6845767</v>
      </c>
      <c r="N894" s="66" t="s">
        <v>99</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x</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ht="15.75" hidden="1" customHeight="1">
      <c r="A895" s="343" t="str">
        <f>IF(B895&lt;&gt;"",IF(AND(B895='IN-TC'!$S$4,OR(TH!N895="1111",TH!O895="1111")),TH!D895,""),"")</f>
        <v/>
      </c>
      <c r="B895" s="63">
        <f t="shared" si="73"/>
        <v>4</v>
      </c>
      <c r="C895" s="64">
        <f t="shared" si="68"/>
        <v>42481</v>
      </c>
      <c r="D895" s="64" t="s">
        <v>708</v>
      </c>
      <c r="E895" s="64">
        <v>42481</v>
      </c>
      <c r="F895" s="67" t="s">
        <v>1211</v>
      </c>
      <c r="G895" s="996" t="s">
        <v>929</v>
      </c>
      <c r="H895" s="7" t="s">
        <v>736</v>
      </c>
      <c r="I895" s="447"/>
      <c r="J895" s="447"/>
      <c r="K895" s="438"/>
      <c r="L895" s="447"/>
      <c r="M895" s="65">
        <v>6768763</v>
      </c>
      <c r="N895" s="66" t="s">
        <v>99</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x</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ht="15.75" hidden="1" customHeight="1">
      <c r="A896" s="343" t="str">
        <f>IF(B896&lt;&gt;"",IF(AND(B896='IN-TC'!$S$4,OR(TH!N896="1111",TH!O896="1111")),TH!D896,""),"")</f>
        <v/>
      </c>
      <c r="B896" s="63">
        <f t="shared" si="73"/>
        <v>4</v>
      </c>
      <c r="C896" s="64">
        <f t="shared" si="68"/>
        <v>42481</v>
      </c>
      <c r="D896" s="64" t="s">
        <v>708</v>
      </c>
      <c r="E896" s="64">
        <v>42481</v>
      </c>
      <c r="F896" s="67" t="s">
        <v>1211</v>
      </c>
      <c r="G896" s="996" t="s">
        <v>929</v>
      </c>
      <c r="H896" s="7" t="s">
        <v>744</v>
      </c>
      <c r="I896" s="449"/>
      <c r="J896" s="449"/>
      <c r="K896" s="440"/>
      <c r="L896" s="449"/>
      <c r="M896" s="65">
        <v>7461130</v>
      </c>
      <c r="N896" s="66" t="s">
        <v>99</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x</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hidden="1" customHeight="1">
      <c r="A897" s="343" t="str">
        <f>IF(B897&lt;&gt;"",IF(AND(B897='IN-TC'!$S$4,OR(TH!N897="1111",TH!O897="1111")),TH!D897,""),"")</f>
        <v/>
      </c>
      <c r="B897" s="63">
        <f t="shared" si="73"/>
        <v>4</v>
      </c>
      <c r="C897" s="64">
        <f t="shared" si="68"/>
        <v>42481</v>
      </c>
      <c r="D897" s="64" t="s">
        <v>708</v>
      </c>
      <c r="E897" s="64">
        <v>42481</v>
      </c>
      <c r="F897" s="67" t="s">
        <v>1211</v>
      </c>
      <c r="G897" s="996" t="s">
        <v>929</v>
      </c>
      <c r="H897" s="74" t="s">
        <v>1199</v>
      </c>
      <c r="I897" s="447"/>
      <c r="J897" s="447"/>
      <c r="K897" s="438"/>
      <c r="L897" s="447"/>
      <c r="M897" s="65">
        <v>8545435</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x</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hidden="1" customHeight="1">
      <c r="A898" s="343" t="str">
        <f>IF(B898&lt;&gt;"",IF(AND(B898='IN-TC'!$S$4,OR(TH!N898="1111",TH!O898="1111")),TH!D898,""),"")</f>
        <v/>
      </c>
      <c r="B898" s="63">
        <f t="shared" si="73"/>
        <v>4</v>
      </c>
      <c r="C898" s="64">
        <f t="shared" si="68"/>
        <v>42481</v>
      </c>
      <c r="D898" s="64" t="s">
        <v>708</v>
      </c>
      <c r="E898" s="64">
        <v>42481</v>
      </c>
      <c r="F898" s="67" t="s">
        <v>1211</v>
      </c>
      <c r="G898" s="996" t="s">
        <v>929</v>
      </c>
      <c r="H898" s="74" t="s">
        <v>1201</v>
      </c>
      <c r="I898" s="447"/>
      <c r="J898" s="447"/>
      <c r="K898" s="438"/>
      <c r="L898" s="447"/>
      <c r="M898" s="65">
        <v>9155887</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x</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hidden="1" customHeight="1">
      <c r="A899" s="343" t="str">
        <f>IF(B899&lt;&gt;"",IF(AND(B899='IN-TC'!$S$4,OR(TH!N899="1111",TH!O899="1111")),TH!D899,""),"")</f>
        <v/>
      </c>
      <c r="B899" s="63">
        <f t="shared" si="73"/>
        <v>4</v>
      </c>
      <c r="C899" s="64">
        <f t="shared" si="68"/>
        <v>42482</v>
      </c>
      <c r="D899" s="64" t="s">
        <v>708</v>
      </c>
      <c r="E899" s="64">
        <v>42482</v>
      </c>
      <c r="F899" s="67" t="s">
        <v>1469</v>
      </c>
      <c r="G899" s="996" t="s">
        <v>929</v>
      </c>
      <c r="H899" s="322" t="s">
        <v>1375</v>
      </c>
      <c r="I899" s="447"/>
      <c r="J899" s="447"/>
      <c r="K899" s="438"/>
      <c r="L899" s="447"/>
      <c r="M899" s="65">
        <v>136832</v>
      </c>
      <c r="N899" s="66" t="s">
        <v>105</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x</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hidden="1" customHeight="1">
      <c r="A900" s="343" t="str">
        <f>IF(B900&lt;&gt;"",IF(AND(B900='IN-TC'!$S$4,OR(TH!N900="1111",TH!O900="1111")),TH!D900,""),"")</f>
        <v/>
      </c>
      <c r="B900" s="63">
        <f t="shared" ref="B900" si="74">IF(C900&lt;&gt;"",MONTH(C900),"")</f>
        <v>4</v>
      </c>
      <c r="C900" s="64">
        <f t="shared" si="68"/>
        <v>42485</v>
      </c>
      <c r="D900" s="64" t="s">
        <v>708</v>
      </c>
      <c r="E900" s="64">
        <v>42485</v>
      </c>
      <c r="F900" s="321" t="s">
        <v>1118</v>
      </c>
      <c r="G900" s="996" t="s">
        <v>929</v>
      </c>
      <c r="H900" s="322" t="s">
        <v>1437</v>
      </c>
      <c r="I900" s="447"/>
      <c r="J900" s="447"/>
      <c r="K900" s="438"/>
      <c r="L900" s="447"/>
      <c r="M900" s="65">
        <v>80000000</v>
      </c>
      <c r="N900" s="323" t="s">
        <v>26</v>
      </c>
      <c r="O900" s="66" t="s">
        <v>63</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x</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hidden="1" customHeight="1">
      <c r="A901" s="343" t="str">
        <f>IF(B901&lt;&gt;"",IF(AND(B901='IN-TC'!$S$4,OR(TH!N901="1111",TH!O901="1111")),TH!D901,""),"")</f>
        <v/>
      </c>
      <c r="B901" s="63">
        <f t="shared" si="73"/>
        <v>4</v>
      </c>
      <c r="C901" s="64">
        <f t="shared" si="68"/>
        <v>42485</v>
      </c>
      <c r="D901" s="64" t="s">
        <v>708</v>
      </c>
      <c r="E901" s="64">
        <v>42485</v>
      </c>
      <c r="F901" s="67" t="s">
        <v>1470</v>
      </c>
      <c r="G901" s="996" t="s">
        <v>929</v>
      </c>
      <c r="H901" s="7" t="s">
        <v>632</v>
      </c>
      <c r="I901" s="447"/>
      <c r="J901" s="447"/>
      <c r="K901" s="438"/>
      <c r="L901" s="447"/>
      <c r="M901" s="65">
        <v>780000</v>
      </c>
      <c r="N901" s="66" t="s">
        <v>8</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x</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hidden="1" customHeight="1">
      <c r="A902" s="343" t="str">
        <f>IF(B902&lt;&gt;"",IF(AND(B902='IN-TC'!$S$4,OR(TH!N902="1111",TH!O902="1111")),TH!D902,""),"")</f>
        <v/>
      </c>
      <c r="B902" s="63">
        <f t="shared" si="73"/>
        <v>4</v>
      </c>
      <c r="C902" s="64">
        <f t="shared" si="68"/>
        <v>42485</v>
      </c>
      <c r="D902" s="64" t="s">
        <v>708</v>
      </c>
      <c r="E902" s="64">
        <v>42485</v>
      </c>
      <c r="F902" s="67" t="s">
        <v>1214</v>
      </c>
      <c r="G902" s="996" t="s">
        <v>929</v>
      </c>
      <c r="H902" s="322"/>
      <c r="I902" s="447"/>
      <c r="J902" s="447"/>
      <c r="K902" s="438"/>
      <c r="L902" s="447"/>
      <c r="M902" s="65">
        <v>20000</v>
      </c>
      <c r="N902" s="323" t="s">
        <v>101</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x</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hidden="1" customHeight="1">
      <c r="A903" s="343" t="str">
        <f>IF(B903&lt;&gt;"",IF(AND(B903='IN-TC'!$S$4,OR(TH!N903="1111",TH!O903="1111")),TH!D903,""),"")</f>
        <v/>
      </c>
      <c r="B903" s="63">
        <f t="shared" si="73"/>
        <v>4</v>
      </c>
      <c r="C903" s="64">
        <f t="shared" si="68"/>
        <v>42485</v>
      </c>
      <c r="D903" s="64" t="s">
        <v>708</v>
      </c>
      <c r="E903" s="64">
        <v>42485</v>
      </c>
      <c r="F903" s="67" t="s">
        <v>1215</v>
      </c>
      <c r="G903" s="996" t="s">
        <v>929</v>
      </c>
      <c r="H903" s="322"/>
      <c r="I903" s="447"/>
      <c r="J903" s="447"/>
      <c r="K903" s="438"/>
      <c r="L903" s="447"/>
      <c r="M903" s="65">
        <v>2000</v>
      </c>
      <c r="N903" s="323" t="s">
        <v>9</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x</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hidden="1" customHeight="1">
      <c r="A904" s="343" t="str">
        <f>IF(B904&lt;&gt;"",IF(AND(B904='IN-TC'!$S$4,OR(TH!N904="1111",TH!O904="1111")),TH!D904,""),"")</f>
        <v/>
      </c>
      <c r="B904" s="63">
        <f t="shared" si="73"/>
        <v>4</v>
      </c>
      <c r="C904" s="64">
        <f t="shared" si="68"/>
        <v>42485</v>
      </c>
      <c r="D904" s="64" t="s">
        <v>708</v>
      </c>
      <c r="E904" s="64">
        <v>42485</v>
      </c>
      <c r="F904" s="67" t="s">
        <v>1471</v>
      </c>
      <c r="G904" s="996" t="s">
        <v>929</v>
      </c>
      <c r="H904" s="7" t="s">
        <v>632</v>
      </c>
      <c r="I904" s="447"/>
      <c r="J904" s="447"/>
      <c r="K904" s="438"/>
      <c r="L904" s="447"/>
      <c r="M904" s="65">
        <v>2205000</v>
      </c>
      <c r="N904" s="66" t="s">
        <v>8</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x</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hidden="1" customHeight="1">
      <c r="A905" s="343" t="str">
        <f>IF(B905&lt;&gt;"",IF(AND(B905='IN-TC'!$S$4,OR(TH!N905="1111",TH!O905="1111")),TH!D905,""),"")</f>
        <v/>
      </c>
      <c r="B905" s="63">
        <f t="shared" si="73"/>
        <v>4</v>
      </c>
      <c r="C905" s="64">
        <f t="shared" si="68"/>
        <v>42485</v>
      </c>
      <c r="D905" s="64" t="s">
        <v>708</v>
      </c>
      <c r="E905" s="64">
        <v>42485</v>
      </c>
      <c r="F905" s="67" t="s">
        <v>1214</v>
      </c>
      <c r="G905" s="996" t="s">
        <v>929</v>
      </c>
      <c r="H905" s="351"/>
      <c r="I905" s="449"/>
      <c r="J905" s="449"/>
      <c r="K905" s="440"/>
      <c r="L905" s="449"/>
      <c r="M905" s="65">
        <v>20000</v>
      </c>
      <c r="N905" s="323" t="s">
        <v>101</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x</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hidden="1" customHeight="1">
      <c r="A906" s="343" t="str">
        <f>IF(B906&lt;&gt;"",IF(AND(B906='IN-TC'!$S$4,OR(TH!N906="1111",TH!O906="1111")),TH!D906,""),"")</f>
        <v/>
      </c>
      <c r="B906" s="63">
        <f t="shared" si="73"/>
        <v>4</v>
      </c>
      <c r="C906" s="64">
        <f t="shared" si="68"/>
        <v>42485</v>
      </c>
      <c r="D906" s="64" t="s">
        <v>708</v>
      </c>
      <c r="E906" s="64">
        <v>42485</v>
      </c>
      <c r="F906" s="67" t="s">
        <v>1215</v>
      </c>
      <c r="G906" s="996" t="s">
        <v>929</v>
      </c>
      <c r="H906" s="351"/>
      <c r="I906" s="449"/>
      <c r="J906" s="449"/>
      <c r="K906" s="440"/>
      <c r="L906" s="449"/>
      <c r="M906" s="65">
        <v>2000</v>
      </c>
      <c r="N906" s="323" t="s">
        <v>9</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x</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hidden="1" customHeight="1">
      <c r="A907" s="343" t="str">
        <f>IF(B907&lt;&gt;"",IF(AND(B907='IN-TC'!$S$4,OR(TH!N907="1111",TH!O907="1111")),TH!D907,""),"")</f>
        <v/>
      </c>
      <c r="B907" s="63">
        <f t="shared" si="73"/>
        <v>4</v>
      </c>
      <c r="C907" s="64">
        <f t="shared" si="68"/>
        <v>42485</v>
      </c>
      <c r="D907" s="64" t="s">
        <v>708</v>
      </c>
      <c r="E907" s="64">
        <v>42485</v>
      </c>
      <c r="F907" s="321" t="s">
        <v>1231</v>
      </c>
      <c r="G907" s="996" t="s">
        <v>929</v>
      </c>
      <c r="H907" s="77" t="s">
        <v>629</v>
      </c>
      <c r="I907" s="447"/>
      <c r="J907" s="447"/>
      <c r="K907" s="438"/>
      <c r="L907" s="447"/>
      <c r="M907" s="65">
        <v>35536000</v>
      </c>
      <c r="N907" s="66" t="s">
        <v>8</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x</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hidden="1" customHeight="1">
      <c r="A908" s="343" t="str">
        <f>IF(B908&lt;&gt;"",IF(AND(B908='IN-TC'!$S$4,OR(TH!N908="1111",TH!O908="1111")),TH!D908,""),"")</f>
        <v/>
      </c>
      <c r="B908" s="63">
        <f t="shared" si="73"/>
        <v>4</v>
      </c>
      <c r="C908" s="64">
        <f t="shared" si="68"/>
        <v>42485</v>
      </c>
      <c r="D908" s="64" t="s">
        <v>708</v>
      </c>
      <c r="E908" s="64">
        <v>42485</v>
      </c>
      <c r="F908" s="67" t="s">
        <v>1214</v>
      </c>
      <c r="G908" s="996" t="s">
        <v>929</v>
      </c>
      <c r="H908" s="322"/>
      <c r="I908" s="447"/>
      <c r="J908" s="447"/>
      <c r="K908" s="438"/>
      <c r="L908" s="447"/>
      <c r="M908" s="65">
        <v>40000</v>
      </c>
      <c r="N908" s="323" t="s">
        <v>101</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x</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hidden="1" customHeight="1">
      <c r="A909" s="343" t="str">
        <f>IF(B909&lt;&gt;"",IF(AND(B909='IN-TC'!$S$4,OR(TH!N909="1111",TH!O909="1111")),TH!D909,""),"")</f>
        <v/>
      </c>
      <c r="B909" s="63">
        <f t="shared" si="73"/>
        <v>4</v>
      </c>
      <c r="C909" s="64">
        <f t="shared" si="68"/>
        <v>42485</v>
      </c>
      <c r="D909" s="64" t="s">
        <v>708</v>
      </c>
      <c r="E909" s="64">
        <v>42485</v>
      </c>
      <c r="F909" s="67" t="s">
        <v>1215</v>
      </c>
      <c r="G909" s="996" t="s">
        <v>929</v>
      </c>
      <c r="H909" s="322"/>
      <c r="I909" s="447"/>
      <c r="J909" s="447"/>
      <c r="K909" s="438"/>
      <c r="L909" s="447"/>
      <c r="M909" s="65">
        <v>4000</v>
      </c>
      <c r="N909" s="323" t="s">
        <v>9</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x</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hidden="1" customHeight="1">
      <c r="A910" s="343" t="str">
        <f>IF(B910&lt;&gt;"",IF(AND(B910='IN-TC'!$S$4,OR(TH!N910="1111",TH!O910="1111")),TH!D910,""),"")</f>
        <v/>
      </c>
      <c r="B910" s="63">
        <f t="shared" si="73"/>
        <v>4</v>
      </c>
      <c r="C910" s="64">
        <f t="shared" si="68"/>
        <v>42485</v>
      </c>
      <c r="D910" s="64" t="s">
        <v>708</v>
      </c>
      <c r="E910" s="64">
        <v>42485</v>
      </c>
      <c r="F910" s="321" t="s">
        <v>1472</v>
      </c>
      <c r="G910" s="996" t="s">
        <v>929</v>
      </c>
      <c r="H910" s="74" t="s">
        <v>1186</v>
      </c>
      <c r="I910" s="447"/>
      <c r="J910" s="447"/>
      <c r="K910" s="438"/>
      <c r="L910" s="447"/>
      <c r="M910" s="65">
        <v>36900000</v>
      </c>
      <c r="N910" s="66" t="s">
        <v>8</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x</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hidden="1" customHeight="1">
      <c r="A911" s="343" t="str">
        <f>IF(B911&lt;&gt;"",IF(AND(B911='IN-TC'!$S$4,OR(TH!N911="1111",TH!O911="1111")),TH!D911,""),"")</f>
        <v/>
      </c>
      <c r="B911" s="63">
        <f t="shared" si="73"/>
        <v>4</v>
      </c>
      <c r="C911" s="64">
        <f t="shared" ref="C911:C924" si="75">E911</f>
        <v>42485</v>
      </c>
      <c r="D911" s="64" t="s">
        <v>708</v>
      </c>
      <c r="E911" s="64">
        <v>42485</v>
      </c>
      <c r="F911" s="67" t="s">
        <v>1214</v>
      </c>
      <c r="G911" s="996" t="s">
        <v>929</v>
      </c>
      <c r="H911" s="322"/>
      <c r="I911" s="447"/>
      <c r="J911" s="447"/>
      <c r="K911" s="438"/>
      <c r="L911" s="447"/>
      <c r="M911" s="65">
        <v>40000</v>
      </c>
      <c r="N911" s="323" t="s">
        <v>101</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x</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hidden="1" customHeight="1">
      <c r="A912" s="343" t="str">
        <f>IF(B912&lt;&gt;"",IF(AND(B912='IN-TC'!$S$4,OR(TH!N912="1111",TH!O912="1111")),TH!D912,""),"")</f>
        <v/>
      </c>
      <c r="B912" s="63">
        <f t="shared" si="73"/>
        <v>4</v>
      </c>
      <c r="C912" s="64">
        <f t="shared" si="75"/>
        <v>42485</v>
      </c>
      <c r="D912" s="64" t="s">
        <v>708</v>
      </c>
      <c r="E912" s="64">
        <v>42485</v>
      </c>
      <c r="F912" s="67" t="s">
        <v>1215</v>
      </c>
      <c r="G912" s="996" t="s">
        <v>929</v>
      </c>
      <c r="H912" s="322"/>
      <c r="I912" s="447"/>
      <c r="J912" s="447"/>
      <c r="K912" s="438"/>
      <c r="L912" s="447"/>
      <c r="M912" s="65">
        <v>4000</v>
      </c>
      <c r="N912" s="323" t="s">
        <v>9</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x</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hidden="1" customHeight="1">
      <c r="A913" s="343" t="str">
        <f>IF(B913&lt;&gt;"",IF(AND(B913='IN-TC'!$S$4,OR(TH!N913="1111",TH!O913="1111")),TH!D913,""),"")</f>
        <v/>
      </c>
      <c r="B913" s="63">
        <f t="shared" si="73"/>
        <v>4</v>
      </c>
      <c r="C913" s="64">
        <f t="shared" si="75"/>
        <v>42486</v>
      </c>
      <c r="D913" s="64" t="s">
        <v>708</v>
      </c>
      <c r="E913" s="64">
        <v>42486</v>
      </c>
      <c r="F913" s="321" t="s">
        <v>1118</v>
      </c>
      <c r="G913" s="996" t="s">
        <v>929</v>
      </c>
      <c r="H913" s="322" t="s">
        <v>773</v>
      </c>
      <c r="I913" s="447"/>
      <c r="J913" s="447"/>
      <c r="K913" s="438"/>
      <c r="L913" s="447"/>
      <c r="M913" s="65">
        <v>20000000</v>
      </c>
      <c r="N913" s="323" t="s">
        <v>26</v>
      </c>
      <c r="O913" s="66" t="s">
        <v>63</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x</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hidden="1" customHeight="1">
      <c r="A914" s="343" t="str">
        <f>IF(B914&lt;&gt;"",IF(AND(B914='IN-TC'!$S$4,OR(TH!N914="1111",TH!O914="1111")),TH!D914,""),"")</f>
        <v/>
      </c>
      <c r="B914" s="63">
        <f t="shared" si="73"/>
        <v>4</v>
      </c>
      <c r="C914" s="64">
        <f t="shared" si="75"/>
        <v>42486</v>
      </c>
      <c r="D914" s="64" t="s">
        <v>708</v>
      </c>
      <c r="E914" s="64">
        <v>42486</v>
      </c>
      <c r="F914" s="67" t="s">
        <v>1473</v>
      </c>
      <c r="G914" s="996" t="s">
        <v>929</v>
      </c>
      <c r="H914" s="7" t="s">
        <v>635</v>
      </c>
      <c r="I914" s="447"/>
      <c r="J914" s="447"/>
      <c r="K914" s="438"/>
      <c r="L914" s="447"/>
      <c r="M914" s="65">
        <v>26225320</v>
      </c>
      <c r="N914" s="66" t="s">
        <v>8</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x</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hidden="1" customHeight="1">
      <c r="A915" s="343" t="str">
        <f>IF(B915&lt;&gt;"",IF(AND(B915='IN-TC'!$S$4,OR(TH!N915="1111",TH!O915="1111")),TH!D915,""),"")</f>
        <v/>
      </c>
      <c r="B915" s="63">
        <f t="shared" si="73"/>
        <v>4</v>
      </c>
      <c r="C915" s="64">
        <f t="shared" si="75"/>
        <v>42486</v>
      </c>
      <c r="D915" s="64" t="s">
        <v>708</v>
      </c>
      <c r="E915" s="64">
        <v>42486</v>
      </c>
      <c r="F915" s="67" t="s">
        <v>1214</v>
      </c>
      <c r="G915" s="996" t="s">
        <v>929</v>
      </c>
      <c r="H915" s="74"/>
      <c r="I915" s="447"/>
      <c r="J915" s="447"/>
      <c r="K915" s="438"/>
      <c r="L915" s="447"/>
      <c r="M915" s="65">
        <v>45000</v>
      </c>
      <c r="N915" s="323" t="s">
        <v>101</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x</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hidden="1" customHeight="1">
      <c r="A916" s="343" t="str">
        <f>IF(B916&lt;&gt;"",IF(AND(B916='IN-TC'!$S$4,OR(TH!N916="1111",TH!O916="1111")),TH!D916,""),"")</f>
        <v/>
      </c>
      <c r="B916" s="63">
        <f t="shared" si="73"/>
        <v>4</v>
      </c>
      <c r="C916" s="64">
        <f t="shared" si="75"/>
        <v>42486</v>
      </c>
      <c r="D916" s="64" t="s">
        <v>708</v>
      </c>
      <c r="E916" s="64">
        <v>42486</v>
      </c>
      <c r="F916" s="67" t="s">
        <v>1215</v>
      </c>
      <c r="G916" s="996" t="s">
        <v>929</v>
      </c>
      <c r="H916" s="74"/>
      <c r="I916" s="447"/>
      <c r="J916" s="447"/>
      <c r="K916" s="438"/>
      <c r="L916" s="447"/>
      <c r="M916" s="65">
        <v>4500</v>
      </c>
      <c r="N916" s="323" t="s">
        <v>9</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x</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hidden="1" customHeight="1">
      <c r="A917" s="343" t="str">
        <f>IF(B917&lt;&gt;"",IF(AND(B917='IN-TC'!$S$4,OR(TH!N917="1111",TH!O917="1111")),TH!D917,""),"")</f>
        <v/>
      </c>
      <c r="B917" s="63">
        <f t="shared" si="73"/>
        <v>4</v>
      </c>
      <c r="C917" s="64">
        <f t="shared" si="75"/>
        <v>42488</v>
      </c>
      <c r="D917" s="64" t="s">
        <v>708</v>
      </c>
      <c r="E917" s="64">
        <v>42488</v>
      </c>
      <c r="F917" s="67" t="s">
        <v>1469</v>
      </c>
      <c r="G917" s="996" t="s">
        <v>929</v>
      </c>
      <c r="H917" s="322" t="s">
        <v>1375</v>
      </c>
      <c r="I917" s="447"/>
      <c r="J917" s="447"/>
      <c r="K917" s="438"/>
      <c r="L917" s="447"/>
      <c r="M917" s="65">
        <v>304272</v>
      </c>
      <c r="N917" s="66" t="s">
        <v>105</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x</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hidden="1" customHeight="1">
      <c r="A918" s="343" t="str">
        <f>IF(B918&lt;&gt;"",IF(AND(B918='IN-TC'!$S$4,OR(TH!N918="1111",TH!O918="1111")),TH!D918,""),"")</f>
        <v/>
      </c>
      <c r="B918" s="63">
        <f t="shared" si="73"/>
        <v>4</v>
      </c>
      <c r="C918" s="64">
        <f t="shared" si="75"/>
        <v>42489</v>
      </c>
      <c r="D918" s="64" t="s">
        <v>708</v>
      </c>
      <c r="E918" s="64">
        <v>42489</v>
      </c>
      <c r="F918" s="321" t="s">
        <v>1475</v>
      </c>
      <c r="G918" s="996" t="s">
        <v>929</v>
      </c>
      <c r="H918" s="899" t="s">
        <v>1388</v>
      </c>
      <c r="I918" s="447"/>
      <c r="J918" s="447"/>
      <c r="K918" s="438">
        <f>M918/L918</f>
        <v>76081.644384546278</v>
      </c>
      <c r="L918" s="447">
        <v>22260</v>
      </c>
      <c r="M918" s="65">
        <v>1693577404</v>
      </c>
      <c r="N918" s="323" t="s">
        <v>26</v>
      </c>
      <c r="O918" s="66" t="s">
        <v>591</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x</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hidden="1" customHeight="1">
      <c r="A919" s="343" t="str">
        <f>IF(B919&lt;&gt;"",IF(AND(B919='IN-TC'!$S$4,OR(TH!N919="1111",TH!O919="1111")),TH!D919,""),"")</f>
        <v/>
      </c>
      <c r="B919" s="63">
        <f t="shared" ref="B919" si="76">IF(C919&lt;&gt;"",MONTH(C919),"")</f>
        <v>4</v>
      </c>
      <c r="C919" s="64">
        <f t="shared" ref="C919" si="77">E919</f>
        <v>42489</v>
      </c>
      <c r="D919" s="64" t="s">
        <v>708</v>
      </c>
      <c r="E919" s="64">
        <v>42489</v>
      </c>
      <c r="F919" s="321" t="s">
        <v>1477</v>
      </c>
      <c r="G919" s="996" t="s">
        <v>929</v>
      </c>
      <c r="H919" s="899" t="s">
        <v>1388</v>
      </c>
      <c r="I919" s="447"/>
      <c r="J919" s="447"/>
      <c r="K919" s="438">
        <v>170</v>
      </c>
      <c r="L919" s="447">
        <v>22260</v>
      </c>
      <c r="M919" s="65">
        <f t="shared" ref="M919" si="78">ROUND(K919*L919,0)</f>
        <v>3784200</v>
      </c>
      <c r="N919" s="323" t="s">
        <v>101</v>
      </c>
      <c r="O919" s="66" t="s">
        <v>591</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hidden="1" customHeight="1">
      <c r="A920" s="343" t="str">
        <f>IF(B920&lt;&gt;"",IF(AND(B920='IN-TC'!$S$4,OR(TH!N920="1111",TH!O920="1111")),TH!D920,""),"")</f>
        <v/>
      </c>
      <c r="B920" s="63">
        <f t="shared" ref="B920" si="79">IF(C920&lt;&gt;"",MONTH(C920),"")</f>
        <v>4</v>
      </c>
      <c r="C920" s="64">
        <f t="shared" ref="C920" si="80">E920</f>
        <v>42489</v>
      </c>
      <c r="D920" s="64" t="s">
        <v>708</v>
      </c>
      <c r="E920" s="64">
        <v>42489</v>
      </c>
      <c r="F920" s="321" t="s">
        <v>1478</v>
      </c>
      <c r="G920" s="996" t="s">
        <v>929</v>
      </c>
      <c r="H920" s="899" t="s">
        <v>1388</v>
      </c>
      <c r="I920" s="447"/>
      <c r="J920" s="447"/>
      <c r="K920" s="438">
        <f>M920/L920</f>
        <v>181.69110512129379</v>
      </c>
      <c r="L920" s="447">
        <v>22260</v>
      </c>
      <c r="M920" s="65">
        <v>4044444</v>
      </c>
      <c r="N920" s="323" t="s">
        <v>99</v>
      </c>
      <c r="O920" s="66" t="s">
        <v>591</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hidden="1" customHeight="1">
      <c r="A921" s="343" t="str">
        <f>IF(B921&lt;&gt;"",IF(AND(B921='IN-TC'!$S$4,OR(TH!N921="1111",TH!O921="1111")),TH!D921,""),"")</f>
        <v/>
      </c>
      <c r="B921" s="63">
        <f t="shared" ref="B921" si="81">IF(C921&lt;&gt;"",MONTH(C921),"")</f>
        <v>4</v>
      </c>
      <c r="C921" s="64">
        <f t="shared" ref="C921" si="82">E921</f>
        <v>42489</v>
      </c>
      <c r="D921" s="64" t="s">
        <v>708</v>
      </c>
      <c r="E921" s="64">
        <v>42489</v>
      </c>
      <c r="F921" s="321" t="s">
        <v>1477</v>
      </c>
      <c r="G921" s="996" t="s">
        <v>929</v>
      </c>
      <c r="H921" s="899" t="s">
        <v>1388</v>
      </c>
      <c r="I921" s="447"/>
      <c r="J921" s="447"/>
      <c r="K921" s="438">
        <f>M921/L921</f>
        <v>115.14955076370171</v>
      </c>
      <c r="L921" s="447">
        <v>22260</v>
      </c>
      <c r="M921" s="65">
        <v>2563229</v>
      </c>
      <c r="N921" s="323" t="s">
        <v>101</v>
      </c>
      <c r="O921" s="66" t="s">
        <v>591</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hidden="1" customHeight="1">
      <c r="A922" s="343" t="str">
        <f>IF(B922&lt;&gt;"",IF(AND(B922='IN-TC'!$S$4,OR(TH!N922="1111",TH!O922="1111")),TH!D922,""),"")</f>
        <v/>
      </c>
      <c r="B922" s="63">
        <f t="shared" ref="B922" si="83">IF(C922&lt;&gt;"",MONTH(C922),"")</f>
        <v>4</v>
      </c>
      <c r="C922" s="64">
        <f t="shared" ref="C922" si="84">E922</f>
        <v>42489</v>
      </c>
      <c r="D922" s="64" t="s">
        <v>708</v>
      </c>
      <c r="E922" s="64">
        <v>42489</v>
      </c>
      <c r="F922" s="321" t="s">
        <v>1490</v>
      </c>
      <c r="G922" s="996" t="s">
        <v>929</v>
      </c>
      <c r="H922" s="899" t="s">
        <v>1388</v>
      </c>
      <c r="I922" s="447"/>
      <c r="J922" s="447"/>
      <c r="K922" s="438">
        <f>M922/L922</f>
        <v>11.514959568733154</v>
      </c>
      <c r="L922" s="447">
        <v>22260</v>
      </c>
      <c r="M922" s="65">
        <v>256323</v>
      </c>
      <c r="N922" s="323" t="s">
        <v>9</v>
      </c>
      <c r="O922" s="66" t="s">
        <v>591</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hidden="1" customHeight="1">
      <c r="A923" s="343" t="str">
        <f>IF(B923&lt;&gt;"",IF(AND(B923='IN-TC'!$S$4,OR(TH!N923="1111",TH!O923="1111")),TH!D923,""),"")</f>
        <v/>
      </c>
      <c r="B923" s="63">
        <f t="shared" ref="B923" si="85">IF(C923&lt;&gt;"",MONTH(C923),"")</f>
        <v>4</v>
      </c>
      <c r="C923" s="64">
        <f t="shared" ref="C923" si="86">E923</f>
        <v>42489</v>
      </c>
      <c r="D923" s="64" t="s">
        <v>708</v>
      </c>
      <c r="E923" s="64">
        <v>42489</v>
      </c>
      <c r="F923" s="321" t="s">
        <v>1079</v>
      </c>
      <c r="G923" s="996" t="s">
        <v>929</v>
      </c>
      <c r="H923" s="899" t="s">
        <v>1388</v>
      </c>
      <c r="I923" s="447"/>
      <c r="J923" s="447"/>
      <c r="K923" s="438"/>
      <c r="L923" s="447"/>
      <c r="M923" s="65">
        <v>765600</v>
      </c>
      <c r="N923" s="323" t="s">
        <v>591</v>
      </c>
      <c r="O923" s="66" t="s">
        <v>43</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hidden="1" customHeight="1">
      <c r="A924" s="343" t="str">
        <f>IF(B924&lt;&gt;"",IF(AND(B924='IN-TC'!$S$4,OR(TH!N924="1111",TH!O924="1111")),TH!D924,""),"")</f>
        <v/>
      </c>
      <c r="B924" s="63">
        <f t="shared" si="73"/>
        <v>4</v>
      </c>
      <c r="C924" s="64">
        <f t="shared" si="75"/>
        <v>42489</v>
      </c>
      <c r="D924" s="64" t="s">
        <v>708</v>
      </c>
      <c r="E924" s="64">
        <v>42489</v>
      </c>
      <c r="F924" s="321" t="s">
        <v>1476</v>
      </c>
      <c r="G924" s="996" t="s">
        <v>929</v>
      </c>
      <c r="H924" s="899" t="s">
        <v>1474</v>
      </c>
      <c r="I924" s="447"/>
      <c r="J924" s="447"/>
      <c r="K924" s="438"/>
      <c r="L924" s="447"/>
      <c r="M924" s="65">
        <v>1600000000</v>
      </c>
      <c r="N924" s="323" t="s">
        <v>261</v>
      </c>
      <c r="O924" s="66" t="s">
        <v>26</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x</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hidden="1" customHeight="1">
      <c r="A925" s="343" t="str">
        <f>IF(B925&lt;&gt;"",IF(AND(B925='IN-TC'!$S$4,OR(TH!N925="1111",TH!O925="1111")),TH!D925,""),"")</f>
        <v/>
      </c>
      <c r="B925" s="63" t="str">
        <f t="shared" si="73"/>
        <v/>
      </c>
      <c r="C925" s="64"/>
      <c r="D925" s="64"/>
      <c r="E925" s="64"/>
      <c r="F925" s="321"/>
      <c r="G925" s="996"/>
      <c r="H925" s="899"/>
      <c r="I925" s="447"/>
      <c r="J925" s="447"/>
      <c r="K925" s="438"/>
      <c r="L925" s="447"/>
      <c r="M925" s="65"/>
      <c r="N925" s="323"/>
      <c r="O925" s="66"/>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hidden="1" customHeight="1">
      <c r="A926" s="343" t="str">
        <f>IF(B926&lt;&gt;"",IF(AND(B926='IN-TC'!$S$4,OR(TH!N926="1111",TH!O926="1111")),TH!D926,""),"")</f>
        <v/>
      </c>
      <c r="B926" s="63" t="str">
        <f t="shared" si="73"/>
        <v/>
      </c>
      <c r="C926" s="64"/>
      <c r="D926" s="64"/>
      <c r="E926" s="64"/>
      <c r="F926" s="321"/>
      <c r="G926" s="996"/>
      <c r="H926" s="322"/>
      <c r="I926" s="447"/>
      <c r="J926" s="447"/>
      <c r="K926" s="438"/>
      <c r="L926" s="447"/>
      <c r="M926" s="65"/>
      <c r="N926" s="323"/>
      <c r="O926" s="66"/>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hidden="1" customHeight="1">
      <c r="A927" s="343" t="str">
        <f>IF(B927&lt;&gt;"",IF(AND(B927='IN-TC'!$S$4,OR(TH!N927="1111",TH!O927="1111")),TH!D927,""),"")</f>
        <v/>
      </c>
      <c r="B927" s="63" t="str">
        <f t="shared" si="73"/>
        <v/>
      </c>
      <c r="C927" s="320"/>
      <c r="D927" s="320"/>
      <c r="E927" s="320"/>
      <c r="F927" s="321"/>
      <c r="G927" s="321"/>
      <c r="H927" s="322"/>
      <c r="I927" s="447"/>
      <c r="J927" s="447"/>
      <c r="K927" s="438"/>
      <c r="L927" s="447"/>
      <c r="M927" s="65"/>
      <c r="N927" s="323"/>
      <c r="O927" s="323"/>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hidden="1" customHeight="1">
      <c r="A928" s="343" t="str">
        <f>IF(B928&lt;&gt;"",IF(AND(B928='IN-TC'!$S$4,OR(TH!N928="1111",TH!O928="1111")),TH!D928,""),"")</f>
        <v/>
      </c>
      <c r="B928" s="63" t="str">
        <f t="shared" si="73"/>
        <v/>
      </c>
      <c r="C928" s="320"/>
      <c r="D928" s="320"/>
      <c r="E928" s="320"/>
      <c r="F928" s="321"/>
      <c r="G928" s="321"/>
      <c r="H928" s="322"/>
      <c r="I928" s="447"/>
      <c r="J928" s="447"/>
      <c r="K928" s="438"/>
      <c r="L928" s="447"/>
      <c r="M928" s="65"/>
      <c r="N928" s="323"/>
      <c r="O928" s="323"/>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hidden="1" customHeight="1">
      <c r="A929" s="343" t="str">
        <f>IF(B929&lt;&gt;"",IF(AND(B929='IN-TC'!$S$4,OR(TH!N929="1111",TH!O929="1111")),TH!D929,""),"")</f>
        <v/>
      </c>
      <c r="B929" s="63" t="str">
        <f t="shared" si="73"/>
        <v/>
      </c>
      <c r="C929" s="64"/>
      <c r="D929" s="64"/>
      <c r="E929" s="64"/>
      <c r="F929" s="67"/>
      <c r="G929" s="996"/>
      <c r="H929" s="351"/>
      <c r="I929" s="449"/>
      <c r="J929" s="449"/>
      <c r="K929" s="440"/>
      <c r="L929" s="449"/>
      <c r="M929" s="65"/>
      <c r="N929" s="323"/>
      <c r="O929" s="66"/>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hidden="1" customHeight="1">
      <c r="A930" s="343" t="str">
        <f>IF(B930&lt;&gt;"",IF(AND(B930='IN-TC'!$S$4,OR(TH!N930="1111",TH!O930="1111")),TH!D930,""),"")</f>
        <v/>
      </c>
      <c r="B930" s="63" t="str">
        <f t="shared" si="73"/>
        <v/>
      </c>
      <c r="C930" s="64"/>
      <c r="D930" s="64"/>
      <c r="E930" s="64"/>
      <c r="F930" s="67"/>
      <c r="G930" s="996"/>
      <c r="H930" s="351"/>
      <c r="I930" s="449"/>
      <c r="J930" s="449"/>
      <c r="K930" s="440"/>
      <c r="L930" s="449"/>
      <c r="M930" s="65"/>
      <c r="N930" s="323"/>
      <c r="O930" s="66"/>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hidden="1" customHeight="1">
      <c r="A931" s="343" t="str">
        <f>IF(B931&lt;&gt;"",IF(AND(B931='IN-TC'!$S$4,OR(TH!N931="1111",TH!O931="1111")),TH!D931,""),"")</f>
        <v/>
      </c>
      <c r="B931" s="63" t="str">
        <f t="shared" si="73"/>
        <v/>
      </c>
      <c r="C931" s="320"/>
      <c r="D931" s="320"/>
      <c r="E931" s="320"/>
      <c r="F931" s="321"/>
      <c r="G931" s="321"/>
      <c r="H931" s="322"/>
      <c r="I931" s="447"/>
      <c r="J931" s="447"/>
      <c r="K931" s="438"/>
      <c r="L931" s="447"/>
      <c r="M931" s="65"/>
      <c r="N931" s="323"/>
      <c r="O931" s="323"/>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hidden="1" customHeight="1">
      <c r="A932" s="343" t="str">
        <f>IF(B932&lt;&gt;"",IF(AND(B932='IN-TC'!$S$4,OR(TH!N932="1111",TH!O932="1111")),TH!D932,""),"")</f>
        <v/>
      </c>
      <c r="B932" s="63" t="str">
        <f t="shared" si="73"/>
        <v/>
      </c>
      <c r="C932" s="320"/>
      <c r="D932" s="320"/>
      <c r="E932" s="320"/>
      <c r="F932" s="321"/>
      <c r="G932" s="321"/>
      <c r="H932" s="322"/>
      <c r="I932" s="447"/>
      <c r="J932" s="447"/>
      <c r="K932" s="438"/>
      <c r="L932" s="447"/>
      <c r="M932" s="65"/>
      <c r="N932" s="323"/>
      <c r="O932" s="323"/>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hidden="1" customHeight="1">
      <c r="A933" s="343" t="str">
        <f>IF(B933&lt;&gt;"",IF(AND(B933='IN-TC'!$S$4,OR(TH!N933="1111",TH!O933="1111")),TH!D933,""),"")</f>
        <v/>
      </c>
      <c r="B933" s="63" t="str">
        <f t="shared" si="73"/>
        <v/>
      </c>
      <c r="C933" s="320"/>
      <c r="D933" s="320"/>
      <c r="E933" s="320"/>
      <c r="F933" s="321"/>
      <c r="G933" s="321"/>
      <c r="H933" s="322"/>
      <c r="I933" s="447"/>
      <c r="J933" s="447"/>
      <c r="K933" s="438"/>
      <c r="L933" s="447"/>
      <c r="M933" s="65"/>
      <c r="N933" s="323"/>
      <c r="O933" s="323"/>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hidden="1" customHeight="1">
      <c r="A934" s="343" t="str">
        <f>IF(B934&lt;&gt;"",IF(AND(B934='IN-TC'!$S$4,OR(TH!N934="1111",TH!O934="1111")),TH!D934,""),"")</f>
        <v/>
      </c>
      <c r="B934" s="63" t="str">
        <f t="shared" si="73"/>
        <v/>
      </c>
      <c r="C934" s="320"/>
      <c r="D934" s="320"/>
      <c r="E934" s="320"/>
      <c r="F934" s="321"/>
      <c r="G934" s="321"/>
      <c r="H934" s="322"/>
      <c r="I934" s="447"/>
      <c r="J934" s="447"/>
      <c r="K934" s="438"/>
      <c r="L934" s="447"/>
      <c r="M934" s="65"/>
      <c r="N934" s="323"/>
      <c r="O934" s="323"/>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hidden="1" customHeight="1">
      <c r="A935" s="343" t="str">
        <f>IF(B935&lt;&gt;"",IF(AND(B935='IN-TC'!$S$4,OR(TH!N935="1111",TH!O935="1111")),TH!D935,""),"")</f>
        <v/>
      </c>
      <c r="B935" s="63" t="str">
        <f t="shared" si="73"/>
        <v/>
      </c>
      <c r="C935" s="320"/>
      <c r="D935" s="320"/>
      <c r="E935" s="320"/>
      <c r="F935" s="321"/>
      <c r="G935" s="321"/>
      <c r="H935" s="322"/>
      <c r="I935" s="447"/>
      <c r="J935" s="447"/>
      <c r="K935" s="438"/>
      <c r="L935" s="447"/>
      <c r="M935" s="65"/>
      <c r="N935" s="323"/>
      <c r="O935" s="323"/>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hidden="1" customHeight="1">
      <c r="A936" s="343" t="str">
        <f>IF(B936&lt;&gt;"",IF(AND(B936='IN-TC'!$S$4,OR(TH!N936="1111",TH!O936="1111")),TH!D936,""),"")</f>
        <v/>
      </c>
      <c r="B936" s="63" t="str">
        <f t="shared" si="73"/>
        <v/>
      </c>
      <c r="C936" s="320"/>
      <c r="D936" s="320"/>
      <c r="E936" s="320"/>
      <c r="F936" s="321"/>
      <c r="G936" s="321"/>
      <c r="H936" s="322"/>
      <c r="I936" s="447"/>
      <c r="J936" s="447"/>
      <c r="K936" s="438"/>
      <c r="L936" s="447"/>
      <c r="M936" s="65"/>
      <c r="N936" s="323"/>
      <c r="O936" s="323"/>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hidden="1" customHeight="1">
      <c r="A937" s="343" t="str">
        <f>IF(B937&lt;&gt;"",IF(AND(B937='IN-TC'!$S$4,OR(TH!N937="1111",TH!O937="1111")),TH!D937,""),"")</f>
        <v/>
      </c>
      <c r="B937" s="63" t="str">
        <f t="shared" si="73"/>
        <v/>
      </c>
      <c r="C937" s="320"/>
      <c r="D937" s="320"/>
      <c r="E937" s="320"/>
      <c r="F937" s="321"/>
      <c r="G937" s="321"/>
      <c r="H937" s="322"/>
      <c r="I937" s="447"/>
      <c r="J937" s="447"/>
      <c r="K937" s="438"/>
      <c r="L937" s="447"/>
      <c r="M937" s="65"/>
      <c r="N937" s="323"/>
      <c r="O937" s="323"/>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hidden="1" customHeight="1">
      <c r="A938" s="343" t="str">
        <f>IF(B938&lt;&gt;"",IF(AND(B938='IN-TC'!$S$4,OR(TH!N938="1111",TH!O938="1111")),TH!D938,""),"")</f>
        <v/>
      </c>
      <c r="B938" s="63" t="str">
        <f t="shared" si="73"/>
        <v/>
      </c>
      <c r="C938" s="320"/>
      <c r="D938" s="320"/>
      <c r="E938" s="320"/>
      <c r="F938" s="321"/>
      <c r="G938" s="321"/>
      <c r="H938" s="322"/>
      <c r="I938" s="447"/>
      <c r="J938" s="447"/>
      <c r="K938" s="438"/>
      <c r="L938" s="447"/>
      <c r="M938" s="65"/>
      <c r="N938" s="323"/>
      <c r="O938" s="323"/>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hidden="1" customHeight="1">
      <c r="A939" s="343" t="str">
        <f>IF(B939&lt;&gt;"",IF(AND(B939='IN-TC'!$S$4,OR(TH!N939="1111",TH!O939="1111")),TH!D939,""),"")</f>
        <v/>
      </c>
      <c r="B939" s="63" t="str">
        <f t="shared" si="73"/>
        <v/>
      </c>
      <c r="C939" s="320"/>
      <c r="D939" s="320"/>
      <c r="E939" s="320"/>
      <c r="F939" s="321"/>
      <c r="G939" s="321"/>
      <c r="H939" s="322"/>
      <c r="I939" s="447"/>
      <c r="J939" s="447"/>
      <c r="K939" s="438"/>
      <c r="L939" s="447"/>
      <c r="M939" s="65"/>
      <c r="N939" s="323"/>
      <c r="O939" s="323"/>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hidden="1" customHeight="1">
      <c r="A940" s="343" t="str">
        <f>IF(B940&lt;&gt;"",IF(AND(B940='IN-TC'!$S$4,OR(TH!N940="1111",TH!O940="1111")),TH!D940,""),"")</f>
        <v/>
      </c>
      <c r="B940" s="63" t="str">
        <f t="shared" si="73"/>
        <v/>
      </c>
      <c r="C940" s="64"/>
      <c r="D940" s="64"/>
      <c r="E940" s="64"/>
      <c r="F940" s="67"/>
      <c r="G940" s="996"/>
      <c r="H940" s="324"/>
      <c r="I940" s="445"/>
      <c r="J940" s="445"/>
      <c r="K940" s="436"/>
      <c r="L940" s="445"/>
      <c r="M940" s="65"/>
      <c r="N940" s="323"/>
      <c r="O940" s="66"/>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hidden="1" customHeight="1">
      <c r="A941" s="343" t="str">
        <f>IF(B941&lt;&gt;"",IF(AND(B941='IN-TC'!$S$4,OR(TH!N941="1111",TH!O941="1111")),TH!D941,""),"")</f>
        <v/>
      </c>
      <c r="B941" s="63" t="str">
        <f t="shared" si="73"/>
        <v/>
      </c>
      <c r="C941" s="64"/>
      <c r="D941" s="64"/>
      <c r="E941" s="64"/>
      <c r="F941" s="67"/>
      <c r="G941" s="996"/>
      <c r="H941" s="324"/>
      <c r="I941" s="445"/>
      <c r="J941" s="445"/>
      <c r="K941" s="436"/>
      <c r="L941" s="445"/>
      <c r="M941" s="65"/>
      <c r="N941" s="323"/>
      <c r="O941" s="66"/>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hidden="1" customHeight="1">
      <c r="A942" s="343" t="str">
        <f>IF(B942&lt;&gt;"",IF(AND(B942='IN-TC'!$S$4,OR(TH!N942="1111",TH!O942="1111")),TH!D942,""),"")</f>
        <v/>
      </c>
      <c r="B942" s="63" t="str">
        <f t="shared" si="73"/>
        <v/>
      </c>
      <c r="C942" s="64"/>
      <c r="D942" s="64"/>
      <c r="E942" s="64"/>
      <c r="F942" s="67"/>
      <c r="G942" s="996"/>
      <c r="H942" s="322"/>
      <c r="I942" s="447"/>
      <c r="J942" s="447"/>
      <c r="K942" s="438"/>
      <c r="L942" s="447"/>
      <c r="M942" s="65"/>
      <c r="N942" s="66"/>
      <c r="O942" s="66"/>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hidden="1" customHeight="1">
      <c r="A943" s="343" t="str">
        <f>IF(B943&lt;&gt;"",IF(AND(B943='IN-TC'!$S$4,OR(TH!N943="1111",TH!O943="1111")),TH!D943,""),"")</f>
        <v/>
      </c>
      <c r="B943" s="63" t="str">
        <f t="shared" si="73"/>
        <v/>
      </c>
      <c r="C943" s="64"/>
      <c r="D943" s="64"/>
      <c r="E943" s="64"/>
      <c r="F943" s="67"/>
      <c r="G943" s="996"/>
      <c r="H943" s="322"/>
      <c r="I943" s="447"/>
      <c r="J943" s="447"/>
      <c r="K943" s="438"/>
      <c r="L943" s="447"/>
      <c r="M943" s="65"/>
      <c r="N943" s="66"/>
      <c r="O943" s="66"/>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hidden="1" customHeight="1">
      <c r="A944" s="343" t="str">
        <f>IF(B944&lt;&gt;"",IF(AND(B944='IN-TC'!$S$4,OR(TH!N944="1111",TH!O944="1111")),TH!D944,""),"")</f>
        <v/>
      </c>
      <c r="B944" s="63" t="str">
        <f t="shared" si="73"/>
        <v/>
      </c>
      <c r="C944" s="64"/>
      <c r="D944" s="64"/>
      <c r="E944" s="64"/>
      <c r="F944" s="67"/>
      <c r="G944" s="996"/>
      <c r="H944" s="74"/>
      <c r="I944" s="447"/>
      <c r="J944" s="447"/>
      <c r="K944" s="438"/>
      <c r="L944" s="447"/>
      <c r="M944" s="65"/>
      <c r="N944" s="66"/>
      <c r="O944" s="66"/>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hidden="1" customHeight="1">
      <c r="A945" s="343" t="str">
        <f>IF(B945&lt;&gt;"",IF(AND(B945='IN-TC'!$S$4,OR(TH!N945="1111",TH!O945="1111")),TH!D945,""),"")</f>
        <v/>
      </c>
      <c r="B945" s="63" t="str">
        <f t="shared" si="73"/>
        <v/>
      </c>
      <c r="C945" s="64"/>
      <c r="D945" s="64"/>
      <c r="E945" s="64"/>
      <c r="F945" s="67"/>
      <c r="G945" s="996"/>
      <c r="H945" s="74"/>
      <c r="I945" s="447"/>
      <c r="J945" s="447"/>
      <c r="K945" s="438"/>
      <c r="L945" s="447"/>
      <c r="M945" s="65"/>
      <c r="N945" s="66"/>
      <c r="O945" s="66"/>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hidden="1" customHeight="1">
      <c r="A946" s="343" t="str">
        <f>IF(B946&lt;&gt;"",IF(AND(B946='IN-TC'!$S$4,OR(TH!N946="1111",TH!O946="1111")),TH!D946,""),"")</f>
        <v/>
      </c>
      <c r="B946" s="63" t="str">
        <f t="shared" si="73"/>
        <v/>
      </c>
      <c r="C946" s="64"/>
      <c r="D946" s="64"/>
      <c r="E946" s="64"/>
      <c r="F946" s="67"/>
      <c r="G946" s="996"/>
      <c r="H946" s="74"/>
      <c r="I946" s="447"/>
      <c r="J946" s="447"/>
      <c r="K946" s="438"/>
      <c r="L946" s="447"/>
      <c r="M946" s="65"/>
      <c r="N946" s="66"/>
      <c r="O946" s="66"/>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hidden="1" customHeight="1">
      <c r="A947" s="343" t="str">
        <f>IF(B947&lt;&gt;"",IF(AND(B947='IN-TC'!$S$4,OR(TH!N947="1111",TH!O947="1111")),TH!D947,""),"")</f>
        <v/>
      </c>
      <c r="B947" s="63" t="str">
        <f t="shared" si="73"/>
        <v/>
      </c>
      <c r="C947" s="320"/>
      <c r="D947" s="320"/>
      <c r="E947" s="320"/>
      <c r="F947" s="321"/>
      <c r="G947" s="321"/>
      <c r="H947" s="322"/>
      <c r="I947" s="447"/>
      <c r="J947" s="447"/>
      <c r="K947" s="438"/>
      <c r="L947" s="447"/>
      <c r="M947" s="65"/>
      <c r="N947" s="323"/>
      <c r="O947" s="323"/>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hidden="1" customHeight="1">
      <c r="A948" s="343" t="str">
        <f>IF(B948&lt;&gt;"",IF(AND(B948='IN-TC'!$S$4,OR(TH!N948="1111",TH!O948="1111")),TH!D948,""),"")</f>
        <v/>
      </c>
      <c r="B948" s="63" t="str">
        <f t="shared" si="73"/>
        <v/>
      </c>
      <c r="C948" s="320"/>
      <c r="D948" s="320"/>
      <c r="E948" s="320"/>
      <c r="F948" s="321"/>
      <c r="G948" s="321"/>
      <c r="H948" s="322"/>
      <c r="I948" s="447"/>
      <c r="J948" s="447"/>
      <c r="K948" s="438"/>
      <c r="L948" s="447"/>
      <c r="M948" s="65"/>
      <c r="N948" s="323"/>
      <c r="O948" s="323"/>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hidden="1" customHeight="1">
      <c r="A949" s="343" t="str">
        <f>IF(B949&lt;&gt;"",IF(AND(B949='IN-TC'!$S$4,OR(TH!N949="1111",TH!O949="1111")),TH!D949,""),"")</f>
        <v/>
      </c>
      <c r="B949" s="63" t="str">
        <f t="shared" si="73"/>
        <v/>
      </c>
      <c r="C949" s="320"/>
      <c r="D949" s="320"/>
      <c r="E949" s="320"/>
      <c r="F949" s="321"/>
      <c r="G949" s="321"/>
      <c r="H949" s="322"/>
      <c r="I949" s="447"/>
      <c r="J949" s="447"/>
      <c r="K949" s="438"/>
      <c r="L949" s="447"/>
      <c r="M949" s="65"/>
      <c r="N949" s="323"/>
      <c r="O949" s="323"/>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hidden="1" customHeight="1">
      <c r="A950" s="343" t="str">
        <f>IF(B950&lt;&gt;"",IF(AND(B950='IN-TC'!$S$4,OR(TH!N950="1111",TH!O950="1111")),TH!D950,""),"")</f>
        <v/>
      </c>
      <c r="B950" s="63" t="str">
        <f t="shared" si="73"/>
        <v/>
      </c>
      <c r="C950" s="320"/>
      <c r="D950" s="320"/>
      <c r="E950" s="320"/>
      <c r="F950" s="321"/>
      <c r="G950" s="321"/>
      <c r="H950" s="322"/>
      <c r="I950" s="447"/>
      <c r="J950" s="447"/>
      <c r="K950" s="438"/>
      <c r="L950" s="447"/>
      <c r="M950" s="65"/>
      <c r="N950" s="323"/>
      <c r="O950" s="323"/>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hidden="1" customHeight="1">
      <c r="A951" s="343" t="str">
        <f>IF(B951&lt;&gt;"",IF(AND(B951='IN-TC'!$S$4,OR(TH!N951="1111",TH!O951="1111")),TH!D951,""),"")</f>
        <v/>
      </c>
      <c r="B951" s="63" t="str">
        <f t="shared" si="73"/>
        <v/>
      </c>
      <c r="C951" s="320"/>
      <c r="D951" s="320"/>
      <c r="E951" s="320"/>
      <c r="F951" s="321"/>
      <c r="G951" s="321"/>
      <c r="H951" s="322"/>
      <c r="I951" s="447"/>
      <c r="J951" s="447"/>
      <c r="K951" s="438"/>
      <c r="L951" s="447"/>
      <c r="M951" s="65"/>
      <c r="N951" s="323"/>
      <c r="O951" s="323"/>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hidden="1" customHeight="1">
      <c r="A952" s="343" t="str">
        <f>IF(B952&lt;&gt;"",IF(AND(B952='IN-TC'!$S$4,OR(TH!N952="1111",TH!O952="1111")),TH!D952,""),"")</f>
        <v/>
      </c>
      <c r="B952" s="63" t="str">
        <f t="shared" si="73"/>
        <v/>
      </c>
      <c r="C952" s="320"/>
      <c r="D952" s="320"/>
      <c r="E952" s="320"/>
      <c r="F952" s="321"/>
      <c r="G952" s="321"/>
      <c r="H952" s="322"/>
      <c r="I952" s="447"/>
      <c r="J952" s="447"/>
      <c r="K952" s="438"/>
      <c r="L952" s="447"/>
      <c r="M952" s="65"/>
      <c r="N952" s="323"/>
      <c r="O952" s="323"/>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hidden="1" customHeight="1">
      <c r="A953" s="343" t="str">
        <f>IF(B953&lt;&gt;"",IF(AND(B953='IN-TC'!$S$4,OR(TH!N953="1111",TH!O953="1111")),TH!D953,""),"")</f>
        <v/>
      </c>
      <c r="B953" s="63" t="str">
        <f t="shared" si="73"/>
        <v/>
      </c>
      <c r="C953" s="320"/>
      <c r="D953" s="320"/>
      <c r="E953" s="320"/>
      <c r="F953" s="321"/>
      <c r="G953" s="321"/>
      <c r="H953" s="322"/>
      <c r="I953" s="447"/>
      <c r="J953" s="447"/>
      <c r="K953" s="438"/>
      <c r="L953" s="447"/>
      <c r="M953" s="65"/>
      <c r="N953" s="323"/>
      <c r="O953" s="323"/>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hidden="1" customHeight="1">
      <c r="A954" s="343" t="str">
        <f>IF(B954&lt;&gt;"",IF(AND(B954='IN-TC'!$S$4,OR(TH!N954="1111",TH!O954="1111")),TH!D954,""),"")</f>
        <v/>
      </c>
      <c r="B954" s="63" t="str">
        <f t="shared" si="73"/>
        <v/>
      </c>
      <c r="C954" s="320"/>
      <c r="D954" s="320"/>
      <c r="E954" s="320"/>
      <c r="F954" s="321"/>
      <c r="G954" s="321"/>
      <c r="H954" s="322"/>
      <c r="I954" s="447"/>
      <c r="J954" s="447"/>
      <c r="K954" s="438"/>
      <c r="L954" s="447"/>
      <c r="M954" s="65"/>
      <c r="N954" s="323"/>
      <c r="O954" s="323"/>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hidden="1" customHeight="1">
      <c r="A955" s="343" t="str">
        <f>IF(B955&lt;&gt;"",IF(AND(B955='IN-TC'!$S$4,OR(TH!N955="1111",TH!O955="1111")),TH!D955,""),"")</f>
        <v/>
      </c>
      <c r="B955" s="63" t="str">
        <f t="shared" si="73"/>
        <v/>
      </c>
      <c r="C955" s="320"/>
      <c r="D955" s="320"/>
      <c r="E955" s="320"/>
      <c r="F955" s="321"/>
      <c r="G955" s="321"/>
      <c r="H955" s="322"/>
      <c r="I955" s="447"/>
      <c r="J955" s="447"/>
      <c r="K955" s="438"/>
      <c r="L955" s="447"/>
      <c r="M955" s="65"/>
      <c r="N955" s="323"/>
      <c r="O955" s="323"/>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hidden="1" customHeight="1">
      <c r="A956" s="343" t="str">
        <f>IF(B956&lt;&gt;"",IF(AND(B956='IN-TC'!$S$4,OR(TH!N956="1111",TH!O956="1111")),TH!D956,""),"")</f>
        <v/>
      </c>
      <c r="B956" s="63" t="str">
        <f t="shared" si="73"/>
        <v/>
      </c>
      <c r="C956" s="64"/>
      <c r="D956" s="64"/>
      <c r="E956" s="64"/>
      <c r="F956" s="67"/>
      <c r="G956" s="996"/>
      <c r="H956" s="351"/>
      <c r="I956" s="449"/>
      <c r="J956" s="449"/>
      <c r="K956" s="440"/>
      <c r="L956" s="449"/>
      <c r="M956" s="336"/>
      <c r="N956" s="323"/>
      <c r="O956" s="66"/>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hidden="1" customHeight="1">
      <c r="A957" s="343" t="str">
        <f>IF(B957&lt;&gt;"",IF(AND(B957='IN-TC'!$S$4,OR(TH!N957="1111",TH!O957="1111")),TH!D957,""),"")</f>
        <v/>
      </c>
      <c r="B957" s="63" t="str">
        <f t="shared" si="73"/>
        <v/>
      </c>
      <c r="C957" s="64"/>
      <c r="D957" s="64"/>
      <c r="E957" s="64"/>
      <c r="F957" s="67"/>
      <c r="G957" s="996"/>
      <c r="H957" s="351"/>
      <c r="I957" s="449"/>
      <c r="J957" s="449"/>
      <c r="K957" s="440"/>
      <c r="L957" s="449"/>
      <c r="M957" s="65"/>
      <c r="N957" s="323"/>
      <c r="O957" s="66"/>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hidden="1" customHeight="1">
      <c r="A958" s="343" t="str">
        <f>IF(B958&lt;&gt;"",IF(AND(B958='IN-TC'!$S$4,OR(TH!N958="1111",TH!O958="1111")),TH!D958,""),"")</f>
        <v/>
      </c>
      <c r="B958" s="63" t="str">
        <f t="shared" si="73"/>
        <v/>
      </c>
      <c r="C958" s="64"/>
      <c r="D958" s="64"/>
      <c r="E958" s="64"/>
      <c r="F958" s="67"/>
      <c r="G958" s="996"/>
      <c r="H958" s="74"/>
      <c r="I958" s="447"/>
      <c r="J958" s="447"/>
      <c r="K958" s="438"/>
      <c r="L958" s="447"/>
      <c r="M958" s="65"/>
      <c r="N958" s="66"/>
      <c r="O958" s="66"/>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59" spans="1:30" ht="15.75" hidden="1" customHeight="1">
      <c r="A959" s="343" t="str">
        <f>IF(B959&lt;&gt;"",IF(AND(B959='IN-TC'!$S$4,OR(TH!N959="1111",TH!O959="1111")),TH!D959,""),"")</f>
        <v/>
      </c>
      <c r="B959" s="63" t="str">
        <f t="shared" si="73"/>
        <v/>
      </c>
      <c r="C959" s="64"/>
      <c r="D959" s="64"/>
      <c r="E959" s="64"/>
      <c r="F959" s="67"/>
      <c r="G959" s="996"/>
      <c r="H959" s="74"/>
      <c r="I959" s="447"/>
      <c r="J959" s="447"/>
      <c r="K959" s="438"/>
      <c r="L959" s="447"/>
      <c r="M959" s="65"/>
      <c r="N959" s="66"/>
      <c r="O959" s="66"/>
      <c r="P959" s="85" t="str">
        <f>IF(AND('331-CT'!$E$7=TH!H959,OR(N959="331",O959="331")),"x","")</f>
        <v/>
      </c>
      <c r="Q959" s="85" t="str">
        <f>IF(AND(B959='111'!$L$11,OR($N959=$Q$7,$O959=$Q$7)),"x","")</f>
        <v/>
      </c>
      <c r="R959" s="85" t="str">
        <f>IF(AND($N959=$Q$7,$B959&lt;'111'!$L$11),"x","")</f>
        <v/>
      </c>
      <c r="S959" s="85" t="str">
        <f>IF(AND($O959=$Q$7,$B959&lt;'111'!$L$11),"x","")</f>
        <v/>
      </c>
      <c r="T959" s="85" t="str">
        <f>IF(ISERROR(FIND('112'!$M$9,G959,1)),"",IF((AND(FIND('112'!$M$9,G959,1)&gt;=1,B959='112'!$K$9,OR($N959='112'!$I$6,$O959='112'!$I$6))),"x",""))</f>
        <v/>
      </c>
      <c r="U959" s="85" t="str">
        <f>IF(ISERROR(FIND('112'!$M$9,G959,1)),"",IF((AND(LEFT(G959,2)=LEFT('112'!$M$9,2),B959&lt;'112'!$K$9,$N959='112'!$I$6)),"x",""))</f>
        <v/>
      </c>
      <c r="V959" s="85" t="str">
        <f>IF(ISERROR(FIND('112'!$M$9,G959,1)),"",IF((AND(RIGHT(G959,2)=RIGHT('112'!$M$9,2),B959&lt;'112'!$K$9,$O959='112'!$I$6)),"x",""))</f>
        <v/>
      </c>
      <c r="W959" s="85" t="str">
        <f>IF(AND('341-CT'!$H$9=H959,OR(LEFT(N959,3)=$W$7,LEFT(O959,3)=$W$7)),"x","")</f>
        <v/>
      </c>
      <c r="X959" s="85" t="str">
        <f>IF(OR(TH!N959=TH!$X$7,O959=TH!$X$7),"x","")</f>
        <v/>
      </c>
      <c r="Y959" s="85" t="str">
        <f>IF(AND(OR(N959="131",O959="131"),H959='131-CT'!$H$9),"x","")</f>
        <v/>
      </c>
      <c r="Z959" s="85"/>
      <c r="AA959" s="85" t="str">
        <f>IF(AND(MONTH(E959)='IN-NX'!$J$5,'IN-NX'!$D$7=D959),"x","")</f>
        <v/>
      </c>
      <c r="AB959" s="85" t="str">
        <f>IF(AND(OR(LEFT(TH!N959,2)="15",LEFT(TH!O959,2)="15"),'152-CT'!$J$8=TH!F959),"x","")</f>
        <v/>
      </c>
      <c r="AC959" s="85" t="str">
        <f>IF(AND(OR(LEFT(TH!N959,2)="15",LEFT(TH!O959,2)="15"),TK!$E$7=TH!F959),"x","")</f>
        <v/>
      </c>
      <c r="AD959" s="85" t="str">
        <f>IF(AND(N959="1521",MONTH(C959)='BK-NL'!$M$11),"x","")</f>
        <v/>
      </c>
    </row>
    <row r="960" spans="1:30" ht="15.75" hidden="1" customHeight="1">
      <c r="A960" s="343" t="str">
        <f>IF(B960&lt;&gt;"",IF(AND(B960='IN-TC'!$S$4,OR(TH!N960="1111",TH!O960="1111")),TH!D960,""),"")</f>
        <v/>
      </c>
      <c r="B960" s="63" t="str">
        <f t="shared" si="73"/>
        <v/>
      </c>
      <c r="C960" s="64"/>
      <c r="D960" s="64"/>
      <c r="E960" s="64"/>
      <c r="F960" s="67"/>
      <c r="G960" s="996"/>
      <c r="H960" s="74"/>
      <c r="I960" s="447"/>
      <c r="J960" s="447"/>
      <c r="K960" s="438"/>
      <c r="L960" s="447"/>
      <c r="M960" s="65"/>
      <c r="N960" s="66"/>
      <c r="O960" s="66"/>
      <c r="P960" s="85" t="str">
        <f>IF(AND('331-CT'!$E$7=TH!H960,OR(N960="331",O960="331")),"x","")</f>
        <v/>
      </c>
      <c r="Q960" s="85" t="str">
        <f>IF(AND(B960='111'!$L$11,OR($N960=$Q$7,$O960=$Q$7)),"x","")</f>
        <v/>
      </c>
      <c r="R960" s="85" t="str">
        <f>IF(AND($N960=$Q$7,$B960&lt;'111'!$L$11),"x","")</f>
        <v/>
      </c>
      <c r="S960" s="85" t="str">
        <f>IF(AND($O960=$Q$7,$B960&lt;'111'!$L$11),"x","")</f>
        <v/>
      </c>
      <c r="T960" s="85" t="str">
        <f>IF(ISERROR(FIND('112'!$M$9,G960,1)),"",IF((AND(FIND('112'!$M$9,G960,1)&gt;=1,B960='112'!$K$9,OR($N960='112'!$I$6,$O960='112'!$I$6))),"x",""))</f>
        <v/>
      </c>
      <c r="U960" s="85" t="str">
        <f>IF(ISERROR(FIND('112'!$M$9,G960,1)),"",IF((AND(LEFT(G960,2)=LEFT('112'!$M$9,2),B960&lt;'112'!$K$9,$N960='112'!$I$6)),"x",""))</f>
        <v/>
      </c>
      <c r="V960" s="85" t="str">
        <f>IF(ISERROR(FIND('112'!$M$9,G960,1)),"",IF((AND(RIGHT(G960,2)=RIGHT('112'!$M$9,2),B960&lt;'112'!$K$9,$O960='112'!$I$6)),"x",""))</f>
        <v/>
      </c>
      <c r="W960" s="85" t="str">
        <f>IF(AND('341-CT'!$H$9=H960,OR(LEFT(N960,3)=$W$7,LEFT(O960,3)=$W$7)),"x","")</f>
        <v/>
      </c>
      <c r="X960" s="85" t="str">
        <f>IF(OR(TH!N960=TH!$X$7,O960=TH!$X$7),"x","")</f>
        <v/>
      </c>
      <c r="Y960" s="85" t="str">
        <f>IF(AND(OR(N960="131",O960="131"),H960='131-CT'!$H$9),"x","")</f>
        <v/>
      </c>
      <c r="Z960" s="85"/>
      <c r="AA960" s="85" t="str">
        <f>IF(AND(MONTH(E960)='IN-NX'!$J$5,'IN-NX'!$D$7=D960),"x","")</f>
        <v/>
      </c>
      <c r="AB960" s="85" t="str">
        <f>IF(AND(OR(LEFT(TH!N960,2)="15",LEFT(TH!O960,2)="15"),'152-CT'!$J$8=TH!F960),"x","")</f>
        <v/>
      </c>
      <c r="AC960" s="85" t="str">
        <f>IF(AND(OR(LEFT(TH!N960,2)="15",LEFT(TH!O960,2)="15"),TK!$E$7=TH!F960),"x","")</f>
        <v/>
      </c>
      <c r="AD960" s="85" t="str">
        <f>IF(AND(N960="1521",MONTH(C960)='BK-NL'!$M$11),"x","")</f>
        <v/>
      </c>
    </row>
    <row r="961" spans="1:30" ht="15.75" hidden="1" customHeight="1">
      <c r="A961" s="343" t="str">
        <f>IF(B961&lt;&gt;"",IF(AND(B961='IN-TC'!$S$4,OR(TH!N961="1111",TH!O961="1111")),TH!D961,""),"")</f>
        <v/>
      </c>
      <c r="B961" s="63" t="str">
        <f t="shared" si="73"/>
        <v/>
      </c>
      <c r="C961" s="64"/>
      <c r="D961" s="64"/>
      <c r="E961" s="320"/>
      <c r="F961" s="321"/>
      <c r="G961" s="67"/>
      <c r="H961" s="74"/>
      <c r="I961" s="447"/>
      <c r="J961" s="447"/>
      <c r="K961" s="438"/>
      <c r="L961" s="447"/>
      <c r="M961" s="65"/>
      <c r="N961" s="323"/>
      <c r="O961" s="323"/>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hidden="1" customHeight="1">
      <c r="A962" s="343" t="str">
        <f>IF(B962&lt;&gt;"",IF(AND(B962='IN-TC'!$S$4,OR(TH!N962="1111",TH!O962="1111")),TH!D962,""),"")</f>
        <v/>
      </c>
      <c r="B962" s="63" t="str">
        <f t="shared" si="73"/>
        <v/>
      </c>
      <c r="C962" s="64"/>
      <c r="D962" s="320"/>
      <c r="E962" s="320"/>
      <c r="F962" s="321"/>
      <c r="G962" s="321"/>
      <c r="H962" s="322"/>
      <c r="I962" s="447"/>
      <c r="J962" s="447"/>
      <c r="K962" s="438"/>
      <c r="L962" s="447"/>
      <c r="M962" s="65"/>
      <c r="N962" s="323"/>
      <c r="O962" s="323"/>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hidden="1" customHeight="1">
      <c r="A963" s="343" t="str">
        <f>IF(B963&lt;&gt;"",IF(AND(B963='IN-TC'!$S$4,OR(TH!N963="1111",TH!O963="1111")),TH!D963,""),"")</f>
        <v/>
      </c>
      <c r="B963" s="63" t="str">
        <f t="shared" ref="B963:B987" si="87">IF(C963&lt;&gt;"",MONTH(C963),"")</f>
        <v/>
      </c>
      <c r="C963" s="64"/>
      <c r="D963" s="320"/>
      <c r="E963" s="320"/>
      <c r="F963" s="321"/>
      <c r="G963" s="321"/>
      <c r="H963" s="322"/>
      <c r="I963" s="447"/>
      <c r="J963" s="447"/>
      <c r="K963" s="438"/>
      <c r="L963" s="447"/>
      <c r="M963" s="65"/>
      <c r="N963" s="323"/>
      <c r="O963" s="323"/>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hidden="1" customHeight="1">
      <c r="A964" s="343" t="str">
        <f>IF(B964&lt;&gt;"",IF(AND(B964='IN-TC'!$S$4,OR(TH!N964="1111",TH!O964="1111")),TH!D964,""),"")</f>
        <v/>
      </c>
      <c r="B964" s="63" t="str">
        <f t="shared" si="87"/>
        <v/>
      </c>
      <c r="C964" s="64"/>
      <c r="D964" s="320"/>
      <c r="E964" s="320"/>
      <c r="F964" s="321"/>
      <c r="G964" s="321"/>
      <c r="H964" s="322"/>
      <c r="I964" s="447"/>
      <c r="J964" s="447"/>
      <c r="K964" s="438"/>
      <c r="L964" s="447"/>
      <c r="M964" s="65"/>
      <c r="N964" s="323"/>
      <c r="O964" s="323"/>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hidden="1" customHeight="1">
      <c r="A965" s="343" t="str">
        <f>IF(B965&lt;&gt;"",IF(AND(B965='IN-TC'!$S$4,OR(TH!N965="1111",TH!O965="1111")),TH!D965,""),"")</f>
        <v/>
      </c>
      <c r="B965" s="63" t="str">
        <f t="shared" si="87"/>
        <v/>
      </c>
      <c r="C965" s="64"/>
      <c r="D965" s="320"/>
      <c r="E965" s="320"/>
      <c r="F965" s="321"/>
      <c r="G965" s="321"/>
      <c r="H965" s="322"/>
      <c r="I965" s="447"/>
      <c r="J965" s="447"/>
      <c r="K965" s="438"/>
      <c r="L965" s="447"/>
      <c r="M965" s="65"/>
      <c r="N965" s="323"/>
      <c r="O965" s="323"/>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hidden="1" customHeight="1">
      <c r="A966" s="343" t="str">
        <f>IF(B966&lt;&gt;"",IF(AND(B966='IN-TC'!$S$4,OR(TH!N966="1111",TH!O966="1111")),TH!D966,""),"")</f>
        <v/>
      </c>
      <c r="B966" s="63" t="str">
        <f t="shared" si="87"/>
        <v/>
      </c>
      <c r="C966" s="64"/>
      <c r="D966" s="320"/>
      <c r="E966" s="320"/>
      <c r="F966" s="321"/>
      <c r="G966" s="321"/>
      <c r="H966" s="322"/>
      <c r="I966" s="447"/>
      <c r="J966" s="447"/>
      <c r="K966" s="438"/>
      <c r="L966" s="447"/>
      <c r="M966" s="65"/>
      <c r="N966" s="323"/>
      <c r="O966" s="323"/>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hidden="1" customHeight="1">
      <c r="A967" s="343" t="str">
        <f>IF(B967&lt;&gt;"",IF(AND(B967='IN-TC'!$S$4,OR(TH!N967="1111",TH!O967="1111")),TH!D967,""),"")</f>
        <v/>
      </c>
      <c r="B967" s="63" t="str">
        <f t="shared" si="87"/>
        <v/>
      </c>
      <c r="C967" s="64"/>
      <c r="D967" s="320"/>
      <c r="E967" s="320"/>
      <c r="F967" s="321"/>
      <c r="G967" s="321"/>
      <c r="H967" s="322"/>
      <c r="I967" s="447"/>
      <c r="J967" s="447"/>
      <c r="K967" s="438"/>
      <c r="L967" s="447"/>
      <c r="M967" s="65"/>
      <c r="N967" s="323"/>
      <c r="O967" s="323"/>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hidden="1" customHeight="1">
      <c r="A968" s="343" t="str">
        <f>IF(B968&lt;&gt;"",IF(AND(B968='IN-TC'!$S$4,OR(TH!N968="1111",TH!O968="1111")),TH!D968,""),"")</f>
        <v/>
      </c>
      <c r="B968" s="63" t="str">
        <f t="shared" si="87"/>
        <v/>
      </c>
      <c r="C968" s="64"/>
      <c r="D968" s="320"/>
      <c r="E968" s="320"/>
      <c r="F968" s="321"/>
      <c r="G968" s="321"/>
      <c r="H968" s="322"/>
      <c r="I968" s="447"/>
      <c r="J968" s="447"/>
      <c r="K968" s="438"/>
      <c r="L968" s="447"/>
      <c r="M968" s="65"/>
      <c r="N968" s="323"/>
      <c r="O968" s="323"/>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ht="15.75" hidden="1" customHeight="1">
      <c r="A969" s="343" t="str">
        <f>IF(B969&lt;&gt;"",IF(AND(B969='IN-TC'!$S$4,OR(TH!N969="1111",TH!O969="1111")),TH!D969,""),"")</f>
        <v/>
      </c>
      <c r="B969" s="63" t="str">
        <f t="shared" si="87"/>
        <v/>
      </c>
      <c r="C969" s="64"/>
      <c r="D969" s="64"/>
      <c r="E969" s="64"/>
      <c r="F969" s="67"/>
      <c r="G969" s="996"/>
      <c r="H969" s="74"/>
      <c r="I969" s="447"/>
      <c r="J969" s="447"/>
      <c r="K969" s="438"/>
      <c r="L969" s="447"/>
      <c r="M969" s="65"/>
      <c r="N969" s="323"/>
      <c r="O969" s="66"/>
      <c r="P969" s="85" t="str">
        <f>IF(AND('331-CT'!$E$7=TH!H969,OR(N969="331",O969="331")),"x","")</f>
        <v/>
      </c>
      <c r="Q969" s="85" t="str">
        <f>IF(AND(B969='111'!$L$11,OR($N969=$Q$7,$O969=$Q$7)),"x","")</f>
        <v/>
      </c>
      <c r="R969" s="85" t="str">
        <f>IF(AND($N969=$Q$7,$B969&lt;'111'!$L$11),"x","")</f>
        <v/>
      </c>
      <c r="S969" s="85" t="str">
        <f>IF(AND($O969=$Q$7,$B969&lt;'111'!$L$11),"x","")</f>
        <v/>
      </c>
      <c r="T969" s="85" t="str">
        <f>IF(ISERROR(FIND('112'!$M$9,G969,1)),"",IF((AND(FIND('112'!$M$9,G969,1)&gt;=1,B969='112'!$K$9,OR($N969='112'!$I$6,$O969='112'!$I$6))),"x",""))</f>
        <v/>
      </c>
      <c r="U969" s="85" t="str">
        <f>IF(ISERROR(FIND('112'!$M$9,G969,1)),"",IF((AND(LEFT(G969,2)=LEFT('112'!$M$9,2),B969&lt;'112'!$K$9,$N969='112'!$I$6)),"x",""))</f>
        <v/>
      </c>
      <c r="V969" s="85" t="str">
        <f>IF(ISERROR(FIND('112'!$M$9,G969,1)),"",IF((AND(RIGHT(G969,2)=RIGHT('112'!$M$9,2),B969&lt;'112'!$K$9,$O969='112'!$I$6)),"x",""))</f>
        <v/>
      </c>
      <c r="W969" s="85" t="str">
        <f>IF(AND('341-CT'!$H$9=H969,OR(LEFT(N969,3)=$W$7,LEFT(O969,3)=$W$7)),"x","")</f>
        <v/>
      </c>
      <c r="X969" s="85" t="str">
        <f>IF(OR(TH!N969=TH!$X$7,O969=TH!$X$7),"x","")</f>
        <v/>
      </c>
      <c r="Y969" s="85" t="str">
        <f>IF(AND(OR(N969="131",O969="131"),H969='131-CT'!$H$9),"x","")</f>
        <v/>
      </c>
      <c r="Z969" s="85"/>
      <c r="AA969" s="85" t="str">
        <f>IF(AND(MONTH(E969)='IN-NX'!$J$5,'IN-NX'!$D$7=D969),"x","")</f>
        <v/>
      </c>
      <c r="AB969" s="85" t="str">
        <f>IF(AND(OR(LEFT(TH!N969,2)="15",LEFT(TH!O969,2)="15"),'152-CT'!$J$8=TH!F969),"x","")</f>
        <v/>
      </c>
      <c r="AC969" s="85" t="str">
        <f>IF(AND(OR(LEFT(TH!N969,2)="15",LEFT(TH!O969,2)="15"),TK!$E$7=TH!F969),"x","")</f>
        <v/>
      </c>
      <c r="AD969" s="85" t="str">
        <f>IF(AND(N969="1521",MONTH(C969)='BK-NL'!$M$11),"x","")</f>
        <v/>
      </c>
    </row>
    <row r="970" spans="1:30" ht="15.75" hidden="1" customHeight="1">
      <c r="A970" s="343" t="str">
        <f>IF(B970&lt;&gt;"",IF(AND(B970='IN-TC'!$S$4,OR(TH!N970="1111",TH!O970="1111")),TH!D970,""),"")</f>
        <v/>
      </c>
      <c r="B970" s="63" t="str">
        <f t="shared" si="87"/>
        <v/>
      </c>
      <c r="C970" s="64"/>
      <c r="D970" s="64"/>
      <c r="E970" s="64"/>
      <c r="F970" s="67"/>
      <c r="G970" s="996"/>
      <c r="H970" s="74"/>
      <c r="I970" s="447"/>
      <c r="J970" s="447"/>
      <c r="K970" s="438"/>
      <c r="L970" s="447"/>
      <c r="M970" s="65"/>
      <c r="N970" s="323"/>
      <c r="O970" s="66"/>
      <c r="P970" s="85" t="str">
        <f>IF(AND('331-CT'!$E$7=TH!H970,OR(N970="331",O970="331")),"x","")</f>
        <v/>
      </c>
      <c r="Q970" s="85" t="str">
        <f>IF(AND(B970='111'!$L$11,OR($N970=$Q$7,$O970=$Q$7)),"x","")</f>
        <v/>
      </c>
      <c r="R970" s="85" t="str">
        <f>IF(AND($N970=$Q$7,$B970&lt;'111'!$L$11),"x","")</f>
        <v/>
      </c>
      <c r="S970" s="85" t="str">
        <f>IF(AND($O970=$Q$7,$B970&lt;'111'!$L$11),"x","")</f>
        <v/>
      </c>
      <c r="T970" s="85" t="str">
        <f>IF(ISERROR(FIND('112'!$M$9,G970,1)),"",IF((AND(FIND('112'!$M$9,G970,1)&gt;=1,B970='112'!$K$9,OR($N970='112'!$I$6,$O970='112'!$I$6))),"x",""))</f>
        <v/>
      </c>
      <c r="U970" s="85" t="str">
        <f>IF(ISERROR(FIND('112'!$M$9,G970,1)),"",IF((AND(LEFT(G970,2)=LEFT('112'!$M$9,2),B970&lt;'112'!$K$9,$N970='112'!$I$6)),"x",""))</f>
        <v/>
      </c>
      <c r="V970" s="85" t="str">
        <f>IF(ISERROR(FIND('112'!$M$9,G970,1)),"",IF((AND(RIGHT(G970,2)=RIGHT('112'!$M$9,2),B970&lt;'112'!$K$9,$O970='112'!$I$6)),"x",""))</f>
        <v/>
      </c>
      <c r="W970" s="85" t="str">
        <f>IF(AND('341-CT'!$H$9=H970,OR(LEFT(N970,3)=$W$7,LEFT(O970,3)=$W$7)),"x","")</f>
        <v/>
      </c>
      <c r="X970" s="85" t="str">
        <f>IF(OR(TH!N970=TH!$X$7,O970=TH!$X$7),"x","")</f>
        <v/>
      </c>
      <c r="Y970" s="85" t="str">
        <f>IF(AND(OR(N970="131",O970="131"),H970='131-CT'!$H$9),"x","")</f>
        <v/>
      </c>
      <c r="Z970" s="85"/>
      <c r="AA970" s="85" t="str">
        <f>IF(AND(MONTH(E970)='IN-NX'!$J$5,'IN-NX'!$D$7=D970),"x","")</f>
        <v/>
      </c>
      <c r="AB970" s="85" t="str">
        <f>IF(AND(OR(LEFT(TH!N970,2)="15",LEFT(TH!O970,2)="15"),'152-CT'!$J$8=TH!F970),"x","")</f>
        <v/>
      </c>
      <c r="AC970" s="85" t="str">
        <f>IF(AND(OR(LEFT(TH!N970,2)="15",LEFT(TH!O970,2)="15"),TK!$E$7=TH!F970),"x","")</f>
        <v/>
      </c>
      <c r="AD970" s="85" t="str">
        <f>IF(AND(N970="1521",MONTH(C970)='BK-NL'!$M$11),"x","")</f>
        <v/>
      </c>
    </row>
    <row r="971" spans="1:30" ht="15.75" hidden="1" customHeight="1">
      <c r="A971" s="343" t="str">
        <f>IF(B971&lt;&gt;"",IF(AND(B971='IN-TC'!$S$4,OR(TH!N971="1111",TH!O971="1111")),TH!D971,""),"")</f>
        <v/>
      </c>
      <c r="B971" s="63" t="str">
        <f t="shared" si="87"/>
        <v/>
      </c>
      <c r="C971" s="64"/>
      <c r="D971" s="320"/>
      <c r="E971" s="320"/>
      <c r="F971" s="67"/>
      <c r="G971" s="67"/>
      <c r="H971" s="74"/>
      <c r="I971" s="447"/>
      <c r="J971" s="447"/>
      <c r="K971" s="438"/>
      <c r="L971" s="447"/>
      <c r="M971" s="65"/>
      <c r="N971" s="66"/>
      <c r="O971" s="66"/>
      <c r="P971" s="85" t="str">
        <f>IF(AND('331-CT'!$E$7=TH!H971,OR(N971="331",O971="331")),"x","")</f>
        <v/>
      </c>
      <c r="Q971" s="85" t="str">
        <f>IF(AND(B971='111'!$L$11,OR($N971=$Q$7,$O971=$Q$7)),"x","")</f>
        <v/>
      </c>
      <c r="R971" s="85" t="str">
        <f>IF(AND($N971=$Q$7,$B971&lt;'111'!$L$11),"x","")</f>
        <v/>
      </c>
      <c r="S971" s="85" t="str">
        <f>IF(AND($O971=$Q$7,$B971&lt;'111'!$L$11),"x","")</f>
        <v/>
      </c>
      <c r="T971" s="85" t="str">
        <f>IF(ISERROR(FIND('112'!$M$9,G971,1)),"",IF((AND(FIND('112'!$M$9,G971,1)&gt;=1,B971='112'!$K$9,OR($N971='112'!$I$6,$O971='112'!$I$6))),"x",""))</f>
        <v/>
      </c>
      <c r="U971" s="85" t="str">
        <f>IF(ISERROR(FIND('112'!$M$9,G971,1)),"",IF((AND(LEFT(G971,2)=LEFT('112'!$M$9,2),B971&lt;'112'!$K$9,$N971='112'!$I$6)),"x",""))</f>
        <v/>
      </c>
      <c r="V971" s="85" t="str">
        <f>IF(ISERROR(FIND('112'!$M$9,G971,1)),"",IF((AND(RIGHT(G971,2)=RIGHT('112'!$M$9,2),B971&lt;'112'!$K$9,$O971='112'!$I$6)),"x",""))</f>
        <v/>
      </c>
      <c r="W971" s="85" t="str">
        <f>IF(AND('341-CT'!$H$9=H971,OR(LEFT(N971,3)=$W$7,LEFT(O971,3)=$W$7)),"x","")</f>
        <v/>
      </c>
      <c r="X971" s="85" t="str">
        <f>IF(OR(TH!N971=TH!$X$7,O971=TH!$X$7),"x","")</f>
        <v/>
      </c>
      <c r="Y971" s="85" t="str">
        <f>IF(AND(OR(N971="131",O971="131"),H971='131-CT'!$H$9),"x","")</f>
        <v/>
      </c>
      <c r="Z971" s="85"/>
      <c r="AA971" s="85" t="str">
        <f>IF(AND(MONTH(E971)='IN-NX'!$J$5,'IN-NX'!$D$7=D971),"x","")</f>
        <v/>
      </c>
      <c r="AB971" s="85" t="str">
        <f>IF(AND(OR(LEFT(TH!N971,2)="15",LEFT(TH!O971,2)="15"),'152-CT'!$J$8=TH!F971),"x","")</f>
        <v/>
      </c>
      <c r="AC971" s="85" t="str">
        <f>IF(AND(OR(LEFT(TH!N971,2)="15",LEFT(TH!O971,2)="15"),TK!$E$7=TH!F971),"x","")</f>
        <v/>
      </c>
      <c r="AD971" s="85" t="str">
        <f>IF(AND(N971="1521",MONTH(C971)='BK-NL'!$M$11),"x","")</f>
        <v/>
      </c>
    </row>
    <row r="972" spans="1:30" ht="15.75" hidden="1" customHeight="1">
      <c r="A972" s="343" t="str">
        <f>IF(B972&lt;&gt;"",IF(AND(B972='IN-TC'!$S$4,OR(TH!N972="1111",TH!O972="1111")),TH!D972,""),"")</f>
        <v/>
      </c>
      <c r="B972" s="63" t="str">
        <f t="shared" si="87"/>
        <v/>
      </c>
      <c r="C972" s="64"/>
      <c r="D972" s="64"/>
      <c r="E972" s="64"/>
      <c r="F972" s="67"/>
      <c r="G972" s="996"/>
      <c r="H972" s="74"/>
      <c r="I972" s="447"/>
      <c r="J972" s="447"/>
      <c r="K972" s="438"/>
      <c r="L972" s="447"/>
      <c r="M972" s="65"/>
      <c r="N972" s="66"/>
      <c r="O972" s="66"/>
      <c r="P972" s="85" t="str">
        <f>IF(AND('331-CT'!$E$7=TH!H972,OR(N972="331",O972="331")),"x","")</f>
        <v/>
      </c>
      <c r="Q972" s="85" t="str">
        <f>IF(AND(B972='111'!$L$11,OR($N972=$Q$7,$O972=$Q$7)),"x","")</f>
        <v/>
      </c>
      <c r="R972" s="85" t="str">
        <f>IF(AND($N972=$Q$7,$B972&lt;'111'!$L$11),"x","")</f>
        <v/>
      </c>
      <c r="S972" s="85" t="str">
        <f>IF(AND($O972=$Q$7,$B972&lt;'111'!$L$11),"x","")</f>
        <v/>
      </c>
      <c r="T972" s="85" t="str">
        <f>IF(ISERROR(FIND('112'!$M$9,G972,1)),"",IF((AND(FIND('112'!$M$9,G972,1)&gt;=1,B972='112'!$K$9,OR($N972='112'!$I$6,$O972='112'!$I$6))),"x",""))</f>
        <v/>
      </c>
      <c r="U972" s="85" t="str">
        <f>IF(ISERROR(FIND('112'!$M$9,G972,1)),"",IF((AND(LEFT(G972,2)=LEFT('112'!$M$9,2),B972&lt;'112'!$K$9,$N972='112'!$I$6)),"x",""))</f>
        <v/>
      </c>
      <c r="V972" s="85" t="str">
        <f>IF(ISERROR(FIND('112'!$M$9,G972,1)),"",IF((AND(RIGHT(G972,2)=RIGHT('112'!$M$9,2),B972&lt;'112'!$K$9,$O972='112'!$I$6)),"x",""))</f>
        <v/>
      </c>
      <c r="W972" s="85" t="str">
        <f>IF(AND('341-CT'!$H$9=H972,OR(LEFT(N972,3)=$W$7,LEFT(O972,3)=$W$7)),"x","")</f>
        <v/>
      </c>
      <c r="X972" s="85" t="str">
        <f>IF(OR(TH!N972=TH!$X$7,O972=TH!$X$7),"x","")</f>
        <v/>
      </c>
      <c r="Y972" s="85" t="str">
        <f>IF(AND(OR(N972="131",O972="131"),H972='131-CT'!$H$9),"x","")</f>
        <v/>
      </c>
      <c r="Z972" s="85"/>
      <c r="AA972" s="85" t="str">
        <f>IF(AND(MONTH(E972)='IN-NX'!$J$5,'IN-NX'!$D$7=D972),"x","")</f>
        <v/>
      </c>
      <c r="AB972" s="85" t="str">
        <f>IF(AND(OR(LEFT(TH!N972,2)="15",LEFT(TH!O972,2)="15"),'152-CT'!$J$8=TH!F972),"x","")</f>
        <v/>
      </c>
      <c r="AC972" s="85" t="str">
        <f>IF(AND(OR(LEFT(TH!N972,2)="15",LEFT(TH!O972,2)="15"),TK!$E$7=TH!F972),"x","")</f>
        <v/>
      </c>
      <c r="AD972" s="85" t="str">
        <f>IF(AND(N972="1521",MONTH(C972)='BK-NL'!$M$11),"x","")</f>
        <v/>
      </c>
    </row>
    <row r="973" spans="1:30" ht="15.75" hidden="1" customHeight="1">
      <c r="A973" s="343" t="str">
        <f>IF(B973&lt;&gt;"",IF(AND(B973='IN-TC'!$S$4,OR(TH!N973="1111",TH!O973="1111")),TH!D973,""),"")</f>
        <v/>
      </c>
      <c r="B973" s="63" t="str">
        <f t="shared" si="87"/>
        <v/>
      </c>
      <c r="C973" s="64"/>
      <c r="D973" s="64"/>
      <c r="E973" s="64"/>
      <c r="F973" s="67"/>
      <c r="G973" s="996"/>
      <c r="H973" s="74"/>
      <c r="I973" s="447"/>
      <c r="J973" s="447"/>
      <c r="K973" s="438"/>
      <c r="L973" s="447"/>
      <c r="M973" s="65"/>
      <c r="N973" s="66"/>
      <c r="O973" s="66"/>
      <c r="P973" s="85" t="str">
        <f>IF(AND('331-CT'!$E$7=TH!H973,OR(N973="331",O973="331")),"x","")</f>
        <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hidden="1" customHeight="1">
      <c r="A974" s="343" t="str">
        <f>IF(B974&lt;&gt;"",IF(AND(B974='IN-TC'!$S$4,OR(TH!N974="1111",TH!O974="1111")),TH!D974,""),"")</f>
        <v/>
      </c>
      <c r="B974" s="63" t="str">
        <f t="shared" si="87"/>
        <v/>
      </c>
      <c r="C974" s="64"/>
      <c r="D974" s="64"/>
      <c r="E974" s="64"/>
      <c r="F974" s="67"/>
      <c r="G974" s="67"/>
      <c r="H974" s="74"/>
      <c r="I974" s="447"/>
      <c r="J974" s="447"/>
      <c r="K974" s="438"/>
      <c r="L974" s="447"/>
      <c r="M974" s="65"/>
      <c r="N974" s="66"/>
      <c r="O974" s="66"/>
      <c r="P974" s="85" t="str">
        <f>IF(AND('331-CT'!$E$7=TH!H974,OR(N974="331",O974="331")),"x","")</f>
        <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hidden="1" customHeight="1">
      <c r="A975" s="343" t="str">
        <f>IF(B975&lt;&gt;"",IF(AND(B975='IN-TC'!$S$4,OR(TH!N975="1111",TH!O975="1111")),TH!D975,""),"")</f>
        <v/>
      </c>
      <c r="B975" s="63" t="str">
        <f t="shared" si="87"/>
        <v/>
      </c>
      <c r="C975" s="64"/>
      <c r="D975" s="64"/>
      <c r="E975" s="64"/>
      <c r="F975" s="67"/>
      <c r="G975" s="67"/>
      <c r="H975" s="74"/>
      <c r="I975" s="447"/>
      <c r="J975" s="447"/>
      <c r="K975" s="438"/>
      <c r="L975" s="447"/>
      <c r="M975" s="65"/>
      <c r="N975" s="66"/>
      <c r="O975" s="66"/>
      <c r="P975" s="85" t="str">
        <f>IF(AND('331-CT'!$E$7=TH!H975,OR(N975="331",O975="331")),"x","")</f>
        <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hidden="1" customHeight="1">
      <c r="A976" s="343" t="str">
        <f>IF(B976&lt;&gt;"",IF(AND(B976='IN-TC'!$S$4,OR(TH!N976="1111",TH!O976="1111")),TH!D976,""),"")</f>
        <v/>
      </c>
      <c r="B976" s="63" t="str">
        <f t="shared" si="87"/>
        <v/>
      </c>
      <c r="C976" s="64"/>
      <c r="D976" s="64"/>
      <c r="E976" s="64"/>
      <c r="F976" s="67"/>
      <c r="G976" s="67"/>
      <c r="H976" s="74"/>
      <c r="I976" s="447"/>
      <c r="J976" s="447"/>
      <c r="K976" s="438"/>
      <c r="L976" s="447"/>
      <c r="M976" s="65"/>
      <c r="N976" s="66"/>
      <c r="O976" s="66"/>
      <c r="P976" s="85" t="str">
        <f>IF(AND('331-CT'!$E$7=TH!H976,OR(N976="331",O976="331")),"x","")</f>
        <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hidden="1" customHeight="1">
      <c r="A977" s="343" t="str">
        <f>IF(B977&lt;&gt;"",IF(AND(B977='IN-TC'!$S$4,OR(TH!N977="1111",TH!O977="1111")),TH!D977,""),"")</f>
        <v/>
      </c>
      <c r="B977" s="63" t="str">
        <f t="shared" si="87"/>
        <v/>
      </c>
      <c r="C977" s="64"/>
      <c r="D977" s="64"/>
      <c r="E977" s="64"/>
      <c r="F977" s="67"/>
      <c r="G977" s="67"/>
      <c r="H977" s="74"/>
      <c r="I977" s="447"/>
      <c r="J977" s="447"/>
      <c r="K977" s="438"/>
      <c r="L977" s="447"/>
      <c r="M977" s="65"/>
      <c r="N977" s="66"/>
      <c r="O977" s="66"/>
      <c r="P977" s="85" t="str">
        <f>IF(AND('331-CT'!$E$7=TH!H977,OR(N977="331",O977="331")),"x","")</f>
        <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hidden="1" customHeight="1">
      <c r="A978" s="343" t="str">
        <f>IF(B978&lt;&gt;"",IF(AND(B978='IN-TC'!$S$4,OR(TH!N978="1111",TH!O978="1111")),TH!D978,""),"")</f>
        <v/>
      </c>
      <c r="B978" s="63" t="str">
        <f t="shared" si="87"/>
        <v/>
      </c>
      <c r="C978" s="64"/>
      <c r="D978" s="64"/>
      <c r="E978" s="64"/>
      <c r="F978" s="67"/>
      <c r="G978" s="67"/>
      <c r="H978" s="74"/>
      <c r="I978" s="447"/>
      <c r="J978" s="447"/>
      <c r="K978" s="438"/>
      <c r="L978" s="447"/>
      <c r="M978" s="65"/>
      <c r="N978" s="66"/>
      <c r="O978" s="66"/>
      <c r="P978" s="85" t="str">
        <f>IF(AND('331-CT'!$E$7=TH!H978,OR(N978="331",O978="331")),"x","")</f>
        <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hidden="1" customHeight="1">
      <c r="A979" s="343" t="str">
        <f>IF(B979&lt;&gt;"",IF(AND(B979='IN-TC'!$S$4,OR(TH!N979="1111",TH!O979="1111")),TH!D979,""),"")</f>
        <v/>
      </c>
      <c r="B979" s="63" t="str">
        <f t="shared" si="87"/>
        <v/>
      </c>
      <c r="C979" s="64"/>
      <c r="D979" s="64"/>
      <c r="E979" s="64"/>
      <c r="F979" s="67"/>
      <c r="G979" s="67"/>
      <c r="H979" s="74"/>
      <c r="I979" s="447"/>
      <c r="J979" s="447"/>
      <c r="K979" s="438"/>
      <c r="L979" s="447"/>
      <c r="M979" s="65"/>
      <c r="N979" s="66"/>
      <c r="O979" s="66"/>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hidden="1" customHeight="1">
      <c r="A980" s="343" t="str">
        <f>IF(B980&lt;&gt;"",IF(AND(B980='IN-TC'!$S$4,OR(TH!N980="1111",TH!O980="1111")),TH!D980,""),"")</f>
        <v/>
      </c>
      <c r="B980" s="63" t="str">
        <f t="shared" si="87"/>
        <v/>
      </c>
      <c r="C980" s="64"/>
      <c r="D980" s="64"/>
      <c r="E980" s="64"/>
      <c r="F980" s="67"/>
      <c r="G980" s="67"/>
      <c r="H980" s="74"/>
      <c r="I980" s="447"/>
      <c r="J980" s="447"/>
      <c r="K980" s="438"/>
      <c r="L980" s="447"/>
      <c r="M980" s="65"/>
      <c r="N980" s="66"/>
      <c r="O980" s="66"/>
      <c r="P980" s="85" t="str">
        <f>IF(AND('331-CT'!$E$7=TH!H980,OR(N980="331",O980="331")),"x","")</f>
        <v/>
      </c>
      <c r="Q980" s="85" t="str">
        <f>IF(AND(B980='111'!$L$11,OR($N980=$Q$7,$O980=$Q$7)),"x","")</f>
        <v/>
      </c>
      <c r="R980" s="85" t="str">
        <f>IF(AND($N980=$Q$7,$B980&lt;'111'!$L$11),"x","")</f>
        <v/>
      </c>
      <c r="S980" s="85" t="str">
        <f>IF(AND($O980=$Q$7,$B980&lt;'111'!$L$11),"x","")</f>
        <v/>
      </c>
      <c r="T980" s="85" t="str">
        <f>IF(ISERROR(FIND('112'!$M$9,G980,1)),"",IF((AND(FIND('112'!$M$9,G980,1)&gt;=1,B980='112'!$K$9,OR($N980='112'!$I$6,$O980='112'!$I$6))),"x",""))</f>
        <v/>
      </c>
      <c r="U980" s="85" t="str">
        <f>IF(ISERROR(FIND('112'!$M$9,G980,1)),"",IF((AND(LEFT(G980,2)=LEFT('112'!$M$9,2),B980&lt;'112'!$K$9,$N980='112'!$I$6)),"x",""))</f>
        <v/>
      </c>
      <c r="V980" s="85" t="str">
        <f>IF(ISERROR(FIND('112'!$M$9,G980,1)),"",IF((AND(RIGHT(G980,2)=RIGHT('112'!$M$9,2),B980&lt;'112'!$K$9,$O980='112'!$I$6)),"x",""))</f>
        <v/>
      </c>
      <c r="W980" s="85" t="str">
        <f>IF(AND('341-CT'!$H$9=H980,OR(LEFT(N980,3)=$W$7,LEFT(O980,3)=$W$7)),"x","")</f>
        <v/>
      </c>
      <c r="X980" s="85" t="str">
        <f>IF(OR(TH!N980=TH!$X$7,O980=TH!$X$7),"x","")</f>
        <v/>
      </c>
      <c r="Y980" s="85" t="str">
        <f>IF(AND(OR(N980="131",O980="131"),H980='131-CT'!$H$9),"x","")</f>
        <v/>
      </c>
      <c r="Z980" s="85"/>
      <c r="AA980" s="85" t="str">
        <f>IF(AND(MONTH(E980)='IN-NX'!$J$5,'IN-NX'!$D$7=D980),"x","")</f>
        <v/>
      </c>
      <c r="AB980" s="85" t="str">
        <f>IF(AND(OR(LEFT(TH!N980,2)="15",LEFT(TH!O980,2)="15"),'152-CT'!$J$8=TH!F980),"x","")</f>
        <v/>
      </c>
      <c r="AC980" s="85" t="str">
        <f>IF(AND(OR(LEFT(TH!N980,2)="15",LEFT(TH!O980,2)="15"),TK!$E$7=TH!F980),"x","")</f>
        <v/>
      </c>
      <c r="AD980" s="85" t="str">
        <f>IF(AND(N980="1521",MONTH(C980)='BK-NL'!$M$11),"x","")</f>
        <v/>
      </c>
    </row>
    <row r="981" spans="1:30" ht="15.75" hidden="1" customHeight="1">
      <c r="A981" s="343" t="str">
        <f>IF(B981&lt;&gt;"",IF(AND(B981='IN-TC'!$S$4,OR(TH!N981="1111",TH!O981="1111")),TH!D981,""),"")</f>
        <v/>
      </c>
      <c r="B981" s="63" t="str">
        <f t="shared" si="87"/>
        <v/>
      </c>
      <c r="C981" s="64"/>
      <c r="D981" s="64"/>
      <c r="E981" s="64"/>
      <c r="F981" s="67"/>
      <c r="G981" s="67"/>
      <c r="H981" s="74"/>
      <c r="I981" s="447"/>
      <c r="J981" s="447"/>
      <c r="K981" s="438"/>
      <c r="L981" s="447"/>
      <c r="M981" s="65"/>
      <c r="N981" s="66"/>
      <c r="O981" s="66"/>
      <c r="P981" s="85" t="str">
        <f>IF(AND('331-CT'!$E$7=TH!H981,OR(N981="331",O981="331")),"x","")</f>
        <v/>
      </c>
      <c r="Q981" s="85" t="str">
        <f>IF(AND(B981='111'!$L$11,OR($N981=$Q$7,$O981=$Q$7)),"x","")</f>
        <v/>
      </c>
      <c r="R981" s="85" t="str">
        <f>IF(AND($N981=$Q$7,$B981&lt;'111'!$L$11),"x","")</f>
        <v/>
      </c>
      <c r="S981" s="85" t="str">
        <f>IF(AND($O981=$Q$7,$B981&lt;'111'!$L$11),"x","")</f>
        <v/>
      </c>
      <c r="T981" s="85" t="str">
        <f>IF(ISERROR(FIND('112'!$M$9,G981,1)),"",IF((AND(FIND('112'!$M$9,G981,1)&gt;=1,B981='112'!$K$9,OR($N981='112'!$I$6,$O981='112'!$I$6))),"x",""))</f>
        <v/>
      </c>
      <c r="U981" s="85" t="str">
        <f>IF(ISERROR(FIND('112'!$M$9,G981,1)),"",IF((AND(LEFT(G981,2)=LEFT('112'!$M$9,2),B981&lt;'112'!$K$9,$N981='112'!$I$6)),"x",""))</f>
        <v/>
      </c>
      <c r="V981" s="85" t="str">
        <f>IF(ISERROR(FIND('112'!$M$9,G981,1)),"",IF((AND(RIGHT(G981,2)=RIGHT('112'!$M$9,2),B981&lt;'112'!$K$9,$O981='112'!$I$6)),"x",""))</f>
        <v/>
      </c>
      <c r="W981" s="85" t="str">
        <f>IF(AND('341-CT'!$H$9=H981,OR(LEFT(N981,3)=$W$7,LEFT(O981,3)=$W$7)),"x","")</f>
        <v/>
      </c>
      <c r="X981" s="85" t="str">
        <f>IF(OR(TH!N981=TH!$X$7,O981=TH!$X$7),"x","")</f>
        <v/>
      </c>
      <c r="Y981" s="85" t="str">
        <f>IF(AND(OR(N981="131",O981="131"),H981='131-CT'!$H$9),"x","")</f>
        <v/>
      </c>
      <c r="Z981" s="85"/>
      <c r="AA981" s="85" t="str">
        <f>IF(AND(MONTH(E981)='IN-NX'!$J$5,'IN-NX'!$D$7=D981),"x","")</f>
        <v/>
      </c>
      <c r="AB981" s="85" t="str">
        <f>IF(AND(OR(LEFT(TH!N981,2)="15",LEFT(TH!O981,2)="15"),'152-CT'!$J$8=TH!F981),"x","")</f>
        <v/>
      </c>
      <c r="AC981" s="85" t="str">
        <f>IF(AND(OR(LEFT(TH!N981,2)="15",LEFT(TH!O981,2)="15"),TK!$E$7=TH!F981),"x","")</f>
        <v/>
      </c>
      <c r="AD981" s="85" t="str">
        <f>IF(AND(N981="1521",MONTH(C981)='BK-NL'!$M$11),"x","")</f>
        <v/>
      </c>
    </row>
    <row r="982" spans="1:30" ht="15.75" hidden="1" customHeight="1">
      <c r="A982" s="343" t="str">
        <f>IF(B982&lt;&gt;"",IF(AND(B982='IN-TC'!$S$4,OR(TH!N982="1111",TH!O982="1111")),TH!D982,""),"")</f>
        <v/>
      </c>
      <c r="B982" s="63" t="str">
        <f t="shared" si="87"/>
        <v/>
      </c>
      <c r="C982" s="64"/>
      <c r="D982" s="64"/>
      <c r="E982" s="64"/>
      <c r="F982" s="67"/>
      <c r="G982" s="67"/>
      <c r="H982" s="74"/>
      <c r="I982" s="447"/>
      <c r="J982" s="447"/>
      <c r="K982" s="438"/>
      <c r="L982" s="447"/>
      <c r="M982" s="65"/>
      <c r="N982" s="66"/>
      <c r="O982" s="66"/>
      <c r="P982" s="85" t="str">
        <f>IF(AND('331-CT'!$E$7=TH!H982,OR(N982="331",O982="331")),"x","")</f>
        <v/>
      </c>
      <c r="Q982" s="85" t="str">
        <f>IF(AND(B982='111'!$L$11,OR($N982=$Q$7,$O982=$Q$7)),"x","")</f>
        <v/>
      </c>
      <c r="R982" s="85" t="str">
        <f>IF(AND($N982=$Q$7,$B982&lt;'111'!$L$11),"x","")</f>
        <v/>
      </c>
      <c r="S982" s="85" t="str">
        <f>IF(AND($O982=$Q$7,$B982&lt;'111'!$L$11),"x","")</f>
        <v/>
      </c>
      <c r="T982" s="85" t="str">
        <f>IF(ISERROR(FIND('112'!$M$9,G982,1)),"",IF((AND(FIND('112'!$M$9,G982,1)&gt;=1,B982='112'!$K$9,OR($N982='112'!$I$6,$O982='112'!$I$6))),"x",""))</f>
        <v/>
      </c>
      <c r="U982" s="85" t="str">
        <f>IF(ISERROR(FIND('112'!$M$9,G982,1)),"",IF((AND(LEFT(G982,2)=LEFT('112'!$M$9,2),B982&lt;'112'!$K$9,$N982='112'!$I$6)),"x",""))</f>
        <v/>
      </c>
      <c r="V982" s="85" t="str">
        <f>IF(ISERROR(FIND('112'!$M$9,G982,1)),"",IF((AND(RIGHT(G982,2)=RIGHT('112'!$M$9,2),B982&lt;'112'!$K$9,$O982='112'!$I$6)),"x",""))</f>
        <v/>
      </c>
      <c r="W982" s="85" t="str">
        <f>IF(AND('341-CT'!$H$9=H982,OR(LEFT(N982,3)=$W$7,LEFT(O982,3)=$W$7)),"x","")</f>
        <v/>
      </c>
      <c r="X982" s="85" t="str">
        <f>IF(OR(TH!N982=TH!$X$7,O982=TH!$X$7),"x","")</f>
        <v/>
      </c>
      <c r="Y982" s="85" t="str">
        <f>IF(AND(OR(N982="131",O982="131"),H982='131-CT'!$H$9),"x","")</f>
        <v/>
      </c>
      <c r="Z982" s="85"/>
      <c r="AA982" s="85" t="str">
        <f>IF(AND(MONTH(E982)='IN-NX'!$J$5,'IN-NX'!$D$7=D982),"x","")</f>
        <v/>
      </c>
      <c r="AB982" s="85" t="str">
        <f>IF(AND(OR(LEFT(TH!N982,2)="15",LEFT(TH!O982,2)="15"),'152-CT'!$J$8=TH!F982),"x","")</f>
        <v/>
      </c>
      <c r="AC982" s="85" t="str">
        <f>IF(AND(OR(LEFT(TH!N982,2)="15",LEFT(TH!O982,2)="15"),TK!$E$7=TH!F982),"x","")</f>
        <v/>
      </c>
      <c r="AD982" s="85" t="str">
        <f>IF(AND(N982="1521",MONTH(C982)='BK-NL'!$M$11),"x","")</f>
        <v/>
      </c>
    </row>
    <row r="983" spans="1:30" ht="15.75" hidden="1" customHeight="1">
      <c r="A983" s="343" t="str">
        <f>IF(B983&lt;&gt;"",IF(AND(B983='IN-TC'!$S$4,OR(TH!N983="1111",TH!O983="1111")),TH!D983,""),"")</f>
        <v/>
      </c>
      <c r="B983" s="63" t="str">
        <f t="shared" si="87"/>
        <v/>
      </c>
      <c r="C983" s="64"/>
      <c r="D983" s="64"/>
      <c r="E983" s="64"/>
      <c r="F983" s="67"/>
      <c r="G983" s="67"/>
      <c r="H983" s="74"/>
      <c r="I983" s="447"/>
      <c r="J983" s="447"/>
      <c r="K983" s="438"/>
      <c r="L983" s="447"/>
      <c r="M983" s="65"/>
      <c r="N983" s="66"/>
      <c r="O983" s="66"/>
      <c r="P983" s="85" t="str">
        <f>IF(AND('331-CT'!$E$7=TH!H983,OR(N983="331",O983="331")),"x","")</f>
        <v/>
      </c>
      <c r="Q983" s="85" t="str">
        <f>IF(AND(B983='111'!$L$11,OR($N983=$Q$7,$O983=$Q$7)),"x","")</f>
        <v/>
      </c>
      <c r="R983" s="85" t="str">
        <f>IF(AND($N983=$Q$7,$B983&lt;'111'!$L$11),"x","")</f>
        <v/>
      </c>
      <c r="S983" s="85" t="str">
        <f>IF(AND($O983=$Q$7,$B983&lt;'111'!$L$11),"x","")</f>
        <v/>
      </c>
      <c r="T983" s="85" t="str">
        <f>IF(ISERROR(FIND('112'!$M$9,G983,1)),"",IF((AND(FIND('112'!$M$9,G983,1)&gt;=1,B983='112'!$K$9,OR($N983='112'!$I$6,$O983='112'!$I$6))),"x",""))</f>
        <v/>
      </c>
      <c r="U983" s="85" t="str">
        <f>IF(ISERROR(FIND('112'!$M$9,G983,1)),"",IF((AND(LEFT(G983,2)=LEFT('112'!$M$9,2),B983&lt;'112'!$K$9,$N983='112'!$I$6)),"x",""))</f>
        <v/>
      </c>
      <c r="V983" s="85" t="str">
        <f>IF(ISERROR(FIND('112'!$M$9,G983,1)),"",IF((AND(RIGHT(G983,2)=RIGHT('112'!$M$9,2),B983&lt;'112'!$K$9,$O983='112'!$I$6)),"x",""))</f>
        <v/>
      </c>
      <c r="W983" s="85" t="str">
        <f>IF(AND('341-CT'!$H$9=H983,OR(LEFT(N983,3)=$W$7,LEFT(O983,3)=$W$7)),"x","")</f>
        <v/>
      </c>
      <c r="X983" s="85" t="str">
        <f>IF(OR(TH!N983=TH!$X$7,O983=TH!$X$7),"x","")</f>
        <v/>
      </c>
      <c r="Y983" s="85" t="str">
        <f>IF(AND(OR(N983="131",O983="131"),H983='131-CT'!$H$9),"x","")</f>
        <v/>
      </c>
      <c r="Z983" s="85"/>
      <c r="AA983" s="85" t="str">
        <f>IF(AND(MONTH(E983)='IN-NX'!$J$5,'IN-NX'!$D$7=D983),"x","")</f>
        <v/>
      </c>
      <c r="AB983" s="85" t="str">
        <f>IF(AND(OR(LEFT(TH!N983,2)="15",LEFT(TH!O983,2)="15"),'152-CT'!$J$8=TH!F983),"x","")</f>
        <v/>
      </c>
      <c r="AC983" s="85" t="str">
        <f>IF(AND(OR(LEFT(TH!N983,2)="15",LEFT(TH!O983,2)="15"),TK!$E$7=TH!F983),"x","")</f>
        <v/>
      </c>
      <c r="AD983" s="85" t="str">
        <f>IF(AND(N983="1521",MONTH(C983)='BK-NL'!$M$11),"x","")</f>
        <v/>
      </c>
    </row>
    <row r="984" spans="1:30" ht="15.75" hidden="1" customHeight="1">
      <c r="A984" s="343" t="str">
        <f>IF(B984&lt;&gt;"",IF(AND(B984='IN-TC'!$S$4,OR(TH!N984="1111",TH!O984="1111")),TH!D984,""),"")</f>
        <v/>
      </c>
      <c r="B984" s="63" t="str">
        <f t="shared" si="87"/>
        <v/>
      </c>
      <c r="C984" s="64"/>
      <c r="D984" s="64"/>
      <c r="E984" s="64"/>
      <c r="F984" s="67"/>
      <c r="G984" s="67"/>
      <c r="H984" s="74"/>
      <c r="I984" s="447"/>
      <c r="J984" s="447"/>
      <c r="K984" s="438"/>
      <c r="L984" s="447"/>
      <c r="M984" s="65"/>
      <c r="N984" s="66"/>
      <c r="O984" s="66"/>
      <c r="P984" s="85" t="str">
        <f>IF(AND('331-CT'!$E$7=TH!H984,OR(N984="331",O984="331")),"x","")</f>
        <v/>
      </c>
      <c r="Q984" s="85" t="str">
        <f>IF(AND(B984='111'!$L$11,OR($N984=$Q$7,$O984=$Q$7)),"x","")</f>
        <v/>
      </c>
      <c r="R984" s="85" t="str">
        <f>IF(AND($N984=$Q$7,$B984&lt;'111'!$L$11),"x","")</f>
        <v/>
      </c>
      <c r="S984" s="85" t="str">
        <f>IF(AND($O984=$Q$7,$B984&lt;'111'!$L$11),"x","")</f>
        <v/>
      </c>
      <c r="T984" s="85" t="str">
        <f>IF(ISERROR(FIND('112'!$M$9,G984,1)),"",IF((AND(FIND('112'!$M$9,G984,1)&gt;=1,B984='112'!$K$9,OR($N984='112'!$I$6,$O984='112'!$I$6))),"x",""))</f>
        <v/>
      </c>
      <c r="U984" s="85" t="str">
        <f>IF(ISERROR(FIND('112'!$M$9,G984,1)),"",IF((AND(LEFT(G984,2)=LEFT('112'!$M$9,2),B984&lt;'112'!$K$9,$N984='112'!$I$6)),"x",""))</f>
        <v/>
      </c>
      <c r="V984" s="85" t="str">
        <f>IF(ISERROR(FIND('112'!$M$9,G984,1)),"",IF((AND(RIGHT(G984,2)=RIGHT('112'!$M$9,2),B984&lt;'112'!$K$9,$O984='112'!$I$6)),"x",""))</f>
        <v/>
      </c>
      <c r="W984" s="85" t="str">
        <f>IF(AND('341-CT'!$H$9=H984,OR(LEFT(N984,3)=$W$7,LEFT(O984,3)=$W$7)),"x","")</f>
        <v/>
      </c>
      <c r="X984" s="85" t="str">
        <f>IF(OR(TH!N984=TH!$X$7,O984=TH!$X$7),"x","")</f>
        <v/>
      </c>
      <c r="Y984" s="85" t="str">
        <f>IF(AND(OR(N984="131",O984="131"),H984='131-CT'!$H$9),"x","")</f>
        <v/>
      </c>
      <c r="Z984" s="85"/>
      <c r="AA984" s="85" t="str">
        <f>IF(AND(MONTH(E984)='IN-NX'!$J$5,'IN-NX'!$D$7=D984),"x","")</f>
        <v/>
      </c>
      <c r="AB984" s="85" t="str">
        <f>IF(AND(OR(LEFT(TH!N984,2)="15",LEFT(TH!O984,2)="15"),'152-CT'!$J$8=TH!F984),"x","")</f>
        <v/>
      </c>
      <c r="AC984" s="85" t="str">
        <f>IF(AND(OR(LEFT(TH!N984,2)="15",LEFT(TH!O984,2)="15"),TK!$E$7=TH!F984),"x","")</f>
        <v/>
      </c>
      <c r="AD984" s="85" t="str">
        <f>IF(AND(N984="1521",MONTH(C984)='BK-NL'!$M$11),"x","")</f>
        <v/>
      </c>
    </row>
    <row r="985" spans="1:30" ht="15.75" hidden="1" customHeight="1">
      <c r="A985" s="343" t="str">
        <f>IF(B985&lt;&gt;"",IF(AND(B985='IN-TC'!$S$4,OR(TH!N985="1111",TH!O985="1111")),TH!D985,""),"")</f>
        <v/>
      </c>
      <c r="B985" s="63" t="str">
        <f t="shared" si="87"/>
        <v/>
      </c>
      <c r="C985" s="64"/>
      <c r="D985" s="64"/>
      <c r="E985" s="64"/>
      <c r="F985" s="67"/>
      <c r="G985" s="67"/>
      <c r="H985" s="74"/>
      <c r="I985" s="447"/>
      <c r="J985" s="447"/>
      <c r="K985" s="438"/>
      <c r="L985" s="447"/>
      <c r="M985" s="65"/>
      <c r="N985" s="66"/>
      <c r="O985" s="66"/>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hidden="1" customHeight="1">
      <c r="A986" s="343" t="str">
        <f>IF(B986&lt;&gt;"",IF(AND(B986='IN-TC'!$S$4,OR(TH!N986="1111",TH!O986="1111")),TH!D986,""),"")</f>
        <v/>
      </c>
      <c r="B986" s="63" t="str">
        <f t="shared" si="87"/>
        <v/>
      </c>
      <c r="C986" s="64"/>
      <c r="D986" s="64"/>
      <c r="E986" s="64"/>
      <c r="F986" s="67"/>
      <c r="G986" s="67"/>
      <c r="H986" s="74"/>
      <c r="I986" s="447"/>
      <c r="J986" s="447"/>
      <c r="K986" s="438"/>
      <c r="L986" s="447"/>
      <c r="M986" s="65"/>
      <c r="N986" s="66"/>
      <c r="O986" s="66"/>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hidden="1" customHeight="1">
      <c r="A987" s="343" t="str">
        <f>IF(B987&lt;&gt;"",IF(AND(B987='IN-TC'!$S$4,OR(TH!N987="1111",TH!O987="1111")),TH!D987,""),"")</f>
        <v/>
      </c>
      <c r="B987" s="63" t="str">
        <f t="shared" si="87"/>
        <v/>
      </c>
      <c r="C987" s="64"/>
      <c r="D987" s="64"/>
      <c r="E987" s="64"/>
      <c r="F987" s="67"/>
      <c r="G987" s="67"/>
      <c r="H987" s="74"/>
      <c r="I987" s="447"/>
      <c r="J987" s="447"/>
      <c r="K987" s="438"/>
      <c r="L987" s="447"/>
      <c r="M987" s="65"/>
      <c r="N987" s="66"/>
      <c r="O987" s="66"/>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98" spans="13:13">
      <c r="M998" s="981">
        <f>SUBTOTAL(9,M10:M987)</f>
        <v>194891400</v>
      </c>
    </row>
  </sheetData>
  <autoFilter ref="A9:AA987">
    <filterColumn colId="7">
      <filters>
        <filter val="Cty TNHH Hoá Chất Thành Phương"/>
        <filter val="Cty TNHH Hóa Chất Thành Phương"/>
      </filters>
    </filterColumn>
    <filterColumn colId="14">
      <filters>
        <filter val="331"/>
      </filters>
    </filterColumn>
  </autoFilter>
  <sortState ref="A273:AE732">
    <sortCondition ref="C273:C732"/>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DA112"/>
  <sheetViews>
    <sheetView topLeftCell="A7" workbookViewId="0">
      <pane xSplit="8" ySplit="5" topLeftCell="CM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31" t="s">
        <v>191</v>
      </c>
      <c r="N1" s="1231"/>
      <c r="O1" s="1231"/>
      <c r="P1" s="1231"/>
      <c r="Q1" s="1231"/>
      <c r="R1" s="1231"/>
      <c r="S1" s="1231"/>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32" t="s">
        <v>144</v>
      </c>
      <c r="N2" s="1232"/>
      <c r="O2" s="1232"/>
      <c r="P2" s="1232"/>
      <c r="Q2" s="1232"/>
      <c r="R2" s="1232"/>
      <c r="S2" s="1232"/>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32"/>
      <c r="N3" s="1232"/>
      <c r="O3" s="1232"/>
      <c r="P3" s="1232"/>
      <c r="Q3" s="1232"/>
      <c r="R3" s="1232"/>
      <c r="S3" s="1232"/>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34" t="s">
        <v>192</v>
      </c>
      <c r="C5" s="1234"/>
      <c r="D5" s="1234"/>
      <c r="E5" s="1234"/>
      <c r="F5" s="1234"/>
      <c r="G5" s="1234"/>
      <c r="H5" s="1234"/>
      <c r="I5" s="1234"/>
      <c r="J5" s="1234"/>
      <c r="K5" s="1234"/>
      <c r="L5" s="1234"/>
      <c r="M5" s="1234"/>
      <c r="N5" s="1234"/>
      <c r="O5" s="1234"/>
      <c r="P5" s="1234"/>
      <c r="Q5" s="1234"/>
      <c r="R5" s="1234"/>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35" t="s">
        <v>37</v>
      </c>
      <c r="B7" s="1229" t="s">
        <v>22</v>
      </c>
      <c r="C7" s="1237" t="s">
        <v>1</v>
      </c>
      <c r="D7" s="1238"/>
      <c r="E7" s="1229" t="s">
        <v>0</v>
      </c>
      <c r="F7" s="1229" t="s">
        <v>113</v>
      </c>
      <c r="G7" s="1239" t="s">
        <v>114</v>
      </c>
      <c r="H7" s="1239"/>
      <c r="I7" s="1230" t="s">
        <v>37</v>
      </c>
      <c r="J7" s="1229" t="s">
        <v>193</v>
      </c>
      <c r="K7" s="1229"/>
      <c r="L7" s="1229" t="s">
        <v>194</v>
      </c>
      <c r="M7" s="1229"/>
      <c r="N7" s="1229" t="s">
        <v>269</v>
      </c>
      <c r="O7" s="1229"/>
      <c r="P7" s="1229" t="s">
        <v>980</v>
      </c>
      <c r="Q7" s="1229"/>
      <c r="R7" s="1229" t="s">
        <v>195</v>
      </c>
      <c r="S7" s="1229"/>
      <c r="T7" s="1229" t="s">
        <v>196</v>
      </c>
      <c r="U7" s="1229"/>
      <c r="V7" s="1229" t="s">
        <v>981</v>
      </c>
      <c r="W7" s="1229"/>
      <c r="X7" s="1229" t="s">
        <v>982</v>
      </c>
      <c r="Y7" s="1229"/>
      <c r="Z7" s="1229" t="s">
        <v>983</v>
      </c>
      <c r="AA7" s="1229"/>
      <c r="AB7" s="1229" t="s">
        <v>984</v>
      </c>
      <c r="AC7" s="1229"/>
      <c r="AD7" s="1229" t="s">
        <v>985</v>
      </c>
      <c r="AE7" s="1229"/>
      <c r="AF7" s="1229" t="s">
        <v>986</v>
      </c>
      <c r="AG7" s="1229"/>
      <c r="AH7" s="1229" t="s">
        <v>987</v>
      </c>
      <c r="AI7" s="1229"/>
      <c r="AJ7" s="1229" t="s">
        <v>988</v>
      </c>
      <c r="AK7" s="1229"/>
      <c r="AL7" s="1229" t="s">
        <v>989</v>
      </c>
      <c r="AM7" s="1229"/>
      <c r="AN7" s="1229" t="s">
        <v>990</v>
      </c>
      <c r="AO7" s="1229"/>
      <c r="AP7" s="1229" t="s">
        <v>991</v>
      </c>
      <c r="AQ7" s="1229"/>
      <c r="AR7" s="1229" t="s">
        <v>992</v>
      </c>
      <c r="AS7" s="1229"/>
      <c r="AT7" s="1229" t="s">
        <v>197</v>
      </c>
      <c r="AU7" s="1229"/>
      <c r="AV7" s="1229" t="s">
        <v>198</v>
      </c>
      <c r="AW7" s="1229"/>
      <c r="AX7" s="1229" t="s">
        <v>993</v>
      </c>
      <c r="AY7" s="1229"/>
      <c r="AZ7" s="1229" t="s">
        <v>994</v>
      </c>
      <c r="BA7" s="1229"/>
      <c r="BB7" s="1229" t="s">
        <v>995</v>
      </c>
      <c r="BC7" s="1229"/>
      <c r="BD7" s="1229" t="s">
        <v>199</v>
      </c>
      <c r="BE7" s="1229"/>
      <c r="BF7" s="1229" t="s">
        <v>996</v>
      </c>
      <c r="BG7" s="1229"/>
      <c r="BH7" s="1229" t="s">
        <v>200</v>
      </c>
      <c r="BI7" s="1229"/>
      <c r="BJ7" s="1229" t="s">
        <v>997</v>
      </c>
      <c r="BK7" s="1229"/>
      <c r="BL7" s="1229" t="s">
        <v>998</v>
      </c>
      <c r="BM7" s="1229"/>
      <c r="BN7" s="1229" t="s">
        <v>999</v>
      </c>
      <c r="BO7" s="1229"/>
      <c r="BP7" s="1229" t="s">
        <v>1000</v>
      </c>
      <c r="BQ7" s="1229"/>
      <c r="BR7" s="1229" t="s">
        <v>201</v>
      </c>
      <c r="BS7" s="1229"/>
      <c r="BT7" s="1229" t="s">
        <v>202</v>
      </c>
      <c r="BU7" s="1229"/>
      <c r="BV7" s="1229" t="s">
        <v>264</v>
      </c>
      <c r="BW7" s="1229"/>
      <c r="BX7" s="1229" t="s">
        <v>203</v>
      </c>
      <c r="BY7" s="1229"/>
      <c r="BZ7" s="1229" t="s">
        <v>204</v>
      </c>
      <c r="CA7" s="1229"/>
      <c r="CB7" s="1229" t="s">
        <v>205</v>
      </c>
      <c r="CC7" s="1229"/>
      <c r="CD7" s="1229" t="s">
        <v>1001</v>
      </c>
      <c r="CE7" s="1229"/>
      <c r="CF7" s="1229" t="s">
        <v>1002</v>
      </c>
      <c r="CG7" s="1229"/>
      <c r="CH7" s="1229" t="s">
        <v>206</v>
      </c>
      <c r="CI7" s="1229"/>
      <c r="CJ7" s="1229" t="s">
        <v>1003</v>
      </c>
      <c r="CK7" s="1229"/>
      <c r="CL7" s="1229" t="s">
        <v>1004</v>
      </c>
      <c r="CM7" s="1229"/>
      <c r="CN7" s="1229" t="s">
        <v>207</v>
      </c>
      <c r="CO7" s="1229"/>
      <c r="CP7" s="1229" t="s">
        <v>1005</v>
      </c>
      <c r="CQ7" s="1229"/>
      <c r="CR7" s="1229" t="s">
        <v>208</v>
      </c>
      <c r="CS7" s="1229"/>
      <c r="CT7" s="1229" t="s">
        <v>209</v>
      </c>
      <c r="CU7" s="1229"/>
      <c r="CV7" s="1229" t="s">
        <v>210</v>
      </c>
      <c r="CW7" s="1229"/>
      <c r="CX7" s="1229" t="s">
        <v>211</v>
      </c>
      <c r="CY7" s="1229"/>
      <c r="CZ7" s="1229" t="s">
        <v>212</v>
      </c>
      <c r="DA7" s="1229"/>
    </row>
    <row r="8" spans="1:105" ht="22.5" customHeight="1">
      <c r="A8" s="1236"/>
      <c r="B8" s="1229"/>
      <c r="C8" s="964" t="s">
        <v>17</v>
      </c>
      <c r="D8" s="963" t="s">
        <v>34</v>
      </c>
      <c r="E8" s="1229"/>
      <c r="F8" s="1229"/>
      <c r="G8" s="965" t="s">
        <v>24</v>
      </c>
      <c r="H8" s="965" t="s">
        <v>25</v>
      </c>
      <c r="I8" s="1230"/>
      <c r="J8" s="963" t="s">
        <v>24</v>
      </c>
      <c r="K8" s="963" t="s">
        <v>25</v>
      </c>
      <c r="L8" s="963" t="s">
        <v>24</v>
      </c>
      <c r="M8" s="963" t="s">
        <v>25</v>
      </c>
      <c r="N8" s="963" t="s">
        <v>24</v>
      </c>
      <c r="O8" s="963" t="s">
        <v>25</v>
      </c>
      <c r="P8" s="963" t="s">
        <v>24</v>
      </c>
      <c r="Q8" s="963" t="s">
        <v>25</v>
      </c>
      <c r="R8" s="963" t="s">
        <v>24</v>
      </c>
      <c r="S8" s="963" t="s">
        <v>25</v>
      </c>
      <c r="T8" s="963" t="s">
        <v>24</v>
      </c>
      <c r="U8" s="963" t="s">
        <v>25</v>
      </c>
      <c r="V8" s="963" t="s">
        <v>24</v>
      </c>
      <c r="W8" s="963" t="s">
        <v>25</v>
      </c>
      <c r="X8" s="963" t="s">
        <v>24</v>
      </c>
      <c r="Y8" s="963" t="s">
        <v>25</v>
      </c>
      <c r="Z8" s="963" t="s">
        <v>24</v>
      </c>
      <c r="AA8" s="963" t="s">
        <v>25</v>
      </c>
      <c r="AB8" s="963" t="s">
        <v>24</v>
      </c>
      <c r="AC8" s="963" t="s">
        <v>25</v>
      </c>
      <c r="AD8" s="963" t="s">
        <v>24</v>
      </c>
      <c r="AE8" s="963" t="s">
        <v>25</v>
      </c>
      <c r="AF8" s="963" t="s">
        <v>24</v>
      </c>
      <c r="AG8" s="963" t="s">
        <v>25</v>
      </c>
      <c r="AH8" s="963" t="s">
        <v>24</v>
      </c>
      <c r="AI8" s="963" t="s">
        <v>25</v>
      </c>
      <c r="AJ8" s="963" t="s">
        <v>24</v>
      </c>
      <c r="AK8" s="963" t="s">
        <v>25</v>
      </c>
      <c r="AL8" s="963" t="s">
        <v>24</v>
      </c>
      <c r="AM8" s="963" t="s">
        <v>25</v>
      </c>
      <c r="AN8" s="963" t="s">
        <v>24</v>
      </c>
      <c r="AO8" s="963" t="s">
        <v>25</v>
      </c>
      <c r="AP8" s="963" t="s">
        <v>24</v>
      </c>
      <c r="AQ8" s="963" t="s">
        <v>25</v>
      </c>
      <c r="AR8" s="963" t="s">
        <v>24</v>
      </c>
      <c r="AS8" s="963" t="s">
        <v>25</v>
      </c>
      <c r="AT8" s="963" t="s">
        <v>24</v>
      </c>
      <c r="AU8" s="963" t="s">
        <v>25</v>
      </c>
      <c r="AV8" s="963" t="s">
        <v>24</v>
      </c>
      <c r="AW8" s="963" t="s">
        <v>25</v>
      </c>
      <c r="AX8" s="963" t="s">
        <v>24</v>
      </c>
      <c r="AY8" s="963" t="s">
        <v>25</v>
      </c>
      <c r="AZ8" s="963" t="s">
        <v>24</v>
      </c>
      <c r="BA8" s="963" t="s">
        <v>25</v>
      </c>
      <c r="BB8" s="963" t="s">
        <v>24</v>
      </c>
      <c r="BC8" s="963" t="s">
        <v>25</v>
      </c>
      <c r="BD8" s="963" t="s">
        <v>24</v>
      </c>
      <c r="BE8" s="963" t="s">
        <v>25</v>
      </c>
      <c r="BF8" s="963" t="s">
        <v>24</v>
      </c>
      <c r="BG8" s="963" t="s">
        <v>25</v>
      </c>
      <c r="BH8" s="963" t="s">
        <v>24</v>
      </c>
      <c r="BI8" s="963" t="s">
        <v>25</v>
      </c>
      <c r="BJ8" s="963" t="s">
        <v>24</v>
      </c>
      <c r="BK8" s="963" t="s">
        <v>25</v>
      </c>
      <c r="BL8" s="963" t="s">
        <v>24</v>
      </c>
      <c r="BM8" s="963" t="s">
        <v>25</v>
      </c>
      <c r="BN8" s="963" t="s">
        <v>24</v>
      </c>
      <c r="BO8" s="963" t="s">
        <v>25</v>
      </c>
      <c r="BP8" s="963" t="s">
        <v>24</v>
      </c>
      <c r="BQ8" s="963" t="s">
        <v>25</v>
      </c>
      <c r="BR8" s="963" t="s">
        <v>24</v>
      </c>
      <c r="BS8" s="963" t="s">
        <v>25</v>
      </c>
      <c r="BT8" s="963" t="s">
        <v>24</v>
      </c>
      <c r="BU8" s="963" t="s">
        <v>25</v>
      </c>
      <c r="BV8" s="963" t="s">
        <v>24</v>
      </c>
      <c r="BW8" s="963" t="s">
        <v>25</v>
      </c>
      <c r="BX8" s="963" t="s">
        <v>24</v>
      </c>
      <c r="BY8" s="963" t="s">
        <v>25</v>
      </c>
      <c r="BZ8" s="963" t="s">
        <v>24</v>
      </c>
      <c r="CA8" s="963" t="s">
        <v>25</v>
      </c>
      <c r="CB8" s="963" t="s">
        <v>24</v>
      </c>
      <c r="CC8" s="963" t="s">
        <v>25</v>
      </c>
      <c r="CD8" s="963" t="s">
        <v>24</v>
      </c>
      <c r="CE8" s="963" t="s">
        <v>25</v>
      </c>
      <c r="CF8" s="963" t="s">
        <v>24</v>
      </c>
      <c r="CG8" s="963" t="s">
        <v>25</v>
      </c>
      <c r="CH8" s="963" t="s">
        <v>24</v>
      </c>
      <c r="CI8" s="963" t="s">
        <v>25</v>
      </c>
      <c r="CJ8" s="963" t="s">
        <v>24</v>
      </c>
      <c r="CK8" s="963" t="s">
        <v>25</v>
      </c>
      <c r="CL8" s="963" t="s">
        <v>24</v>
      </c>
      <c r="CM8" s="963" t="s">
        <v>25</v>
      </c>
      <c r="CN8" s="963" t="s">
        <v>24</v>
      </c>
      <c r="CO8" s="963" t="s">
        <v>25</v>
      </c>
      <c r="CP8" s="963" t="s">
        <v>24</v>
      </c>
      <c r="CQ8" s="963" t="s">
        <v>25</v>
      </c>
      <c r="CR8" s="963" t="s">
        <v>24</v>
      </c>
      <c r="CS8" s="963" t="s">
        <v>25</v>
      </c>
      <c r="CT8" s="963" t="s">
        <v>24</v>
      </c>
      <c r="CU8" s="963" t="s">
        <v>25</v>
      </c>
      <c r="CV8" s="963" t="s">
        <v>24</v>
      </c>
      <c r="CW8" s="963" t="s">
        <v>25</v>
      </c>
      <c r="CX8" s="963" t="s">
        <v>24</v>
      </c>
      <c r="CY8" s="963" t="s">
        <v>25</v>
      </c>
      <c r="CZ8" s="963" t="s">
        <v>24</v>
      </c>
      <c r="DA8" s="963"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2" t="s">
        <v>214</v>
      </c>
      <c r="F39" s="983">
        <f>[2]CDPS!D59</f>
        <v>107861885.00000048</v>
      </c>
      <c r="G39" s="984" t="s">
        <v>94</v>
      </c>
      <c r="H39" s="984"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2" t="s">
        <v>937</v>
      </c>
      <c r="F40" s="983">
        <f ca="1">AY52</f>
        <v>0</v>
      </c>
      <c r="G40" s="984" t="s">
        <v>942</v>
      </c>
      <c r="H40" s="984"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2" t="s">
        <v>938</v>
      </c>
      <c r="F41" s="983">
        <f ca="1">CL52</f>
        <v>0</v>
      </c>
      <c r="G41" s="984" t="s">
        <v>109</v>
      </c>
      <c r="H41" s="984"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2" t="s">
        <v>116</v>
      </c>
      <c r="F42" s="983">
        <f ca="1">CN52</f>
        <v>0</v>
      </c>
      <c r="G42" s="984" t="s">
        <v>109</v>
      </c>
      <c r="H42" s="984"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2" t="s">
        <v>939</v>
      </c>
      <c r="F43" s="983">
        <f ca="1">CP52</f>
        <v>0</v>
      </c>
      <c r="G43" s="984" t="s">
        <v>109</v>
      </c>
      <c r="H43" s="984"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2" t="s">
        <v>117</v>
      </c>
      <c r="F44" s="983">
        <f ca="1">CR52</f>
        <v>0</v>
      </c>
      <c r="G44" s="984" t="s">
        <v>109</v>
      </c>
      <c r="H44" s="984"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2" t="s">
        <v>215</v>
      </c>
      <c r="F45" s="983"/>
      <c r="G45" s="984" t="s">
        <v>109</v>
      </c>
      <c r="H45" s="984"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2" t="s">
        <v>118</v>
      </c>
      <c r="F46" s="983">
        <f ca="1">CI52</f>
        <v>0</v>
      </c>
      <c r="G46" s="984" t="s">
        <v>43</v>
      </c>
      <c r="H46" s="984"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2" t="s">
        <v>940</v>
      </c>
      <c r="F47" s="983">
        <f ca="1">CE52</f>
        <v>0</v>
      </c>
      <c r="G47" s="984" t="s">
        <v>297</v>
      </c>
      <c r="H47" s="984"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2" t="s">
        <v>941</v>
      </c>
      <c r="F48" s="983">
        <f ca="1">CG52</f>
        <v>0</v>
      </c>
      <c r="G48" s="984" t="s">
        <v>299</v>
      </c>
      <c r="H48" s="984"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2" t="s">
        <v>119</v>
      </c>
      <c r="F49" s="983">
        <f ca="1">CU52</f>
        <v>0</v>
      </c>
      <c r="G49" s="984" t="s">
        <v>103</v>
      </c>
      <c r="H49" s="984"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2" t="s">
        <v>120</v>
      </c>
      <c r="F50" s="983">
        <f ca="1">CV52</f>
        <v>0</v>
      </c>
      <c r="G50" s="984" t="s">
        <v>109</v>
      </c>
      <c r="H50" s="984"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CR7:CS7"/>
    <mergeCell ref="CT7:CU7"/>
    <mergeCell ref="CV7:CW7"/>
    <mergeCell ref="CX7:CY7"/>
    <mergeCell ref="CZ7:DA7"/>
    <mergeCell ref="CH7:CI7"/>
    <mergeCell ref="CJ7:CK7"/>
    <mergeCell ref="CL7:CM7"/>
    <mergeCell ref="CN7:CO7"/>
    <mergeCell ref="CP7:CQ7"/>
    <mergeCell ref="BX7:BY7"/>
    <mergeCell ref="BZ7:CA7"/>
    <mergeCell ref="CB7:CC7"/>
    <mergeCell ref="CD7:CE7"/>
    <mergeCell ref="CF7:CG7"/>
    <mergeCell ref="BV7:BW7"/>
    <mergeCell ref="BL7:BM7"/>
    <mergeCell ref="BN7:BO7"/>
    <mergeCell ref="BP7:BQ7"/>
    <mergeCell ref="BR7:BS7"/>
    <mergeCell ref="BT7:BU7"/>
    <mergeCell ref="BB7:BC7"/>
    <mergeCell ref="BD7:BE7"/>
    <mergeCell ref="BF7:BG7"/>
    <mergeCell ref="BH7:BI7"/>
    <mergeCell ref="BJ7:BK7"/>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DA114"/>
  <sheetViews>
    <sheetView topLeftCell="A7" workbookViewId="0">
      <pane xSplit="8" ySplit="5" topLeftCell="CL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31" t="str">
        <f>'SC-I'!M1:S1</f>
        <v>Mẫu số S01-DN</v>
      </c>
      <c r="N1" s="1231"/>
      <c r="O1" s="1231"/>
      <c r="P1" s="1231"/>
      <c r="Q1" s="1231"/>
      <c r="R1" s="1231"/>
      <c r="S1" s="1231"/>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32" t="str">
        <f>'SC-I'!M2:S3</f>
        <v>(Ban hành theo Thông tư số 200/2014/TT-BTC  Ngày 22/12/2014 của Bộ Tài chính)</v>
      </c>
      <c r="N2" s="1232"/>
      <c r="O2" s="1232"/>
      <c r="P2" s="1232"/>
      <c r="Q2" s="1232"/>
      <c r="R2" s="1232"/>
      <c r="S2" s="1232"/>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32"/>
      <c r="N3" s="1232"/>
      <c r="O3" s="1232"/>
      <c r="P3" s="1232"/>
      <c r="Q3" s="1232"/>
      <c r="R3" s="1232"/>
      <c r="S3" s="1232"/>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34" t="s">
        <v>220</v>
      </c>
      <c r="C5" s="1234"/>
      <c r="D5" s="1234"/>
      <c r="E5" s="1234"/>
      <c r="F5" s="1234"/>
      <c r="G5" s="1234"/>
      <c r="H5" s="1234"/>
      <c r="I5" s="1234"/>
      <c r="J5" s="1234"/>
      <c r="K5" s="1234"/>
      <c r="L5" s="1234"/>
      <c r="M5" s="1234"/>
      <c r="N5" s="1234"/>
      <c r="O5" s="1234"/>
      <c r="P5" s="1234"/>
      <c r="Q5" s="1234"/>
      <c r="R5" s="1234"/>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35" t="s">
        <v>37</v>
      </c>
      <c r="B7" s="1229" t="s">
        <v>22</v>
      </c>
      <c r="C7" s="1237" t="s">
        <v>1</v>
      </c>
      <c r="D7" s="1238"/>
      <c r="E7" s="1229" t="s">
        <v>0</v>
      </c>
      <c r="F7" s="1229" t="s">
        <v>113</v>
      </c>
      <c r="G7" s="1239" t="s">
        <v>114</v>
      </c>
      <c r="H7" s="1239"/>
      <c r="I7" s="1230" t="s">
        <v>37</v>
      </c>
      <c r="J7" s="1229" t="s">
        <v>193</v>
      </c>
      <c r="K7" s="1229"/>
      <c r="L7" s="1229" t="s">
        <v>194</v>
      </c>
      <c r="M7" s="1229"/>
      <c r="N7" s="1229" t="s">
        <v>269</v>
      </c>
      <c r="O7" s="1229"/>
      <c r="P7" s="1229" t="s">
        <v>980</v>
      </c>
      <c r="Q7" s="1229"/>
      <c r="R7" s="1229" t="s">
        <v>195</v>
      </c>
      <c r="S7" s="1229"/>
      <c r="T7" s="1229" t="s">
        <v>196</v>
      </c>
      <c r="U7" s="1229"/>
      <c r="V7" s="1229" t="s">
        <v>981</v>
      </c>
      <c r="W7" s="1229"/>
      <c r="X7" s="1229" t="s">
        <v>982</v>
      </c>
      <c r="Y7" s="1229"/>
      <c r="Z7" s="1229" t="s">
        <v>983</v>
      </c>
      <c r="AA7" s="1229"/>
      <c r="AB7" s="1229" t="s">
        <v>984</v>
      </c>
      <c r="AC7" s="1229"/>
      <c r="AD7" s="1229" t="s">
        <v>985</v>
      </c>
      <c r="AE7" s="1229"/>
      <c r="AF7" s="1229" t="s">
        <v>986</v>
      </c>
      <c r="AG7" s="1229"/>
      <c r="AH7" s="1229" t="s">
        <v>987</v>
      </c>
      <c r="AI7" s="1229"/>
      <c r="AJ7" s="1229" t="s">
        <v>988</v>
      </c>
      <c r="AK7" s="1229"/>
      <c r="AL7" s="1229" t="s">
        <v>989</v>
      </c>
      <c r="AM7" s="1229"/>
      <c r="AN7" s="1229" t="s">
        <v>990</v>
      </c>
      <c r="AO7" s="1229"/>
      <c r="AP7" s="1229" t="s">
        <v>991</v>
      </c>
      <c r="AQ7" s="1229"/>
      <c r="AR7" s="1229" t="s">
        <v>992</v>
      </c>
      <c r="AS7" s="1229"/>
      <c r="AT7" s="1229" t="s">
        <v>197</v>
      </c>
      <c r="AU7" s="1229"/>
      <c r="AV7" s="1229" t="s">
        <v>198</v>
      </c>
      <c r="AW7" s="1229"/>
      <c r="AX7" s="1229" t="s">
        <v>993</v>
      </c>
      <c r="AY7" s="1229"/>
      <c r="AZ7" s="1229" t="s">
        <v>994</v>
      </c>
      <c r="BA7" s="1229"/>
      <c r="BB7" s="1229" t="s">
        <v>995</v>
      </c>
      <c r="BC7" s="1229"/>
      <c r="BD7" s="1229" t="s">
        <v>199</v>
      </c>
      <c r="BE7" s="1229"/>
      <c r="BF7" s="1229" t="s">
        <v>996</v>
      </c>
      <c r="BG7" s="1229"/>
      <c r="BH7" s="1229" t="s">
        <v>200</v>
      </c>
      <c r="BI7" s="1229"/>
      <c r="BJ7" s="1229" t="s">
        <v>997</v>
      </c>
      <c r="BK7" s="1229"/>
      <c r="BL7" s="1229" t="s">
        <v>998</v>
      </c>
      <c r="BM7" s="1229"/>
      <c r="BN7" s="1229" t="s">
        <v>999</v>
      </c>
      <c r="BO7" s="1229"/>
      <c r="BP7" s="1229" t="s">
        <v>1000</v>
      </c>
      <c r="BQ7" s="1229"/>
      <c r="BR7" s="1229" t="s">
        <v>201</v>
      </c>
      <c r="BS7" s="1229"/>
      <c r="BT7" s="1229" t="s">
        <v>202</v>
      </c>
      <c r="BU7" s="1229"/>
      <c r="BV7" s="1229" t="s">
        <v>264</v>
      </c>
      <c r="BW7" s="1229"/>
      <c r="BX7" s="1229" t="s">
        <v>203</v>
      </c>
      <c r="BY7" s="1229"/>
      <c r="BZ7" s="1229" t="s">
        <v>204</v>
      </c>
      <c r="CA7" s="1229"/>
      <c r="CB7" s="1229" t="s">
        <v>205</v>
      </c>
      <c r="CC7" s="1229"/>
      <c r="CD7" s="1229" t="s">
        <v>1001</v>
      </c>
      <c r="CE7" s="1229"/>
      <c r="CF7" s="1229" t="s">
        <v>1002</v>
      </c>
      <c r="CG7" s="1229"/>
      <c r="CH7" s="1229" t="s">
        <v>206</v>
      </c>
      <c r="CI7" s="1229"/>
      <c r="CJ7" s="1229" t="s">
        <v>1003</v>
      </c>
      <c r="CK7" s="1229"/>
      <c r="CL7" s="1229" t="s">
        <v>1004</v>
      </c>
      <c r="CM7" s="1229"/>
      <c r="CN7" s="1229" t="s">
        <v>207</v>
      </c>
      <c r="CO7" s="1229"/>
      <c r="CP7" s="1229" t="s">
        <v>1005</v>
      </c>
      <c r="CQ7" s="1229"/>
      <c r="CR7" s="1229" t="s">
        <v>208</v>
      </c>
      <c r="CS7" s="1229"/>
      <c r="CT7" s="1229" t="s">
        <v>209</v>
      </c>
      <c r="CU7" s="1229"/>
      <c r="CV7" s="1229" t="s">
        <v>210</v>
      </c>
      <c r="CW7" s="1229"/>
      <c r="CX7" s="1229" t="s">
        <v>211</v>
      </c>
      <c r="CY7" s="1229"/>
      <c r="CZ7" s="1229" t="s">
        <v>212</v>
      </c>
      <c r="DA7" s="1229"/>
    </row>
    <row r="8" spans="1:105" ht="22.5" customHeight="1">
      <c r="A8" s="1236"/>
      <c r="B8" s="1229"/>
      <c r="C8" s="1006" t="s">
        <v>17</v>
      </c>
      <c r="D8" s="1005" t="s">
        <v>34</v>
      </c>
      <c r="E8" s="1229"/>
      <c r="F8" s="1229"/>
      <c r="G8" s="1007" t="s">
        <v>24</v>
      </c>
      <c r="H8" s="1007" t="s">
        <v>25</v>
      </c>
      <c r="I8" s="1230"/>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2"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2"/>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2"/>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2"/>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2"/>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2"/>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2"/>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2"/>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2" t="s">
        <v>937</v>
      </c>
      <c r="F40" s="983">
        <f ca="1">AY52</f>
        <v>0</v>
      </c>
      <c r="G40" s="984" t="s">
        <v>942</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2" t="s">
        <v>938</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2" t="s">
        <v>939</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2" t="s">
        <v>940</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2" t="s">
        <v>941</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31" t="s">
        <v>191</v>
      </c>
      <c r="L1" s="1231"/>
      <c r="M1" s="1231"/>
      <c r="N1" s="1231"/>
      <c r="O1" s="1231"/>
      <c r="P1" s="1231"/>
      <c r="Q1" s="1231"/>
      <c r="R1" s="256"/>
      <c r="T1" s="255"/>
      <c r="U1" s="255"/>
      <c r="V1" s="255"/>
      <c r="W1" s="255"/>
      <c r="X1" s="255"/>
      <c r="Y1" s="255"/>
      <c r="Z1" s="255"/>
      <c r="AA1" s="255"/>
      <c r="AB1" s="255"/>
      <c r="AC1" s="255"/>
      <c r="AD1" s="255"/>
      <c r="AE1" s="255"/>
      <c r="AF1" s="432"/>
      <c r="AG1" s="432"/>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32" t="s">
        <v>144</v>
      </c>
      <c r="L2" s="1232"/>
      <c r="M2" s="1232"/>
      <c r="N2" s="1232"/>
      <c r="O2" s="1232"/>
      <c r="P2" s="1232"/>
      <c r="Q2" s="1232"/>
      <c r="R2" s="260"/>
      <c r="T2" s="259"/>
      <c r="U2" s="259"/>
      <c r="V2" s="259"/>
      <c r="W2" s="259"/>
      <c r="X2" s="259"/>
      <c r="Y2" s="259"/>
      <c r="Z2" s="259"/>
      <c r="AA2" s="259"/>
      <c r="AB2" s="259"/>
      <c r="AC2" s="259"/>
      <c r="AD2" s="259"/>
      <c r="AE2" s="259"/>
      <c r="AF2" s="433"/>
      <c r="AG2" s="433"/>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32"/>
      <c r="L3" s="1232"/>
      <c r="M3" s="1232"/>
      <c r="N3" s="1232"/>
      <c r="O3" s="1232"/>
      <c r="P3" s="1232"/>
      <c r="Q3" s="1232"/>
      <c r="R3" s="260"/>
      <c r="T3" s="259"/>
      <c r="U3" s="259"/>
      <c r="V3" s="259"/>
      <c r="W3" s="259"/>
      <c r="X3" s="259"/>
      <c r="Y3" s="259"/>
      <c r="Z3" s="259"/>
      <c r="AA3" s="259"/>
      <c r="AB3" s="259"/>
      <c r="AC3" s="259"/>
      <c r="AD3" s="259"/>
      <c r="AE3" s="259"/>
      <c r="AF3" s="433"/>
      <c r="AG3" s="433"/>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34" t="s">
        <v>222</v>
      </c>
      <c r="C5" s="1234"/>
      <c r="D5" s="1234"/>
      <c r="E5" s="1234"/>
      <c r="F5" s="1234"/>
      <c r="G5" s="1234"/>
      <c r="H5" s="1234"/>
      <c r="I5" s="1234"/>
      <c r="J5" s="1234"/>
      <c r="K5" s="1234"/>
      <c r="L5" s="1234"/>
      <c r="M5" s="1234"/>
      <c r="N5" s="1234"/>
      <c r="O5" s="1234"/>
      <c r="P5" s="1234"/>
      <c r="Q5" s="1234"/>
      <c r="R5" s="1234"/>
      <c r="S5" s="265"/>
      <c r="AP5" s="265"/>
      <c r="AQ5" s="265"/>
    </row>
    <row r="7" spans="1:105" ht="13.5" customHeight="1">
      <c r="A7" s="1235" t="s">
        <v>37</v>
      </c>
      <c r="B7" s="1229" t="s">
        <v>22</v>
      </c>
      <c r="C7" s="1237" t="s">
        <v>1</v>
      </c>
      <c r="D7" s="1238"/>
      <c r="E7" s="1229" t="s">
        <v>0</v>
      </c>
      <c r="F7" s="1229" t="s">
        <v>113</v>
      </c>
      <c r="G7" s="1239" t="s">
        <v>114</v>
      </c>
      <c r="H7" s="1239"/>
      <c r="I7" s="1230" t="s">
        <v>37</v>
      </c>
      <c r="J7" s="1229" t="s">
        <v>193</v>
      </c>
      <c r="K7" s="1229"/>
      <c r="L7" s="1229" t="s">
        <v>194</v>
      </c>
      <c r="M7" s="1229"/>
      <c r="N7" s="1229" t="s">
        <v>269</v>
      </c>
      <c r="O7" s="1229"/>
      <c r="P7" s="1229" t="s">
        <v>980</v>
      </c>
      <c r="Q7" s="1229"/>
      <c r="R7" s="1229" t="s">
        <v>195</v>
      </c>
      <c r="S7" s="1229"/>
      <c r="T7" s="1229" t="s">
        <v>196</v>
      </c>
      <c r="U7" s="1229"/>
      <c r="V7" s="1229" t="s">
        <v>981</v>
      </c>
      <c r="W7" s="1229"/>
      <c r="X7" s="1229" t="s">
        <v>982</v>
      </c>
      <c r="Y7" s="1229"/>
      <c r="Z7" s="1229" t="s">
        <v>983</v>
      </c>
      <c r="AA7" s="1229"/>
      <c r="AB7" s="1229" t="s">
        <v>984</v>
      </c>
      <c r="AC7" s="1229"/>
      <c r="AD7" s="1229" t="s">
        <v>985</v>
      </c>
      <c r="AE7" s="1229"/>
      <c r="AF7" s="1229" t="s">
        <v>986</v>
      </c>
      <c r="AG7" s="1229"/>
      <c r="AH7" s="1229" t="s">
        <v>987</v>
      </c>
      <c r="AI7" s="1229"/>
      <c r="AJ7" s="1229" t="s">
        <v>988</v>
      </c>
      <c r="AK7" s="1229"/>
      <c r="AL7" s="1229" t="s">
        <v>989</v>
      </c>
      <c r="AM7" s="1229"/>
      <c r="AN7" s="1229" t="s">
        <v>990</v>
      </c>
      <c r="AO7" s="1229"/>
      <c r="AP7" s="1229" t="s">
        <v>991</v>
      </c>
      <c r="AQ7" s="1229"/>
      <c r="AR7" s="1229" t="s">
        <v>992</v>
      </c>
      <c r="AS7" s="1229"/>
      <c r="AT7" s="1229" t="s">
        <v>197</v>
      </c>
      <c r="AU7" s="1229"/>
      <c r="AV7" s="1229" t="s">
        <v>198</v>
      </c>
      <c r="AW7" s="1229"/>
      <c r="AX7" s="1229" t="s">
        <v>993</v>
      </c>
      <c r="AY7" s="1229"/>
      <c r="AZ7" s="1229" t="s">
        <v>994</v>
      </c>
      <c r="BA7" s="1229"/>
      <c r="BB7" s="1229" t="s">
        <v>995</v>
      </c>
      <c r="BC7" s="1229"/>
      <c r="BD7" s="1229" t="s">
        <v>199</v>
      </c>
      <c r="BE7" s="1229"/>
      <c r="BF7" s="1229" t="s">
        <v>996</v>
      </c>
      <c r="BG7" s="1229"/>
      <c r="BH7" s="1229" t="s">
        <v>200</v>
      </c>
      <c r="BI7" s="1229"/>
      <c r="BJ7" s="1229" t="s">
        <v>997</v>
      </c>
      <c r="BK7" s="1229"/>
      <c r="BL7" s="1229" t="s">
        <v>998</v>
      </c>
      <c r="BM7" s="1229"/>
      <c r="BN7" s="1229" t="s">
        <v>999</v>
      </c>
      <c r="BO7" s="1229"/>
      <c r="BP7" s="1229" t="s">
        <v>1000</v>
      </c>
      <c r="BQ7" s="1229"/>
      <c r="BR7" s="1229" t="s">
        <v>201</v>
      </c>
      <c r="BS7" s="1229"/>
      <c r="BT7" s="1229" t="s">
        <v>202</v>
      </c>
      <c r="BU7" s="1229"/>
      <c r="BV7" s="1229" t="s">
        <v>264</v>
      </c>
      <c r="BW7" s="1229"/>
      <c r="BX7" s="1229" t="s">
        <v>203</v>
      </c>
      <c r="BY7" s="1229"/>
      <c r="BZ7" s="1229" t="s">
        <v>204</v>
      </c>
      <c r="CA7" s="1229"/>
      <c r="CB7" s="1229" t="s">
        <v>205</v>
      </c>
      <c r="CC7" s="1229"/>
      <c r="CD7" s="1229" t="s">
        <v>1001</v>
      </c>
      <c r="CE7" s="1229"/>
      <c r="CF7" s="1229" t="s">
        <v>1002</v>
      </c>
      <c r="CG7" s="1229"/>
      <c r="CH7" s="1229" t="s">
        <v>206</v>
      </c>
      <c r="CI7" s="1229"/>
      <c r="CJ7" s="1229" t="s">
        <v>1003</v>
      </c>
      <c r="CK7" s="1229"/>
      <c r="CL7" s="1229" t="s">
        <v>1004</v>
      </c>
      <c r="CM7" s="1229"/>
      <c r="CN7" s="1229" t="s">
        <v>207</v>
      </c>
      <c r="CO7" s="1229"/>
      <c r="CP7" s="1229" t="s">
        <v>1005</v>
      </c>
      <c r="CQ7" s="1229"/>
      <c r="CR7" s="1229" t="s">
        <v>208</v>
      </c>
      <c r="CS7" s="1229"/>
      <c r="CT7" s="1229" t="s">
        <v>209</v>
      </c>
      <c r="CU7" s="1229"/>
      <c r="CV7" s="1229" t="s">
        <v>210</v>
      </c>
      <c r="CW7" s="1229"/>
      <c r="CX7" s="1229" t="s">
        <v>211</v>
      </c>
      <c r="CY7" s="1229"/>
      <c r="CZ7" s="1229" t="s">
        <v>212</v>
      </c>
      <c r="DA7" s="1229"/>
    </row>
    <row r="8" spans="1:105" ht="22.5" customHeight="1">
      <c r="A8" s="1236"/>
      <c r="B8" s="1229"/>
      <c r="C8" s="1006" t="s">
        <v>17</v>
      </c>
      <c r="D8" s="1005" t="s">
        <v>34</v>
      </c>
      <c r="E8" s="1229"/>
      <c r="F8" s="1229"/>
      <c r="G8" s="1007" t="s">
        <v>24</v>
      </c>
      <c r="H8" s="1007" t="s">
        <v>25</v>
      </c>
      <c r="I8" s="1230"/>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2"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2"/>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2"/>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2" t="s">
        <v>937</v>
      </c>
      <c r="F40" s="983">
        <f ca="1">AY52</f>
        <v>0</v>
      </c>
      <c r="G40" s="984" t="s">
        <v>942</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2" t="s">
        <v>938</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2" t="s">
        <v>939</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2" t="s">
        <v>940</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2" t="s">
        <v>941</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31" t="s">
        <v>191</v>
      </c>
      <c r="M1" s="1231"/>
      <c r="N1" s="1231"/>
      <c r="O1" s="1231"/>
      <c r="P1" s="1231"/>
      <c r="Q1" s="1231"/>
      <c r="R1" s="361"/>
      <c r="T1" s="255"/>
      <c r="U1" s="255"/>
      <c r="V1" s="255"/>
      <c r="W1" s="255"/>
      <c r="X1" s="255"/>
      <c r="Y1" s="255"/>
      <c r="Z1" s="255"/>
      <c r="AA1" s="255"/>
      <c r="AB1" s="255"/>
      <c r="AC1" s="255"/>
      <c r="AD1" s="255"/>
      <c r="AE1" s="255"/>
      <c r="AF1" s="432"/>
      <c r="AG1" s="432"/>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32" t="s">
        <v>144</v>
      </c>
      <c r="M2" s="1232"/>
      <c r="N2" s="1232"/>
      <c r="O2" s="1232"/>
      <c r="P2" s="1232"/>
      <c r="Q2" s="1232"/>
      <c r="R2" s="362"/>
      <c r="T2" s="259"/>
      <c r="U2" s="259"/>
      <c r="V2" s="259"/>
      <c r="W2" s="259"/>
      <c r="X2" s="259"/>
      <c r="Y2" s="259"/>
      <c r="Z2" s="259"/>
      <c r="AA2" s="259"/>
      <c r="AB2" s="259"/>
      <c r="AC2" s="259"/>
      <c r="AD2" s="259"/>
      <c r="AE2" s="259"/>
      <c r="AF2" s="433"/>
      <c r="AG2" s="433"/>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32"/>
      <c r="M3" s="1232"/>
      <c r="N3" s="1232"/>
      <c r="O3" s="1232"/>
      <c r="P3" s="1232"/>
      <c r="Q3" s="1232"/>
      <c r="R3" s="362"/>
      <c r="T3" s="259"/>
      <c r="U3" s="259"/>
      <c r="V3" s="259"/>
      <c r="W3" s="259"/>
      <c r="X3" s="259"/>
      <c r="Y3" s="259"/>
      <c r="Z3" s="259"/>
      <c r="AA3" s="259"/>
      <c r="AB3" s="259"/>
      <c r="AC3" s="259"/>
      <c r="AD3" s="259"/>
      <c r="AE3" s="259"/>
      <c r="AF3" s="433"/>
      <c r="AG3" s="433"/>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33" t="s">
        <v>112</v>
      </c>
      <c r="C4" s="1233"/>
      <c r="D4" s="1233"/>
      <c r="E4" s="1233"/>
      <c r="F4" s="1233"/>
      <c r="G4" s="1233"/>
      <c r="H4" s="1233"/>
      <c r="I4" s="1233"/>
      <c r="J4" s="1233"/>
      <c r="K4" s="1233"/>
      <c r="L4" s="1233"/>
      <c r="M4" s="1233"/>
      <c r="N4" s="1233"/>
      <c r="O4" s="1233"/>
      <c r="P4" s="1233"/>
      <c r="Q4" s="1233"/>
      <c r="R4" s="1233"/>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34" t="s">
        <v>224</v>
      </c>
      <c r="C5" s="1234"/>
      <c r="D5" s="1234"/>
      <c r="E5" s="1234"/>
      <c r="F5" s="1234"/>
      <c r="G5" s="1234"/>
      <c r="H5" s="1234"/>
      <c r="I5" s="1234"/>
      <c r="J5" s="1234"/>
      <c r="K5" s="1234"/>
      <c r="L5" s="1234"/>
      <c r="M5" s="1234"/>
      <c r="N5" s="1234"/>
      <c r="O5" s="1234"/>
      <c r="P5" s="1234"/>
      <c r="Q5" s="1234"/>
      <c r="R5" s="1234"/>
      <c r="S5" s="265"/>
    </row>
    <row r="7" spans="1:105" ht="13.5" customHeight="1">
      <c r="A7" s="1235" t="s">
        <v>37</v>
      </c>
      <c r="B7" s="1229" t="s">
        <v>22</v>
      </c>
      <c r="C7" s="1237" t="s">
        <v>1</v>
      </c>
      <c r="D7" s="1238"/>
      <c r="E7" s="1229" t="s">
        <v>0</v>
      </c>
      <c r="F7" s="1229" t="s">
        <v>113</v>
      </c>
      <c r="G7" s="1239" t="s">
        <v>114</v>
      </c>
      <c r="H7" s="1239"/>
      <c r="I7" s="1230" t="s">
        <v>37</v>
      </c>
      <c r="J7" s="1229" t="s">
        <v>193</v>
      </c>
      <c r="K7" s="1229"/>
      <c r="L7" s="1229" t="s">
        <v>194</v>
      </c>
      <c r="M7" s="1229"/>
      <c r="N7" s="1229" t="s">
        <v>269</v>
      </c>
      <c r="O7" s="1229"/>
      <c r="P7" s="1229" t="s">
        <v>980</v>
      </c>
      <c r="Q7" s="1229"/>
      <c r="R7" s="1229" t="s">
        <v>195</v>
      </c>
      <c r="S7" s="1229"/>
      <c r="T7" s="1229" t="s">
        <v>196</v>
      </c>
      <c r="U7" s="1229"/>
      <c r="V7" s="1229" t="s">
        <v>981</v>
      </c>
      <c r="W7" s="1229"/>
      <c r="X7" s="1229" t="s">
        <v>982</v>
      </c>
      <c r="Y7" s="1229"/>
      <c r="Z7" s="1229" t="s">
        <v>983</v>
      </c>
      <c r="AA7" s="1229"/>
      <c r="AB7" s="1229" t="s">
        <v>984</v>
      </c>
      <c r="AC7" s="1229"/>
      <c r="AD7" s="1229" t="s">
        <v>985</v>
      </c>
      <c r="AE7" s="1229"/>
      <c r="AF7" s="1229" t="s">
        <v>986</v>
      </c>
      <c r="AG7" s="1229"/>
      <c r="AH7" s="1229" t="s">
        <v>987</v>
      </c>
      <c r="AI7" s="1229"/>
      <c r="AJ7" s="1229" t="s">
        <v>988</v>
      </c>
      <c r="AK7" s="1229"/>
      <c r="AL7" s="1229" t="s">
        <v>989</v>
      </c>
      <c r="AM7" s="1229"/>
      <c r="AN7" s="1229" t="s">
        <v>990</v>
      </c>
      <c r="AO7" s="1229"/>
      <c r="AP7" s="1229" t="s">
        <v>991</v>
      </c>
      <c r="AQ7" s="1229"/>
      <c r="AR7" s="1229" t="s">
        <v>992</v>
      </c>
      <c r="AS7" s="1229"/>
      <c r="AT7" s="1229" t="s">
        <v>197</v>
      </c>
      <c r="AU7" s="1229"/>
      <c r="AV7" s="1229" t="s">
        <v>198</v>
      </c>
      <c r="AW7" s="1229"/>
      <c r="AX7" s="1229" t="s">
        <v>993</v>
      </c>
      <c r="AY7" s="1229"/>
      <c r="AZ7" s="1229" t="s">
        <v>994</v>
      </c>
      <c r="BA7" s="1229"/>
      <c r="BB7" s="1229" t="s">
        <v>995</v>
      </c>
      <c r="BC7" s="1229"/>
      <c r="BD7" s="1229" t="s">
        <v>199</v>
      </c>
      <c r="BE7" s="1229"/>
      <c r="BF7" s="1229" t="s">
        <v>996</v>
      </c>
      <c r="BG7" s="1229"/>
      <c r="BH7" s="1229" t="s">
        <v>200</v>
      </c>
      <c r="BI7" s="1229"/>
      <c r="BJ7" s="1229" t="s">
        <v>997</v>
      </c>
      <c r="BK7" s="1229"/>
      <c r="BL7" s="1229" t="s">
        <v>998</v>
      </c>
      <c r="BM7" s="1229"/>
      <c r="BN7" s="1229" t="s">
        <v>999</v>
      </c>
      <c r="BO7" s="1229"/>
      <c r="BP7" s="1229" t="s">
        <v>1000</v>
      </c>
      <c r="BQ7" s="1229"/>
      <c r="BR7" s="1229" t="s">
        <v>201</v>
      </c>
      <c r="BS7" s="1229"/>
      <c r="BT7" s="1229" t="s">
        <v>202</v>
      </c>
      <c r="BU7" s="1229"/>
      <c r="BV7" s="1229" t="s">
        <v>264</v>
      </c>
      <c r="BW7" s="1229"/>
      <c r="BX7" s="1229" t="s">
        <v>203</v>
      </c>
      <c r="BY7" s="1229"/>
      <c r="BZ7" s="1229" t="s">
        <v>204</v>
      </c>
      <c r="CA7" s="1229"/>
      <c r="CB7" s="1229" t="s">
        <v>205</v>
      </c>
      <c r="CC7" s="1229"/>
      <c r="CD7" s="1229" t="s">
        <v>1001</v>
      </c>
      <c r="CE7" s="1229"/>
      <c r="CF7" s="1229" t="s">
        <v>1002</v>
      </c>
      <c r="CG7" s="1229"/>
      <c r="CH7" s="1229" t="s">
        <v>206</v>
      </c>
      <c r="CI7" s="1229"/>
      <c r="CJ7" s="1229" t="s">
        <v>1003</v>
      </c>
      <c r="CK7" s="1229"/>
      <c r="CL7" s="1229" t="s">
        <v>1004</v>
      </c>
      <c r="CM7" s="1229"/>
      <c r="CN7" s="1229" t="s">
        <v>207</v>
      </c>
      <c r="CO7" s="1229"/>
      <c r="CP7" s="1229" t="s">
        <v>1005</v>
      </c>
      <c r="CQ7" s="1229"/>
      <c r="CR7" s="1229" t="s">
        <v>208</v>
      </c>
      <c r="CS7" s="1229"/>
      <c r="CT7" s="1229" t="s">
        <v>209</v>
      </c>
      <c r="CU7" s="1229"/>
      <c r="CV7" s="1229" t="s">
        <v>210</v>
      </c>
      <c r="CW7" s="1229"/>
      <c r="CX7" s="1229" t="s">
        <v>211</v>
      </c>
      <c r="CY7" s="1229"/>
      <c r="CZ7" s="1229" t="s">
        <v>212</v>
      </c>
      <c r="DA7" s="1229"/>
    </row>
    <row r="8" spans="1:105" ht="22.5" customHeight="1">
      <c r="A8" s="1236"/>
      <c r="B8" s="1229"/>
      <c r="C8" s="1006" t="s">
        <v>17</v>
      </c>
      <c r="D8" s="1005" t="s">
        <v>34</v>
      </c>
      <c r="E8" s="1229"/>
      <c r="F8" s="1229"/>
      <c r="G8" s="1007" t="s">
        <v>24</v>
      </c>
      <c r="H8" s="1007" t="s">
        <v>25</v>
      </c>
      <c r="I8" s="1230"/>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2"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2"/>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2"/>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2"/>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2"/>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2"/>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2"/>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2"/>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2"/>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2"/>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2"/>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2"/>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2"/>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2"/>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2" t="s">
        <v>937</v>
      </c>
      <c r="F40" s="983">
        <f ca="1">AY52</f>
        <v>0</v>
      </c>
      <c r="G40" s="984" t="s">
        <v>942</v>
      </c>
      <c r="H40" s="984"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2" t="s">
        <v>938</v>
      </c>
      <c r="F41" s="983">
        <f ca="1">CL52</f>
        <v>0</v>
      </c>
      <c r="G41" s="984" t="s">
        <v>109</v>
      </c>
      <c r="H41" s="984"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2" t="s">
        <v>116</v>
      </c>
      <c r="F42" s="983">
        <f ca="1">CN52</f>
        <v>0</v>
      </c>
      <c r="G42" s="984" t="s">
        <v>109</v>
      </c>
      <c r="H42" s="984"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2" t="s">
        <v>939</v>
      </c>
      <c r="F43" s="983">
        <f ca="1">CP52</f>
        <v>0</v>
      </c>
      <c r="G43" s="984" t="s">
        <v>109</v>
      </c>
      <c r="H43" s="984"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2" t="s">
        <v>117</v>
      </c>
      <c r="F44" s="983">
        <f ca="1">CR52</f>
        <v>0</v>
      </c>
      <c r="G44" s="984" t="s">
        <v>109</v>
      </c>
      <c r="H44" s="984"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2" t="s">
        <v>215</v>
      </c>
      <c r="F45" s="983"/>
      <c r="G45" s="984" t="s">
        <v>109</v>
      </c>
      <c r="H45" s="984"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2" t="s">
        <v>118</v>
      </c>
      <c r="F46" s="983">
        <f ca="1">CI52</f>
        <v>0</v>
      </c>
      <c r="G46" s="984" t="s">
        <v>43</v>
      </c>
      <c r="H46" s="984"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2" t="s">
        <v>940</v>
      </c>
      <c r="F47" s="983">
        <f ca="1">CE52</f>
        <v>0</v>
      </c>
      <c r="G47" s="984" t="s">
        <v>297</v>
      </c>
      <c r="H47" s="984"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2" t="s">
        <v>941</v>
      </c>
      <c r="F48" s="983">
        <f ca="1">CG52</f>
        <v>0</v>
      </c>
      <c r="G48" s="984" t="s">
        <v>299</v>
      </c>
      <c r="H48" s="984"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2" t="s">
        <v>119</v>
      </c>
      <c r="F49" s="983">
        <f ca="1">CU52</f>
        <v>0</v>
      </c>
      <c r="G49" s="984" t="s">
        <v>103</v>
      </c>
      <c r="H49" s="984"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2" t="s">
        <v>120</v>
      </c>
      <c r="F50" s="983">
        <f ca="1">CV52</f>
        <v>0</v>
      </c>
      <c r="G50" s="984" t="s">
        <v>109</v>
      </c>
      <c r="H50" s="984"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 ref="BB7:BC7"/>
    <mergeCell ref="BD7:BE7"/>
    <mergeCell ref="BF7:BG7"/>
    <mergeCell ref="BH7:BI7"/>
    <mergeCell ref="BJ7:BK7"/>
    <mergeCell ref="BL7:BM7"/>
    <mergeCell ref="BN7:BO7"/>
    <mergeCell ref="BP7:BQ7"/>
    <mergeCell ref="BR7:BS7"/>
    <mergeCell ref="BT7:BU7"/>
    <mergeCell ref="BV7:BW7"/>
    <mergeCell ref="BX7:BY7"/>
    <mergeCell ref="BZ7:CA7"/>
    <mergeCell ref="CB7:CC7"/>
    <mergeCell ref="CD7:CE7"/>
    <mergeCell ref="CF7:CG7"/>
    <mergeCell ref="CH7:CI7"/>
    <mergeCell ref="CJ7:CK7"/>
    <mergeCell ref="CL7:CM7"/>
    <mergeCell ref="CN7:CO7"/>
    <mergeCell ref="CZ7:DA7"/>
    <mergeCell ref="CP7:CQ7"/>
    <mergeCell ref="CR7:CS7"/>
    <mergeCell ref="CT7:CU7"/>
    <mergeCell ref="CV7:CW7"/>
    <mergeCell ref="CX7:CY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44" t="s">
        <v>183</v>
      </c>
      <c r="H2" s="1244"/>
      <c r="I2" s="1244"/>
    </row>
    <row r="3" spans="1:9" ht="15.75" customHeight="1">
      <c r="A3" s="1" t="s">
        <v>184</v>
      </c>
      <c r="G3" s="1245" t="s">
        <v>144</v>
      </c>
      <c r="H3" s="1245"/>
      <c r="I3" s="1245"/>
    </row>
    <row r="4" spans="1:9">
      <c r="F4" s="17"/>
      <c r="G4" s="1245"/>
      <c r="H4" s="1245"/>
      <c r="I4" s="1245"/>
    </row>
    <row r="5" spans="1:9" ht="17.25" customHeight="1">
      <c r="A5" s="1246" t="s">
        <v>185</v>
      </c>
      <c r="B5" s="1246"/>
      <c r="C5" s="1246"/>
      <c r="D5" s="1246"/>
      <c r="E5" s="1246"/>
      <c r="F5" s="1246"/>
      <c r="G5" s="1246"/>
      <c r="H5" s="1246"/>
      <c r="I5" s="1246"/>
    </row>
    <row r="6" spans="1:9">
      <c r="A6" s="1247" t="s">
        <v>186</v>
      </c>
      <c r="B6" s="1248"/>
      <c r="C6" s="1248"/>
      <c r="D6" s="1248"/>
      <c r="E6" s="1248"/>
      <c r="F6" s="1248"/>
      <c r="G6" s="1248"/>
      <c r="H6" s="1248"/>
      <c r="I6" s="1248"/>
    </row>
    <row r="7" spans="1:9">
      <c r="B7" s="5"/>
      <c r="C7" s="5"/>
      <c r="D7" s="249" t="s">
        <v>187</v>
      </c>
      <c r="E7" s="250" t="s">
        <v>72</v>
      </c>
    </row>
    <row r="8" spans="1:9">
      <c r="B8" s="5"/>
      <c r="C8" s="5"/>
      <c r="D8" s="249" t="s">
        <v>188</v>
      </c>
      <c r="E8" s="5" t="str">
        <f>VLOOKUP($E$7,DSTK,2,0)</f>
        <v xml:space="preserve"> Phải Thu Khác </v>
      </c>
    </row>
    <row r="9" spans="1:9">
      <c r="A9" s="1248" t="s">
        <v>31</v>
      </c>
      <c r="B9" s="1249"/>
      <c r="C9" s="1249"/>
      <c r="D9" s="1249"/>
      <c r="E9" s="1249"/>
      <c r="F9" s="1249"/>
      <c r="G9" s="1249"/>
      <c r="H9" s="1249"/>
      <c r="I9" s="1249"/>
    </row>
    <row r="10" spans="1:9" ht="9.75" customHeight="1">
      <c r="C10" s="1250"/>
      <c r="D10" s="1251"/>
      <c r="E10" s="1251"/>
      <c r="F10" s="1251"/>
      <c r="G10" s="1251"/>
      <c r="H10" s="1251"/>
      <c r="I10" s="1251"/>
    </row>
    <row r="11" spans="1:9" s="18" customFormat="1" ht="19.5" customHeight="1">
      <c r="A11" s="1252" t="s">
        <v>22</v>
      </c>
      <c r="B11" s="1242" t="s">
        <v>1</v>
      </c>
      <c r="C11" s="1253"/>
      <c r="D11" s="1252" t="s">
        <v>0</v>
      </c>
      <c r="E11" s="1252" t="s">
        <v>16</v>
      </c>
      <c r="F11" s="1242" t="s">
        <v>23</v>
      </c>
      <c r="G11" s="1253"/>
      <c r="H11" s="1242" t="s">
        <v>33</v>
      </c>
      <c r="I11" s="1243"/>
    </row>
    <row r="12" spans="1:9" s="18" customFormat="1" ht="32.25" customHeight="1">
      <c r="A12" s="1252"/>
      <c r="B12" s="417" t="s">
        <v>17</v>
      </c>
      <c r="C12" s="417" t="s">
        <v>34</v>
      </c>
      <c r="D12" s="1252"/>
      <c r="E12" s="1252"/>
      <c r="F12" s="417" t="s">
        <v>24</v>
      </c>
      <c r="G12" s="417" t="s">
        <v>25</v>
      </c>
      <c r="H12" s="417" t="s">
        <v>24</v>
      </c>
      <c r="I12" s="417" t="s">
        <v>25</v>
      </c>
    </row>
    <row r="13" spans="1:9" s="363" customFormat="1" ht="11.25" customHeight="1">
      <c r="A13" s="367" t="s">
        <v>2</v>
      </c>
      <c r="B13" s="368" t="s">
        <v>3</v>
      </c>
      <c r="C13" s="367" t="s">
        <v>4</v>
      </c>
      <c r="D13" s="367" t="s">
        <v>5</v>
      </c>
      <c r="E13" s="367" t="s">
        <v>6</v>
      </c>
      <c r="F13" s="367">
        <v>1</v>
      </c>
      <c r="G13" s="367">
        <v>2</v>
      </c>
      <c r="H13" s="367">
        <v>3</v>
      </c>
      <c r="I13" s="367">
        <v>4</v>
      </c>
    </row>
    <row r="14" spans="1:9" s="18" customFormat="1" ht="18" customHeight="1">
      <c r="A14" s="418"/>
      <c r="B14" s="394"/>
      <c r="C14" s="418"/>
      <c r="D14" s="393" t="s">
        <v>7</v>
      </c>
      <c r="E14" s="394"/>
      <c r="F14" s="419"/>
      <c r="G14" s="419"/>
      <c r="H14" s="419">
        <f>VLOOKUP($E$7,DSTK,3,0)</f>
        <v>1500000000</v>
      </c>
      <c r="I14" s="419">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20" t="str">
        <f ca="1">IF(ROWS($1:1)&gt;COUNT(Dong5),"",OFFSET(TH!F$1,SMALL(Dong5,ROWS($1:1)),))</f>
        <v>Q11 - Ứng vốn - TV</v>
      </c>
      <c r="E15" s="334" t="str">
        <f ca="1">IF(ROWS($1:1)&gt;COUNT(Dong5),"",IF(OFFSET(TH!N$1,SMALL(Dong5,ROWS($1:1)),)=$E$7,OFFSET(TH!O$1,SMALL(Dong5,ROWS($1:1)),),OFFSET(TH!N$1,SMALL(Dong5,ROWS($1:1)),)))</f>
        <v>1121</v>
      </c>
      <c r="F15" s="421">
        <f ca="1">IF(ROWS($1:1)&gt;COUNT(Dong5),0,IF(OFFSET(TH!N$1,SMALL(Dong5,ROWS($1:1)),)=$E$7,OFFSET(TH!M$1,SMALL(Dong5,ROWS($1:1)),),0))</f>
        <v>0</v>
      </c>
      <c r="G15" s="419">
        <f ca="1">IF(ROWS($1:1)&gt;COUNT(Dong5),0,IF(OFFSET(TH!O$1,SMALL(Dong5,ROWS($1:1)),)=$E$7,OFFSET(TH!M$1,SMALL(Dong5,ROWS($1:1)),),0))</f>
        <v>110000000</v>
      </c>
      <c r="H15" s="422">
        <f ca="1">IF(D15&lt;&gt;"",MAX(H14+F15-G15-I14,0),0)</f>
        <v>1390000000</v>
      </c>
      <c r="I15" s="422">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20" t="str">
        <f ca="1">IF(ROWS($1:2)&gt;COUNT(Dong5),"",OFFSET(TH!F$1,SMALL(Dong5,ROWS($1:2)),))</f>
        <v>Q11 - Ứng vốn - TV</v>
      </c>
      <c r="E16" s="334" t="str">
        <f ca="1">IF(ROWS($1:2)&gt;COUNT(Dong5),"",IF(OFFSET(TH!N$1,SMALL(Dong5,ROWS($1:2)),)=$E$7,OFFSET(TH!O$1,SMALL(Dong5,ROWS($1:2)),),OFFSET(TH!N$1,SMALL(Dong5,ROWS($1:2)),)))</f>
        <v>1121</v>
      </c>
      <c r="F16" s="421">
        <f ca="1">IF(ROWS($1:2)&gt;COUNT(Dong5),0,IF(OFFSET(TH!N$1,SMALL(Dong5,ROWS($1:2)),)=$E$7,OFFSET(TH!M$1,SMALL(Dong5,ROWS($1:2)),),0))</f>
        <v>5000000</v>
      </c>
      <c r="G16" s="419">
        <f ca="1">IF(ROWS($1:2)&gt;COUNT(Dong5),0,IF(OFFSET(TH!O$1,SMALL(Dong5,ROWS($1:2)),)=$E$7,OFFSET(TH!M$1,SMALL(Dong5,ROWS($1:2)),),0))</f>
        <v>0</v>
      </c>
      <c r="H16" s="422">
        <f t="shared" ref="H16:H32" ca="1" si="0">IF(D16&lt;&gt;"",MAX(H15+F16-G16-I15,0),0)</f>
        <v>1395000000</v>
      </c>
      <c r="I16" s="422">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20" t="str">
        <f ca="1">IF(ROWS($1:3)&gt;COUNT(Dong5),"",OFFSET(TH!F$1,SMALL(Dong5,ROWS($1:3)),))</f>
        <v>Hoàn vốn</v>
      </c>
      <c r="E17" s="334" t="str">
        <f ca="1">IF(ROWS($1:3)&gt;COUNT(Dong5),"",IF(OFFSET(TH!N$1,SMALL(Dong5,ROWS($1:3)),)=$E$7,OFFSET(TH!O$1,SMALL(Dong5,ROWS($1:3)),),OFFSET(TH!N$1,SMALL(Dong5,ROWS($1:3)),)))</f>
        <v>1121</v>
      </c>
      <c r="F17" s="421">
        <f ca="1">IF(ROWS($1:3)&gt;COUNT(Dong5),0,IF(OFFSET(TH!N$1,SMALL(Dong5,ROWS($1:3)),)=$E$7,OFFSET(TH!M$1,SMALL(Dong5,ROWS($1:3)),),0))</f>
        <v>0</v>
      </c>
      <c r="G17" s="419">
        <f ca="1">IF(ROWS($1:3)&gt;COUNT(Dong5),0,IF(OFFSET(TH!O$1,SMALL(Dong5,ROWS($1:3)),)=$E$7,OFFSET(TH!M$1,SMALL(Dong5,ROWS($1:3)),),0))</f>
        <v>50000000</v>
      </c>
      <c r="H17" s="422">
        <f t="shared" ca="1" si="0"/>
        <v>1345000000</v>
      </c>
      <c r="I17" s="422">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20" t="str">
        <f ca="1">IF(ROWS($1:4)&gt;COUNT(Dong5),"",OFFSET(TH!F$1,SMALL(Dong5,ROWS($1:4)),))</f>
        <v>Ứng vốn Trà Vinh</v>
      </c>
      <c r="E18" s="334" t="str">
        <f ca="1">IF(ROWS($1:4)&gt;COUNT(Dong5),"",IF(OFFSET(TH!N$1,SMALL(Dong5,ROWS($1:4)),)=$E$7,OFFSET(TH!O$1,SMALL(Dong5,ROWS($1:4)),),OFFSET(TH!N$1,SMALL(Dong5,ROWS($1:4)),)))</f>
        <v>1121</v>
      </c>
      <c r="F18" s="421">
        <f ca="1">IF(ROWS($1:4)&gt;COUNT(Dong5),0,IF(OFFSET(TH!N$1,SMALL(Dong5,ROWS($1:4)),)=$E$7,OFFSET(TH!M$1,SMALL(Dong5,ROWS($1:4)),),0))</f>
        <v>40000000</v>
      </c>
      <c r="G18" s="419">
        <f ca="1">IF(ROWS($1:4)&gt;COUNT(Dong5),0,IF(OFFSET(TH!O$1,SMALL(Dong5,ROWS($1:4)),)=$E$7,OFFSET(TH!M$1,SMALL(Dong5,ROWS($1:4)),),0))</f>
        <v>0</v>
      </c>
      <c r="H18" s="422">
        <f t="shared" ca="1" si="0"/>
        <v>1385000000</v>
      </c>
      <c r="I18" s="422">
        <f t="shared" ca="1" si="1"/>
        <v>0</v>
      </c>
    </row>
    <row r="19" spans="1:9" s="18" customFormat="1" ht="18" customHeight="1">
      <c r="A19" s="334" t="str">
        <f ca="1">IF(ROWS($1:5)&gt;COUNT(Dong5),"",OFFSET(TH!C$1,SMALL(Dong5,ROWS($1:5)),))</f>
        <v/>
      </c>
      <c r="B19" s="334" t="str">
        <f ca="1">IF(ROWS($1:5)&gt;COUNT(Dong5),"",OFFSET(TH!D$1,SMALL(Dong5,ROWS($1:5)),))</f>
        <v/>
      </c>
      <c r="C19" s="334" t="str">
        <f ca="1">IF(ROWS($1:5)&gt;COUNT(Dong5),"",OFFSET(TH!E$1,SMALL(Dong5,ROWS($1:5)),))</f>
        <v/>
      </c>
      <c r="D19" s="420" t="str">
        <f ca="1">IF(ROWS($1:5)&gt;COUNT(Dong5),"",OFFSET(TH!F$1,SMALL(Dong5,ROWS($1:5)),))</f>
        <v/>
      </c>
      <c r="E19" s="334" t="str">
        <f ca="1">IF(ROWS($1:5)&gt;COUNT(Dong5),"",IF(OFFSET(TH!N$1,SMALL(Dong5,ROWS($1:5)),)=$E$7,OFFSET(TH!O$1,SMALL(Dong5,ROWS($1:5)),),OFFSET(TH!N$1,SMALL(Dong5,ROWS($1:5)),)))</f>
        <v/>
      </c>
      <c r="F19" s="421">
        <f ca="1">IF(ROWS($1:5)&gt;COUNT(Dong5),0,IF(OFFSET(TH!N$1,SMALL(Dong5,ROWS($1:5)),)=$E$7,OFFSET(TH!M$1,SMALL(Dong5,ROWS($1:5)),),0))</f>
        <v>0</v>
      </c>
      <c r="G19" s="419">
        <f ca="1">IF(ROWS($1:5)&gt;COUNT(Dong5),0,IF(OFFSET(TH!O$1,SMALL(Dong5,ROWS($1:5)),)=$E$7,OFFSET(TH!M$1,SMALL(Dong5,ROWS($1:5)),),0))</f>
        <v>0</v>
      </c>
      <c r="H19" s="422">
        <f t="shared" ca="1" si="0"/>
        <v>0</v>
      </c>
      <c r="I19" s="422">
        <f t="shared" ca="1" si="1"/>
        <v>0</v>
      </c>
    </row>
    <row r="20" spans="1:9" s="18" customFormat="1" ht="18" customHeight="1">
      <c r="A20" s="334" t="str">
        <f ca="1">IF(ROWS($1:6)&gt;COUNT(Dong5),"",OFFSET(TH!C$1,SMALL(Dong5,ROWS($1:6)),))</f>
        <v/>
      </c>
      <c r="B20" s="334" t="str">
        <f ca="1">IF(ROWS($1:6)&gt;COUNT(Dong5),"",OFFSET(TH!D$1,SMALL(Dong5,ROWS($1:6)),))</f>
        <v/>
      </c>
      <c r="C20" s="334" t="str">
        <f ca="1">IF(ROWS($1:6)&gt;COUNT(Dong5),"",OFFSET(TH!E$1,SMALL(Dong5,ROWS($1:6)),))</f>
        <v/>
      </c>
      <c r="D20" s="420" t="str">
        <f ca="1">IF(ROWS($1:6)&gt;COUNT(Dong5),"",OFFSET(TH!F$1,SMALL(Dong5,ROWS($1:6)),))</f>
        <v/>
      </c>
      <c r="E20" s="334" t="str">
        <f ca="1">IF(ROWS($1:6)&gt;COUNT(Dong5),"",IF(OFFSET(TH!N$1,SMALL(Dong5,ROWS($1:6)),)=$E$7,OFFSET(TH!O$1,SMALL(Dong5,ROWS($1:6)),),OFFSET(TH!N$1,SMALL(Dong5,ROWS($1:6)),)))</f>
        <v/>
      </c>
      <c r="F20" s="421">
        <f ca="1">IF(ROWS($1:6)&gt;COUNT(Dong5),0,IF(OFFSET(TH!N$1,SMALL(Dong5,ROWS($1:6)),)=$E$7,OFFSET(TH!M$1,SMALL(Dong5,ROWS($1:6)),),0))</f>
        <v>0</v>
      </c>
      <c r="G20" s="419">
        <f ca="1">IF(ROWS($1:6)&gt;COUNT(Dong5),0,IF(OFFSET(TH!O$1,SMALL(Dong5,ROWS($1:6)),)=$E$7,OFFSET(TH!M$1,SMALL(Dong5,ROWS($1:6)),),0))</f>
        <v>0</v>
      </c>
      <c r="H20" s="422">
        <f t="shared" ca="1" si="0"/>
        <v>0</v>
      </c>
      <c r="I20" s="422">
        <f t="shared" ca="1" si="1"/>
        <v>0</v>
      </c>
    </row>
    <row r="21" spans="1:9" s="18" customFormat="1" ht="18" customHeight="1">
      <c r="A21" s="334" t="str">
        <f ca="1">IF(ROWS($1:7)&gt;COUNT(Dong5),"",OFFSET(TH!C$1,SMALL(Dong5,ROWS($1:7)),))</f>
        <v/>
      </c>
      <c r="B21" s="334" t="str">
        <f ca="1">IF(ROWS($1:7)&gt;COUNT(Dong5),"",OFFSET(TH!D$1,SMALL(Dong5,ROWS($1:7)),))</f>
        <v/>
      </c>
      <c r="C21" s="334" t="str">
        <f ca="1">IF(ROWS($1:7)&gt;COUNT(Dong5),"",OFFSET(TH!E$1,SMALL(Dong5,ROWS($1:7)),))</f>
        <v/>
      </c>
      <c r="D21" s="420" t="str">
        <f ca="1">IF(ROWS($1:7)&gt;COUNT(Dong5),"",OFFSET(TH!F$1,SMALL(Dong5,ROWS($1:7)),)&amp;" - "&amp;OFFSET(TH!H$1,SMALL(Dong5,ROWS($1:7)),))</f>
        <v/>
      </c>
      <c r="E21" s="334" t="str">
        <f ca="1">IF(ROWS($1:7)&gt;COUNT(Dong5),"",IF(OFFSET(TH!N$1,SMALL(Dong5,ROWS($1:7)),)=$E$7,OFFSET(TH!O$1,SMALL(Dong5,ROWS($1:7)),),OFFSET(TH!N$1,SMALL(Dong5,ROWS($1:7)),)))</f>
        <v/>
      </c>
      <c r="F21" s="421">
        <f ca="1">IF(ROWS($1:7)&gt;COUNT(Dong5),0,IF(OFFSET(TH!N$1,SMALL(Dong5,ROWS($1:7)),)=$E$7,OFFSET(TH!M$1,SMALL(Dong5,ROWS($1:7)),),0))</f>
        <v>0</v>
      </c>
      <c r="G21" s="419">
        <f ca="1">IF(ROWS($1:7)&gt;COUNT(Dong5),0,IF(OFFSET(TH!O$1,SMALL(Dong5,ROWS($1:7)),)=$E$7,OFFSET(TH!M$1,SMALL(Dong5,ROWS($1:7)),),0))</f>
        <v>0</v>
      </c>
      <c r="H21" s="422">
        <f t="shared" ca="1" si="0"/>
        <v>0</v>
      </c>
      <c r="I21" s="422">
        <f t="shared" ca="1" si="1"/>
        <v>0</v>
      </c>
    </row>
    <row r="22" spans="1:9" s="18" customFormat="1" ht="18" customHeight="1">
      <c r="A22" s="334" t="str">
        <f ca="1">IF(ROWS($1:8)&gt;COUNT(Dong5),"",OFFSET(TH!C$1,SMALL(Dong5,ROWS($1:8)),))</f>
        <v/>
      </c>
      <c r="B22" s="334" t="str">
        <f ca="1">IF(ROWS($1:8)&gt;COUNT(Dong5),"",OFFSET(TH!D$1,SMALL(Dong5,ROWS($1:8)),))</f>
        <v/>
      </c>
      <c r="C22" s="334" t="str">
        <f ca="1">IF(ROWS($1:8)&gt;COUNT(Dong5),"",OFFSET(TH!E$1,SMALL(Dong5,ROWS($1:8)),))</f>
        <v/>
      </c>
      <c r="D22" s="420" t="str">
        <f ca="1">IF(ROWS($1:8)&gt;COUNT(Dong5),"",OFFSET(TH!F$1,SMALL(Dong5,ROWS($1:8)),)&amp;" - "&amp;OFFSET(TH!H$1,SMALL(Dong5,ROWS($1:8)),))</f>
        <v/>
      </c>
      <c r="E22" s="334" t="str">
        <f ca="1">IF(ROWS($1:8)&gt;COUNT(Dong5),"",IF(OFFSET(TH!N$1,SMALL(Dong5,ROWS($1:8)),)=$E$7,OFFSET(TH!O$1,SMALL(Dong5,ROWS($1:8)),),OFFSET(TH!N$1,SMALL(Dong5,ROWS($1:8)),)))</f>
        <v/>
      </c>
      <c r="F22" s="421">
        <f ca="1">IF(ROWS($1:8)&gt;COUNT(Dong5),0,IF(OFFSET(TH!N$1,SMALL(Dong5,ROWS($1:8)),)=$E$7,OFFSET(TH!M$1,SMALL(Dong5,ROWS($1:8)),),0))</f>
        <v>0</v>
      </c>
      <c r="G22" s="419">
        <f ca="1">IF(ROWS($1:8)&gt;COUNT(Dong5),0,IF(OFFSET(TH!O$1,SMALL(Dong5,ROWS($1:8)),)=$E$7,OFFSET(TH!M$1,SMALL(Dong5,ROWS($1:8)),),0))</f>
        <v>0</v>
      </c>
      <c r="H22" s="422">
        <f t="shared" ca="1" si="0"/>
        <v>0</v>
      </c>
      <c r="I22" s="422">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20" t="str">
        <f ca="1">IF(ROWS($1:9)&gt;COUNT(Dong5),"",OFFSET(TH!F$1,SMALL(Dong5,ROWS($1:9)),)&amp;" - "&amp;OFFSET(TH!H$1,SMALL(Dong5,ROWS($1:9)),))</f>
        <v/>
      </c>
      <c r="E23" s="334" t="str">
        <f ca="1">IF(ROWS($1:9)&gt;COUNT(Dong5),"",IF(OFFSET(TH!N$1,SMALL(Dong5,ROWS($1:9)),)=$E$7,OFFSET(TH!O$1,SMALL(Dong5,ROWS($1:9)),),OFFSET(TH!N$1,SMALL(Dong5,ROWS($1:9)),)))</f>
        <v/>
      </c>
      <c r="F23" s="421">
        <f ca="1">IF(ROWS($1:9)&gt;COUNT(Dong5),0,IF(OFFSET(TH!N$1,SMALL(Dong5,ROWS($1:9)),)=$E$7,OFFSET(TH!M$1,SMALL(Dong5,ROWS($1:9)),),0))</f>
        <v>0</v>
      </c>
      <c r="G23" s="419">
        <f ca="1">IF(ROWS($1:9)&gt;COUNT(Dong5),0,IF(OFFSET(TH!O$1,SMALL(Dong5,ROWS($1:9)),)=$E$7,OFFSET(TH!M$1,SMALL(Dong5,ROWS($1:9)),),0))</f>
        <v>0</v>
      </c>
      <c r="H23" s="422">
        <f t="shared" ca="1" si="0"/>
        <v>0</v>
      </c>
      <c r="I23" s="422">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20" t="str">
        <f ca="1">IF(ROWS($1:10)&gt;COUNT(Dong5),"",OFFSET(TH!F$1,SMALL(Dong5,ROWS($1:10)),)&amp;" - "&amp;OFFSET(TH!H$1,SMALL(Dong5,ROWS($1:10)),))</f>
        <v/>
      </c>
      <c r="E24" s="334" t="str">
        <f ca="1">IF(ROWS($1:10)&gt;COUNT(Dong5),"",IF(OFFSET(TH!N$1,SMALL(Dong5,ROWS($1:10)),)=$E$7,OFFSET(TH!O$1,SMALL(Dong5,ROWS($1:10)),),OFFSET(TH!N$1,SMALL(Dong5,ROWS($1:10)),)))</f>
        <v/>
      </c>
      <c r="F24" s="421">
        <f ca="1">IF(ROWS($1:10)&gt;COUNT(Dong5),0,IF(OFFSET(TH!N$1,SMALL(Dong5,ROWS($1:10)),)=$E$7,OFFSET(TH!M$1,SMALL(Dong5,ROWS($1:10)),),0))</f>
        <v>0</v>
      </c>
      <c r="G24" s="419">
        <f ca="1">IF(ROWS($1:10)&gt;COUNT(Dong5),0,IF(OFFSET(TH!O$1,SMALL(Dong5,ROWS($1:10)),)=$E$7,OFFSET(TH!M$1,SMALL(Dong5,ROWS($1:10)),),0))</f>
        <v>0</v>
      </c>
      <c r="H24" s="422">
        <f t="shared" ca="1" si="0"/>
        <v>0</v>
      </c>
      <c r="I24" s="422">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20" t="str">
        <f ca="1">IF(ROWS($1:11)&gt;COUNT(Dong5),"",OFFSET(TH!F$1,SMALL(Dong5,ROWS($1:11)),))</f>
        <v/>
      </c>
      <c r="E25" s="334" t="str">
        <f ca="1">IF(ROWS($1:11)&gt;COUNT(Dong5),"",IF(OFFSET(TH!N$1,SMALL(Dong5,ROWS($1:11)),)=$E$7,OFFSET(TH!O$1,SMALL(Dong5,ROWS($1:11)),),OFFSET(TH!N$1,SMALL(Dong5,ROWS($1:11)),)))</f>
        <v/>
      </c>
      <c r="F25" s="421">
        <f ca="1">IF(ROWS($1:11)&gt;COUNT(Dong5),0,IF(OFFSET(TH!N$1,SMALL(Dong5,ROWS($1:11)),)=$E$7,OFFSET(TH!M$1,SMALL(Dong5,ROWS($1:11)),),0))</f>
        <v>0</v>
      </c>
      <c r="G25" s="419">
        <f ca="1">IF(ROWS($1:11)&gt;COUNT(Dong5),0,IF(OFFSET(TH!O$1,SMALL(Dong5,ROWS($1:11)),)=$E$7,OFFSET(TH!M$1,SMALL(Dong5,ROWS($1:11)),),0))</f>
        <v>0</v>
      </c>
      <c r="H25" s="422">
        <f t="shared" ca="1" si="0"/>
        <v>0</v>
      </c>
      <c r="I25" s="422">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20" t="str">
        <f ca="1">IF(ROWS($1:12)&gt;COUNT(Dong5),"",OFFSET(TH!F$1,SMALL(Dong5,ROWS($1:12)),))</f>
        <v/>
      </c>
      <c r="E26" s="334" t="str">
        <f ca="1">IF(ROWS($1:12)&gt;COUNT(Dong5),"",IF(OFFSET(TH!N$1,SMALL(Dong5,ROWS($1:12)),)=$E$7,OFFSET(TH!O$1,SMALL(Dong5,ROWS($1:12)),),OFFSET(TH!N$1,SMALL(Dong5,ROWS($1:12)),)))</f>
        <v/>
      </c>
      <c r="F26" s="421">
        <f ca="1">IF(ROWS($1:12)&gt;COUNT(Dong5),0,IF(OFFSET(TH!N$1,SMALL(Dong5,ROWS($1:12)),)=$E$7,OFFSET(TH!M$1,SMALL(Dong5,ROWS($1:12)),),0))</f>
        <v>0</v>
      </c>
      <c r="G26" s="419">
        <f ca="1">IF(ROWS($1:12)&gt;COUNT(Dong5),0,IF(OFFSET(TH!O$1,SMALL(Dong5,ROWS($1:12)),)=$E$7,OFFSET(TH!M$1,SMALL(Dong5,ROWS($1:12)),),0))</f>
        <v>0</v>
      </c>
      <c r="H26" s="422">
        <f t="shared" ca="1" si="0"/>
        <v>0</v>
      </c>
      <c r="I26" s="422">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20" t="str">
        <f ca="1">IF(ROWS($1:13)&gt;COUNT(Dong5),"",OFFSET(TH!F$1,SMALL(Dong5,ROWS($1:13)),))</f>
        <v/>
      </c>
      <c r="E27" s="334" t="str">
        <f ca="1">IF(ROWS($1:13)&gt;COUNT(Dong5),"",IF(OFFSET(TH!N$1,SMALL(Dong5,ROWS($1:13)),)=$E$7,OFFSET(TH!O$1,SMALL(Dong5,ROWS($1:13)),),OFFSET(TH!N$1,SMALL(Dong5,ROWS($1:13)),)))</f>
        <v/>
      </c>
      <c r="F27" s="421">
        <f ca="1">IF(ROWS($1:13)&gt;COUNT(Dong5),0,IF(OFFSET(TH!N$1,SMALL(Dong5,ROWS($1:13)),)=$E$7,OFFSET(TH!M$1,SMALL(Dong5,ROWS($1:13)),),0))</f>
        <v>0</v>
      </c>
      <c r="G27" s="419">
        <f ca="1">IF(ROWS($1:13)&gt;COUNT(Dong5),0,IF(OFFSET(TH!O$1,SMALL(Dong5,ROWS($1:13)),)=$E$7,OFFSET(TH!M$1,SMALL(Dong5,ROWS($1:13)),),0))</f>
        <v>0</v>
      </c>
      <c r="H27" s="422">
        <f t="shared" ca="1" si="0"/>
        <v>0</v>
      </c>
      <c r="I27" s="422">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20" t="str">
        <f ca="1">IF(ROWS($1:14)&gt;COUNT(Dong5),"",OFFSET(TH!F$1,SMALL(Dong5,ROWS($1:14)),))</f>
        <v/>
      </c>
      <c r="E28" s="334" t="str">
        <f ca="1">IF(ROWS($1:14)&gt;COUNT(Dong5),"",IF(OFFSET(TH!N$1,SMALL(Dong5,ROWS($1:14)),)=$E$7,OFFSET(TH!O$1,SMALL(Dong5,ROWS($1:14)),),OFFSET(TH!N$1,SMALL(Dong5,ROWS($1:14)),)))</f>
        <v/>
      </c>
      <c r="F28" s="421">
        <f ca="1">IF(ROWS($1:14)&gt;COUNT(Dong5),0,IF(OFFSET(TH!N$1,SMALL(Dong5,ROWS($1:14)),)=$E$7,OFFSET(TH!M$1,SMALL(Dong5,ROWS($1:14)),),0))</f>
        <v>0</v>
      </c>
      <c r="G28" s="419">
        <f ca="1">IF(ROWS($1:14)&gt;COUNT(Dong5),0,IF(OFFSET(TH!O$1,SMALL(Dong5,ROWS($1:14)),)=$E$7,OFFSET(TH!M$1,SMALL(Dong5,ROWS($1:14)),),0))</f>
        <v>0</v>
      </c>
      <c r="H28" s="422">
        <f t="shared" ca="1" si="0"/>
        <v>0</v>
      </c>
      <c r="I28" s="422">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20" t="str">
        <f ca="1">IF(ROWS($1:15)&gt;COUNT(Dong5),"",OFFSET(TH!F$1,SMALL(Dong5,ROWS($1:15)),))</f>
        <v/>
      </c>
      <c r="E29" s="334" t="str">
        <f ca="1">IF(ROWS($1:15)&gt;COUNT(Dong5),"",IF(OFFSET(TH!N$1,SMALL(Dong5,ROWS($1:15)),)=$E$7,OFFSET(TH!O$1,SMALL(Dong5,ROWS($1:15)),),OFFSET(TH!N$1,SMALL(Dong5,ROWS($1:15)),)))</f>
        <v/>
      </c>
      <c r="F29" s="421">
        <f ca="1">IF(ROWS($1:15)&gt;COUNT(Dong5),0,IF(OFFSET(TH!N$1,SMALL(Dong5,ROWS($1:15)),)=$E$7,OFFSET(TH!M$1,SMALL(Dong5,ROWS($1:15)),),0))</f>
        <v>0</v>
      </c>
      <c r="G29" s="419">
        <f ca="1">IF(ROWS($1:15)&gt;COUNT(Dong5),0,IF(OFFSET(TH!O$1,SMALL(Dong5,ROWS($1:15)),)=$E$7,OFFSET(TH!M$1,SMALL(Dong5,ROWS($1:15)),),0))</f>
        <v>0</v>
      </c>
      <c r="H29" s="422">
        <f t="shared" ca="1" si="0"/>
        <v>0</v>
      </c>
      <c r="I29" s="422">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20" t="str">
        <f ca="1">IF(ROWS($1:16)&gt;COUNT(Dong5),"",OFFSET(TH!F$1,SMALL(Dong5,ROWS($1:16)),))</f>
        <v/>
      </c>
      <c r="E30" s="334" t="str">
        <f ca="1">IF(ROWS($1:16)&gt;COUNT(Dong5),"",IF(OFFSET(TH!N$1,SMALL(Dong5,ROWS($1:16)),)=$E$7,OFFSET(TH!O$1,SMALL(Dong5,ROWS($1:16)),),OFFSET(TH!N$1,SMALL(Dong5,ROWS($1:16)),)))</f>
        <v/>
      </c>
      <c r="F30" s="421">
        <f ca="1">IF(ROWS($1:16)&gt;COUNT(Dong5),0,IF(OFFSET(TH!N$1,SMALL(Dong5,ROWS($1:16)),)=$E$7,OFFSET(TH!M$1,SMALL(Dong5,ROWS($1:16)),),0))</f>
        <v>0</v>
      </c>
      <c r="G30" s="419">
        <f ca="1">IF(ROWS($1:16)&gt;COUNT(Dong5),0,IF(OFFSET(TH!O$1,SMALL(Dong5,ROWS($1:16)),)=$E$7,OFFSET(TH!M$1,SMALL(Dong5,ROWS($1:16)),),0))</f>
        <v>0</v>
      </c>
      <c r="H30" s="422">
        <f t="shared" ca="1" si="0"/>
        <v>0</v>
      </c>
      <c r="I30" s="422">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20" t="str">
        <f ca="1">IF(ROWS($1:17)&gt;COUNT(Dong5),"",OFFSET(TH!F$1,SMALL(Dong5,ROWS($1:17)),))</f>
        <v/>
      </c>
      <c r="E31" s="334" t="str">
        <f ca="1">IF(ROWS($1:17)&gt;COUNT(Dong5),"",IF(OFFSET(TH!N$1,SMALL(Dong5,ROWS($1:17)),)=$E$7,OFFSET(TH!O$1,SMALL(Dong5,ROWS($1:17)),),OFFSET(TH!N$1,SMALL(Dong5,ROWS($1:17)),)))</f>
        <v/>
      </c>
      <c r="F31" s="421">
        <f ca="1">IF(ROWS($1:17)&gt;COUNT(Dong5),0,IF(OFFSET(TH!N$1,SMALL(Dong5,ROWS($1:17)),)=$E$7,OFFSET(TH!M$1,SMALL(Dong5,ROWS($1:17)),),0))</f>
        <v>0</v>
      </c>
      <c r="G31" s="419">
        <f ca="1">IF(ROWS($1:17)&gt;COUNT(Dong5),0,IF(OFFSET(TH!O$1,SMALL(Dong5,ROWS($1:17)),)=$E$7,OFFSET(TH!M$1,SMALL(Dong5,ROWS($1:17)),),0))</f>
        <v>0</v>
      </c>
      <c r="H31" s="422">
        <f t="shared" ca="1" si="0"/>
        <v>0</v>
      </c>
      <c r="I31" s="422">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20" t="str">
        <f ca="1">IF(ROWS($1:18)&gt;COUNT(Dong5),"",OFFSET(TH!F$1,SMALL(Dong5,ROWS($1:18)),))</f>
        <v/>
      </c>
      <c r="E32" s="334" t="str">
        <f ca="1">IF(ROWS($1:18)&gt;COUNT(Dong5),"",IF(OFFSET(TH!N$1,SMALL(Dong5,ROWS($1:18)),)=$E$7,OFFSET(TH!O$1,SMALL(Dong5,ROWS($1:18)),),OFFSET(TH!N$1,SMALL(Dong5,ROWS($1:18)),)))</f>
        <v/>
      </c>
      <c r="F32" s="421">
        <f ca="1">IF(ROWS($1:18)&gt;COUNT(Dong5),0,IF(OFFSET(TH!N$1,SMALL(Dong5,ROWS($1:18)),)=$E$7,OFFSET(TH!M$1,SMALL(Dong5,ROWS($1:18)),),0))</f>
        <v>0</v>
      </c>
      <c r="G32" s="419">
        <f ca="1">IF(ROWS($1:18)&gt;COUNT(Dong5),0,IF(OFFSET(TH!O$1,SMALL(Dong5,ROWS($1:18)),)=$E$7,OFFSET(TH!M$1,SMALL(Dong5,ROWS($1:18)),),0))</f>
        <v>0</v>
      </c>
      <c r="H32" s="422">
        <f t="shared" ca="1" si="0"/>
        <v>0</v>
      </c>
      <c r="I32" s="422">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20" t="str">
        <f ca="1">IF(ROWS($1:19)&gt;COUNT(Dong5),"",OFFSET(TH!F$1,SMALL(Dong5,ROWS($1:19)),))</f>
        <v/>
      </c>
      <c r="E33" s="334" t="str">
        <f ca="1">IF(ROWS($1:19)&gt;COUNT(Dong5),"",IF(OFFSET(TH!N$1,SMALL(Dong5,ROWS($1:19)),)=$E$7,OFFSET(TH!O$1,SMALL(Dong5,ROWS($1:19)),),OFFSET(TH!N$1,SMALL(Dong5,ROWS($1:19)),)))</f>
        <v/>
      </c>
      <c r="F33" s="421">
        <f ca="1">IF(ROWS($1:19)&gt;COUNT(Dong5),0,IF(OFFSET(TH!N$1,SMALL(Dong5,ROWS($1:19)),)=$E$7,OFFSET(TH!M$1,SMALL(Dong5,ROWS($1:19)),),0))</f>
        <v>0</v>
      </c>
      <c r="G33" s="419">
        <f ca="1">IF(ROWS($1:19)&gt;COUNT(Dong5),0,IF(OFFSET(TH!O$1,SMALL(Dong5,ROWS($1:19)),)=$E$7,OFFSET(TH!M$1,SMALL(Dong5,ROWS($1:19)),),0))</f>
        <v>0</v>
      </c>
      <c r="H33" s="422">
        <f t="shared" ref="H33:H46" ca="1" si="2">IF(D33&lt;&gt;"",MAX(H32+F33-G33-I32,0),0)</f>
        <v>0</v>
      </c>
      <c r="I33" s="422">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20" t="str">
        <f ca="1">IF(ROWS($1:20)&gt;COUNT(Dong5),"",OFFSET(TH!F$1,SMALL(Dong5,ROWS($1:20)),))</f>
        <v/>
      </c>
      <c r="E34" s="334" t="str">
        <f ca="1">IF(ROWS($1:20)&gt;COUNT(Dong5),"",IF(OFFSET(TH!N$1,SMALL(Dong5,ROWS($1:20)),)=$E$7,OFFSET(TH!O$1,SMALL(Dong5,ROWS($1:20)),),OFFSET(TH!N$1,SMALL(Dong5,ROWS($1:20)),)))</f>
        <v/>
      </c>
      <c r="F34" s="421">
        <f ca="1">IF(ROWS($1:20)&gt;COUNT(Dong5),0,IF(OFFSET(TH!N$1,SMALL(Dong5,ROWS($1:20)),)=$E$7,OFFSET(TH!M$1,SMALL(Dong5,ROWS($1:20)),),0))</f>
        <v>0</v>
      </c>
      <c r="G34" s="419">
        <f ca="1">IF(ROWS($1:20)&gt;COUNT(Dong5),0,IF(OFFSET(TH!O$1,SMALL(Dong5,ROWS($1:20)),)=$E$7,OFFSET(TH!M$1,SMALL(Dong5,ROWS($1:20)),),0))</f>
        <v>0</v>
      </c>
      <c r="H34" s="422">
        <f t="shared" ca="1" si="2"/>
        <v>0</v>
      </c>
      <c r="I34" s="422">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20" t="str">
        <f ca="1">IF(ROWS($1:21)&gt;COUNT(Dong5),"",OFFSET(TH!F$1,SMALL(Dong5,ROWS($1:21)),))</f>
        <v/>
      </c>
      <c r="E35" s="334" t="str">
        <f ca="1">IF(ROWS($1:21)&gt;COUNT(Dong5),"",IF(OFFSET(TH!N$1,SMALL(Dong5,ROWS($1:21)),)=$E$7,OFFSET(TH!O$1,SMALL(Dong5,ROWS($1:21)),),OFFSET(TH!N$1,SMALL(Dong5,ROWS($1:21)),)))</f>
        <v/>
      </c>
      <c r="F35" s="421">
        <f ca="1">IF(ROWS($1:21)&gt;COUNT(Dong5),0,IF(OFFSET(TH!N$1,SMALL(Dong5,ROWS($1:21)),)=$E$7,OFFSET(TH!M$1,SMALL(Dong5,ROWS($1:21)),),0))</f>
        <v>0</v>
      </c>
      <c r="G35" s="419">
        <f ca="1">IF(ROWS($1:21)&gt;COUNT(Dong5),0,IF(OFFSET(TH!O$1,SMALL(Dong5,ROWS($1:21)),)=$E$7,OFFSET(TH!M$1,SMALL(Dong5,ROWS($1:21)),),0))</f>
        <v>0</v>
      </c>
      <c r="H35" s="422">
        <f t="shared" ca="1" si="2"/>
        <v>0</v>
      </c>
      <c r="I35" s="422">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20" t="str">
        <f ca="1">IF(ROWS($1:22)&gt;COUNT(Dong5),"",OFFSET(TH!F$1,SMALL(Dong5,ROWS($1:22)),))</f>
        <v/>
      </c>
      <c r="E36" s="334" t="str">
        <f ca="1">IF(ROWS($1:22)&gt;COUNT(Dong5),"",IF(OFFSET(TH!N$1,SMALL(Dong5,ROWS($1:22)),)=$E$7,OFFSET(TH!O$1,SMALL(Dong5,ROWS($1:22)),),OFFSET(TH!N$1,SMALL(Dong5,ROWS($1:22)),)))</f>
        <v/>
      </c>
      <c r="F36" s="421">
        <f ca="1">IF(ROWS($1:22)&gt;COUNT(Dong5),0,IF(OFFSET(TH!N$1,SMALL(Dong5,ROWS($1:22)),)=$E$7,OFFSET(TH!M$1,SMALL(Dong5,ROWS($1:22)),),0))</f>
        <v>0</v>
      </c>
      <c r="G36" s="419">
        <f ca="1">IF(ROWS($1:22)&gt;COUNT(Dong5),0,IF(OFFSET(TH!O$1,SMALL(Dong5,ROWS($1:22)),)=$E$7,OFFSET(TH!M$1,SMALL(Dong5,ROWS($1:22)),),0))</f>
        <v>0</v>
      </c>
      <c r="H36" s="422">
        <f t="shared" ca="1" si="2"/>
        <v>0</v>
      </c>
      <c r="I36" s="422">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20" t="str">
        <f ca="1">IF(ROWS($1:23)&gt;COUNT(Dong5),"",OFFSET(TH!F$1,SMALL(Dong5,ROWS($1:23)),))</f>
        <v/>
      </c>
      <c r="E37" s="334" t="str">
        <f ca="1">IF(ROWS($1:23)&gt;COUNT(Dong5),"",IF(OFFSET(TH!N$1,SMALL(Dong5,ROWS($1:23)),)=$E$7,OFFSET(TH!O$1,SMALL(Dong5,ROWS($1:23)),),OFFSET(TH!N$1,SMALL(Dong5,ROWS($1:23)),)))</f>
        <v/>
      </c>
      <c r="F37" s="421">
        <f ca="1">IF(ROWS($1:23)&gt;COUNT(Dong5),0,IF(OFFSET(TH!N$1,SMALL(Dong5,ROWS($1:23)),)=$E$7,OFFSET(TH!M$1,SMALL(Dong5,ROWS($1:23)),),0))</f>
        <v>0</v>
      </c>
      <c r="G37" s="419">
        <f ca="1">IF(ROWS($1:23)&gt;COUNT(Dong5),0,IF(OFFSET(TH!O$1,SMALL(Dong5,ROWS($1:23)),)=$E$7,OFFSET(TH!M$1,SMALL(Dong5,ROWS($1:23)),),0))</f>
        <v>0</v>
      </c>
      <c r="H37" s="422">
        <f t="shared" ca="1" si="2"/>
        <v>0</v>
      </c>
      <c r="I37" s="422">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20" t="str">
        <f ca="1">IF(ROWS($1:24)&gt;COUNT(Dong5),"",OFFSET(TH!F$1,SMALL(Dong5,ROWS($1:24)),))</f>
        <v/>
      </c>
      <c r="E38" s="334" t="str">
        <f ca="1">IF(ROWS($1:24)&gt;COUNT(Dong5),"",IF(OFFSET(TH!N$1,SMALL(Dong5,ROWS($1:24)),)=$E$7,OFFSET(TH!O$1,SMALL(Dong5,ROWS($1:24)),),OFFSET(TH!N$1,SMALL(Dong5,ROWS($1:24)),)))</f>
        <v/>
      </c>
      <c r="F38" s="421">
        <f ca="1">IF(ROWS($1:24)&gt;COUNT(Dong5),0,IF(OFFSET(TH!N$1,SMALL(Dong5,ROWS($1:24)),)=$E$7,OFFSET(TH!M$1,SMALL(Dong5,ROWS($1:24)),),0))</f>
        <v>0</v>
      </c>
      <c r="G38" s="419">
        <f ca="1">IF(ROWS($1:24)&gt;COUNT(Dong5),0,IF(OFFSET(TH!O$1,SMALL(Dong5,ROWS($1:24)),)=$E$7,OFFSET(TH!M$1,SMALL(Dong5,ROWS($1:24)),),0))</f>
        <v>0</v>
      </c>
      <c r="H38" s="422">
        <f t="shared" ca="1" si="2"/>
        <v>0</v>
      </c>
      <c r="I38" s="422">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20" t="str">
        <f ca="1">IF(ROWS($1:25)&gt;COUNT(Dong5),"",OFFSET(TH!F$1,SMALL(Dong5,ROWS($1:25)),))</f>
        <v/>
      </c>
      <c r="E39" s="334" t="str">
        <f ca="1">IF(ROWS($1:25)&gt;COUNT(Dong5),"",IF(OFFSET(TH!N$1,SMALL(Dong5,ROWS($1:25)),)=$E$7,OFFSET(TH!O$1,SMALL(Dong5,ROWS($1:25)),),OFFSET(TH!N$1,SMALL(Dong5,ROWS($1:25)),)))</f>
        <v/>
      </c>
      <c r="F39" s="421">
        <f ca="1">IF(ROWS($1:25)&gt;COUNT(Dong5),0,IF(OFFSET(TH!N$1,SMALL(Dong5,ROWS($1:25)),)=$E$7,OFFSET(TH!M$1,SMALL(Dong5,ROWS($1:25)),),0))</f>
        <v>0</v>
      </c>
      <c r="G39" s="419">
        <f ca="1">IF(ROWS($1:25)&gt;COUNT(Dong5),0,IF(OFFSET(TH!O$1,SMALL(Dong5,ROWS($1:25)),)=$E$7,OFFSET(TH!M$1,SMALL(Dong5,ROWS($1:25)),),0))</f>
        <v>0</v>
      </c>
      <c r="H39" s="422">
        <f t="shared" ca="1" si="2"/>
        <v>0</v>
      </c>
      <c r="I39" s="422">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20" t="str">
        <f ca="1">IF(ROWS($1:26)&gt;COUNT(Dong5),"",OFFSET(TH!F$1,SMALL(Dong5,ROWS($1:26)),))</f>
        <v/>
      </c>
      <c r="E40" s="334" t="str">
        <f ca="1">IF(ROWS($1:26)&gt;COUNT(Dong5),"",IF(OFFSET(TH!N$1,SMALL(Dong5,ROWS($1:26)),)=$E$7,OFFSET(TH!O$1,SMALL(Dong5,ROWS($1:26)),),OFFSET(TH!N$1,SMALL(Dong5,ROWS($1:26)),)))</f>
        <v/>
      </c>
      <c r="F40" s="421">
        <f ca="1">IF(ROWS($1:26)&gt;COUNT(Dong5),0,IF(OFFSET(TH!N$1,SMALL(Dong5,ROWS($1:26)),)=$E$7,OFFSET(TH!M$1,SMALL(Dong5,ROWS($1:26)),),0))</f>
        <v>0</v>
      </c>
      <c r="G40" s="419">
        <f ca="1">IF(ROWS($1:26)&gt;COUNT(Dong5),0,IF(OFFSET(TH!O$1,SMALL(Dong5,ROWS($1:26)),)=$E$7,OFFSET(TH!M$1,SMALL(Dong5,ROWS($1:26)),),0))</f>
        <v>0</v>
      </c>
      <c r="H40" s="422">
        <f t="shared" ca="1" si="2"/>
        <v>0</v>
      </c>
      <c r="I40" s="422">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20" t="str">
        <f ca="1">IF(ROWS($1:27)&gt;COUNT(Dong5),"",OFFSET(TH!F$1,SMALL(Dong5,ROWS($1:27)),))</f>
        <v/>
      </c>
      <c r="E41" s="334" t="str">
        <f ca="1">IF(ROWS($1:27)&gt;COUNT(Dong5),"",IF(OFFSET(TH!N$1,SMALL(Dong5,ROWS($1:27)),)=$E$7,OFFSET(TH!O$1,SMALL(Dong5,ROWS($1:27)),),OFFSET(TH!N$1,SMALL(Dong5,ROWS($1:27)),)))</f>
        <v/>
      </c>
      <c r="F41" s="421">
        <f ca="1">IF(ROWS($1:27)&gt;COUNT(Dong5),0,IF(OFFSET(TH!N$1,SMALL(Dong5,ROWS($1:27)),)=$E$7,OFFSET(TH!M$1,SMALL(Dong5,ROWS($1:27)),),0))</f>
        <v>0</v>
      </c>
      <c r="G41" s="419">
        <f ca="1">IF(ROWS($1:27)&gt;COUNT(Dong5),0,IF(OFFSET(TH!O$1,SMALL(Dong5,ROWS($1:27)),)=$E$7,OFFSET(TH!M$1,SMALL(Dong5,ROWS($1:27)),),0))</f>
        <v>0</v>
      </c>
      <c r="H41" s="422">
        <f t="shared" ca="1" si="2"/>
        <v>0</v>
      </c>
      <c r="I41" s="422">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20" t="str">
        <f ca="1">IF(ROWS($1:28)&gt;COUNT(Dong5),"",OFFSET(TH!F$1,SMALL(Dong5,ROWS($1:28)),))</f>
        <v/>
      </c>
      <c r="E42" s="334" t="str">
        <f ca="1">IF(ROWS($1:28)&gt;COUNT(Dong5),"",IF(OFFSET(TH!N$1,SMALL(Dong5,ROWS($1:28)),)=$E$7,OFFSET(TH!O$1,SMALL(Dong5,ROWS($1:28)),),OFFSET(TH!N$1,SMALL(Dong5,ROWS($1:28)),)))</f>
        <v/>
      </c>
      <c r="F42" s="421">
        <f ca="1">IF(ROWS($1:28)&gt;COUNT(Dong5),0,IF(OFFSET(TH!N$1,SMALL(Dong5,ROWS($1:28)),)=$E$7,OFFSET(TH!M$1,SMALL(Dong5,ROWS($1:28)),),0))</f>
        <v>0</v>
      </c>
      <c r="G42" s="419">
        <f ca="1">IF(ROWS($1:28)&gt;COUNT(Dong5),0,IF(OFFSET(TH!O$1,SMALL(Dong5,ROWS($1:28)),)=$E$7,OFFSET(TH!M$1,SMALL(Dong5,ROWS($1:28)),),0))</f>
        <v>0</v>
      </c>
      <c r="H42" s="422">
        <f t="shared" ca="1" si="2"/>
        <v>0</v>
      </c>
      <c r="I42" s="422">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20" t="str">
        <f ca="1">IF(ROWS($1:29)&gt;COUNT(Dong5),"",OFFSET(TH!F$1,SMALL(Dong5,ROWS($1:29)),))</f>
        <v/>
      </c>
      <c r="E43" s="334" t="str">
        <f ca="1">IF(ROWS($1:29)&gt;COUNT(Dong5),"",IF(OFFSET(TH!N$1,SMALL(Dong5,ROWS($1:29)),)=$E$7,OFFSET(TH!O$1,SMALL(Dong5,ROWS($1:29)),),OFFSET(TH!N$1,SMALL(Dong5,ROWS($1:29)),)))</f>
        <v/>
      </c>
      <c r="F43" s="421">
        <f ca="1">IF(ROWS($1:29)&gt;COUNT(Dong5),0,IF(OFFSET(TH!N$1,SMALL(Dong5,ROWS($1:29)),)=$E$7,OFFSET(TH!M$1,SMALL(Dong5,ROWS($1:29)),),0))</f>
        <v>0</v>
      </c>
      <c r="G43" s="419">
        <f ca="1">IF(ROWS($1:29)&gt;COUNT(Dong5),0,IF(OFFSET(TH!O$1,SMALL(Dong5,ROWS($1:29)),)=$E$7,OFFSET(TH!M$1,SMALL(Dong5,ROWS($1:29)),),0))</f>
        <v>0</v>
      </c>
      <c r="H43" s="422">
        <f t="shared" ca="1" si="2"/>
        <v>0</v>
      </c>
      <c r="I43" s="422">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20" t="str">
        <f ca="1">IF(ROWS($1:30)&gt;COUNT(Dong5),"",OFFSET(TH!F$1,SMALL(Dong5,ROWS($1:30)),))</f>
        <v/>
      </c>
      <c r="E44" s="334" t="str">
        <f ca="1">IF(ROWS($1:30)&gt;COUNT(Dong5),"",IF(OFFSET(TH!N$1,SMALL(Dong5,ROWS($1:30)),)=$E$7,OFFSET(TH!O$1,SMALL(Dong5,ROWS($1:30)),),OFFSET(TH!N$1,SMALL(Dong5,ROWS($1:30)),)))</f>
        <v/>
      </c>
      <c r="F44" s="421">
        <f ca="1">IF(ROWS($1:30)&gt;COUNT(Dong5),0,IF(OFFSET(TH!N$1,SMALL(Dong5,ROWS($1:30)),)=$E$7,OFFSET(TH!M$1,SMALL(Dong5,ROWS($1:30)),),0))</f>
        <v>0</v>
      </c>
      <c r="G44" s="419">
        <f ca="1">IF(ROWS($1:30)&gt;COUNT(Dong5),0,IF(OFFSET(TH!O$1,SMALL(Dong5,ROWS($1:30)),)=$E$7,OFFSET(TH!M$1,SMALL(Dong5,ROWS($1:30)),),0))</f>
        <v>0</v>
      </c>
      <c r="H44" s="422">
        <f t="shared" ca="1" si="2"/>
        <v>0</v>
      </c>
      <c r="I44" s="422">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20" t="str">
        <f ca="1">IF(ROWS($1:31)&gt;COUNT(Dong5),"",OFFSET(TH!F$1,SMALL(Dong5,ROWS($1:31)),))</f>
        <v/>
      </c>
      <c r="E45" s="334" t="str">
        <f ca="1">IF(ROWS($1:31)&gt;COUNT(Dong5),"",IF(OFFSET(TH!N$1,SMALL(Dong5,ROWS($1:31)),)=$E$7,OFFSET(TH!O$1,SMALL(Dong5,ROWS($1:31)),),OFFSET(TH!N$1,SMALL(Dong5,ROWS($1:31)),)))</f>
        <v/>
      </c>
      <c r="F45" s="421">
        <f ca="1">IF(ROWS($1:31)&gt;COUNT(Dong5),0,IF(OFFSET(TH!N$1,SMALL(Dong5,ROWS($1:31)),)=$E$7,OFFSET(TH!M$1,SMALL(Dong5,ROWS($1:31)),),0))</f>
        <v>0</v>
      </c>
      <c r="G45" s="419">
        <f ca="1">IF(ROWS($1:31)&gt;COUNT(Dong5),0,IF(OFFSET(TH!O$1,SMALL(Dong5,ROWS($1:31)),)=$E$7,OFFSET(TH!M$1,SMALL(Dong5,ROWS($1:31)),),0))</f>
        <v>0</v>
      </c>
      <c r="H45" s="422">
        <f t="shared" ca="1" si="2"/>
        <v>0</v>
      </c>
      <c r="I45" s="422">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20" t="str">
        <f ca="1">IF(ROWS($1:32)&gt;COUNT(Dong5),"",OFFSET(TH!F$1,SMALL(Dong5,ROWS($1:32)),))</f>
        <v/>
      </c>
      <c r="E46" s="334" t="str">
        <f ca="1">IF(ROWS($1:32)&gt;COUNT(Dong5),"",IF(OFFSET(TH!N$1,SMALL(Dong5,ROWS($1:32)),)=$E$7,OFFSET(TH!O$1,SMALL(Dong5,ROWS($1:32)),),OFFSET(TH!N$1,SMALL(Dong5,ROWS($1:32)),)))</f>
        <v/>
      </c>
      <c r="F46" s="421">
        <f ca="1">IF(ROWS($1:32)&gt;COUNT(Dong5),0,IF(OFFSET(TH!N$1,SMALL(Dong5,ROWS($1:32)),)=$E$7,OFFSET(TH!M$1,SMALL(Dong5,ROWS($1:32)),),0))</f>
        <v>0</v>
      </c>
      <c r="G46" s="419">
        <f ca="1">IF(ROWS($1:32)&gt;COUNT(Dong5),0,IF(OFFSET(TH!O$1,SMALL(Dong5,ROWS($1:32)),)=$E$7,OFFSET(TH!M$1,SMALL(Dong5,ROWS($1:32)),),0))</f>
        <v>0</v>
      </c>
      <c r="H46" s="422">
        <f t="shared" ca="1" si="2"/>
        <v>0</v>
      </c>
      <c r="I46" s="422">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20" t="str">
        <f ca="1">IF(ROWS($1:33)&gt;COUNT(Dong5),"",OFFSET(TH!F$1,SMALL(Dong5,ROWS($1:33)),))</f>
        <v/>
      </c>
      <c r="E47" s="334" t="str">
        <f ca="1">IF(ROWS($1:33)&gt;COUNT(Dong5),"",IF(OFFSET(TH!N$1,SMALL(Dong5,ROWS($1:33)),)=$E$7,OFFSET(TH!O$1,SMALL(Dong5,ROWS($1:33)),),OFFSET(TH!N$1,SMALL(Dong5,ROWS($1:33)),)))</f>
        <v/>
      </c>
      <c r="F47" s="421">
        <f ca="1">IF(ROWS($1:33)&gt;COUNT(Dong5),0,IF(OFFSET(TH!N$1,SMALL(Dong5,ROWS($1:33)),)=$E$7,OFFSET(TH!M$1,SMALL(Dong5,ROWS($1:33)),),0))</f>
        <v>0</v>
      </c>
      <c r="G47" s="419">
        <f ca="1">IF(ROWS($1:33)&gt;COUNT(Dong5),0,IF(OFFSET(TH!O$1,SMALL(Dong5,ROWS($1:33)),)=$E$7,OFFSET(TH!M$1,SMALL(Dong5,ROWS($1:33)),),0))</f>
        <v>0</v>
      </c>
      <c r="H47" s="422">
        <f ca="1">IF(D47&lt;&gt;"",MAX(H46+F47-G47-I46,0),0)</f>
        <v>0</v>
      </c>
      <c r="I47" s="422">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20" t="str">
        <f ca="1">IF(ROWS($1:34)&gt;COUNT(Dong5),"",OFFSET(TH!F$1,SMALL(Dong5,ROWS($1:34)),))</f>
        <v/>
      </c>
      <c r="E48" s="334" t="str">
        <f ca="1">IF(ROWS($1:34)&gt;COUNT(Dong5),"",IF(OFFSET(TH!N$1,SMALL(Dong5,ROWS($1:34)),)=$E$7,OFFSET(TH!O$1,SMALL(Dong5,ROWS($1:34)),),OFFSET(TH!N$1,SMALL(Dong5,ROWS($1:34)),)))</f>
        <v/>
      </c>
      <c r="F48" s="421">
        <f ca="1">IF(ROWS($1:34)&gt;COUNT(Dong5),0,IF(OFFSET(TH!N$1,SMALL(Dong5,ROWS($1:34)),)=$E$7,OFFSET(TH!M$1,SMALL(Dong5,ROWS($1:34)),),0))</f>
        <v>0</v>
      </c>
      <c r="G48" s="419">
        <f ca="1">IF(ROWS($1:34)&gt;COUNT(Dong5),0,IF(OFFSET(TH!O$1,SMALL(Dong5,ROWS($1:34)),)=$E$7,OFFSET(TH!M$1,SMALL(Dong5,ROWS($1:34)),),0))</f>
        <v>0</v>
      </c>
      <c r="H48" s="422">
        <f ca="1">IF(D48&lt;&gt;"",MAX(H47+F48-G48-I47,0),0)</f>
        <v>0</v>
      </c>
      <c r="I48" s="422">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20" t="str">
        <f ca="1">IF(ROWS($1:35)&gt;COUNT(Dong5),"",OFFSET(TH!F$1,SMALL(Dong5,ROWS($1:35)),))</f>
        <v/>
      </c>
      <c r="E49" s="334" t="str">
        <f ca="1">IF(ROWS($1:35)&gt;COUNT(Dong5),"",IF(OFFSET(TH!N$1,SMALL(Dong5,ROWS($1:35)),)=$E$7,OFFSET(TH!O$1,SMALL(Dong5,ROWS($1:35)),),OFFSET(TH!N$1,SMALL(Dong5,ROWS($1:35)),)))</f>
        <v/>
      </c>
      <c r="F49" s="421">
        <f ca="1">IF(ROWS($1:35)&gt;COUNT(Dong5),0,IF(OFFSET(TH!N$1,SMALL(Dong5,ROWS($1:35)),)=$E$7,OFFSET(TH!M$1,SMALL(Dong5,ROWS($1:35)),),0))</f>
        <v>0</v>
      </c>
      <c r="G49" s="419">
        <f ca="1">IF(ROWS($1:35)&gt;COUNT(Dong5),0,IF(OFFSET(TH!O$1,SMALL(Dong5,ROWS($1:35)),)=$E$7,OFFSET(TH!M$1,SMALL(Dong5,ROWS($1:35)),),0))</f>
        <v>0</v>
      </c>
      <c r="H49" s="422">
        <f ca="1">IF(D49&lt;&gt;"",MAX(H48+F49-G49-I48,0),0)</f>
        <v>0</v>
      </c>
      <c r="I49" s="422">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20" t="str">
        <f ca="1">IF(ROWS($1:36)&gt;COUNT(Dong5),"",OFFSET(TH!F$1,SMALL(Dong5,ROWS($1:36)),))</f>
        <v/>
      </c>
      <c r="E50" s="334" t="str">
        <f ca="1">IF(ROWS($1:36)&gt;COUNT(Dong5),"",IF(OFFSET(TH!N$1,SMALL(Dong5,ROWS($1:36)),)=$E$7,OFFSET(TH!O$1,SMALL(Dong5,ROWS($1:36)),),OFFSET(TH!N$1,SMALL(Dong5,ROWS($1:36)),)))</f>
        <v/>
      </c>
      <c r="F50" s="421">
        <f ca="1">IF(ROWS($1:36)&gt;COUNT(Dong5),0,IF(OFFSET(TH!N$1,SMALL(Dong5,ROWS($1:36)),)=$E$7,OFFSET(TH!M$1,SMALL(Dong5,ROWS($1:36)),),0))</f>
        <v>0</v>
      </c>
      <c r="G50" s="419">
        <f ca="1">IF(ROWS($1:36)&gt;COUNT(Dong5),0,IF(OFFSET(TH!O$1,SMALL(Dong5,ROWS($1:36)),)=$E$7,OFFSET(TH!M$1,SMALL(Dong5,ROWS($1:36)),),0))</f>
        <v>0</v>
      </c>
      <c r="H50" s="422">
        <f ca="1">IF(D50&lt;&gt;"",MAX(H49+F50-G50-I49,0),0)</f>
        <v>0</v>
      </c>
      <c r="I50" s="422">
        <f ca="1">IF(D50&lt;&gt;"",MAX(I49+G50-H49-F50,0),0)</f>
        <v>0</v>
      </c>
    </row>
    <row r="51" spans="1:9" s="18" customFormat="1" ht="18" customHeight="1">
      <c r="A51" s="334"/>
      <c r="B51" s="335"/>
      <c r="C51" s="334"/>
      <c r="D51" s="407" t="s">
        <v>158</v>
      </c>
      <c r="E51" s="335" t="s">
        <v>21</v>
      </c>
      <c r="F51" s="423">
        <f ca="1">SUM(F15:F50)</f>
        <v>45000000</v>
      </c>
      <c r="G51" s="423">
        <f ca="1">SUM(G15:G50)</f>
        <v>160000000</v>
      </c>
      <c r="H51" s="423" t="s">
        <v>21</v>
      </c>
      <c r="I51" s="423" t="s">
        <v>21</v>
      </c>
    </row>
    <row r="52" spans="1:9" s="18" customFormat="1" ht="18" customHeight="1">
      <c r="A52" s="424"/>
      <c r="B52" s="412"/>
      <c r="C52" s="424"/>
      <c r="D52" s="411" t="s">
        <v>10</v>
      </c>
      <c r="E52" s="412" t="s">
        <v>21</v>
      </c>
      <c r="F52" s="425" t="s">
        <v>21</v>
      </c>
      <c r="G52" s="425" t="s">
        <v>21</v>
      </c>
      <c r="H52" s="426">
        <f ca="1">MAX(H14+F51-G51-I14,0)</f>
        <v>1385000000</v>
      </c>
      <c r="I52" s="426">
        <f ca="1">MAX(I14+G51-F51-H14,0)</f>
        <v>0</v>
      </c>
    </row>
    <row r="53" spans="1:9" s="18" customFormat="1" ht="9.75" customHeight="1">
      <c r="A53" s="363"/>
      <c r="B53" s="363"/>
      <c r="C53" s="363"/>
      <c r="E53" s="363"/>
    </row>
    <row r="54" spans="1:9" s="18" customFormat="1" ht="12.75">
      <c r="A54" s="363"/>
      <c r="B54" s="363"/>
      <c r="C54" s="427" t="s">
        <v>253</v>
      </c>
      <c r="E54" s="363"/>
    </row>
    <row r="55" spans="1:9" s="18" customFormat="1" ht="12.75">
      <c r="A55" s="363"/>
      <c r="B55" s="363"/>
      <c r="C55" s="28" t="s">
        <v>189</v>
      </c>
      <c r="E55" s="363"/>
    </row>
    <row r="56" spans="1:9" s="18" customFormat="1" ht="13.5" customHeight="1">
      <c r="A56" s="363"/>
      <c r="B56" s="363"/>
      <c r="C56" s="363"/>
      <c r="E56" s="1240" t="s">
        <v>190</v>
      </c>
      <c r="F56" s="1240"/>
      <c r="G56" s="1240"/>
      <c r="H56" s="1240"/>
      <c r="I56" s="1240"/>
    </row>
    <row r="57" spans="1:9" s="18" customFormat="1" ht="12.75">
      <c r="A57" s="1240" t="s">
        <v>11</v>
      </c>
      <c r="B57" s="1240"/>
      <c r="C57" s="1240"/>
      <c r="D57" s="1240"/>
      <c r="E57" s="1240" t="s">
        <v>12</v>
      </c>
      <c r="F57" s="1240"/>
      <c r="G57" s="1240"/>
      <c r="H57" s="1240"/>
      <c r="I57" s="1240"/>
    </row>
    <row r="58" spans="1:9" s="18" customFormat="1" ht="12.75">
      <c r="A58" s="1240" t="s">
        <v>13</v>
      </c>
      <c r="B58" s="1240"/>
      <c r="C58" s="1240"/>
      <c r="D58" s="1240"/>
      <c r="E58" s="1240" t="s">
        <v>13</v>
      </c>
      <c r="F58" s="1240"/>
      <c r="G58" s="1240"/>
      <c r="H58" s="1240"/>
      <c r="I58" s="1240"/>
    </row>
    <row r="59" spans="1:9" s="18" customFormat="1" ht="12.75">
      <c r="A59" s="363"/>
      <c r="B59" s="363"/>
      <c r="C59" s="363"/>
      <c r="E59" s="363"/>
    </row>
    <row r="60" spans="1:9">
      <c r="D60" s="251"/>
      <c r="F60" s="252"/>
    </row>
    <row r="65" spans="1:4">
      <c r="A65" s="1241" t="s">
        <v>230</v>
      </c>
      <c r="B65" s="1241"/>
      <c r="C65" s="1241"/>
      <c r="D65" s="1241"/>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7"/>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8"/>
      <c r="R4" s="122"/>
      <c r="S4" s="225">
        <v>2</v>
      </c>
      <c r="T4" s="122"/>
      <c r="U4" s="1019" t="s">
        <v>4</v>
      </c>
      <c r="V4" s="148"/>
      <c r="W4" s="1020">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17"/>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60" t="s">
        <v>125</v>
      </c>
      <c r="H24" s="360" t="str">
        <f>IF($U$4="T","","Phạm Thị Đông")</f>
        <v>Phạm Thị Đông</v>
      </c>
      <c r="J24" s="360" t="s">
        <v>230</v>
      </c>
      <c r="M24" s="360"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44" t="s">
        <v>143</v>
      </c>
      <c r="H1" s="1244"/>
      <c r="I1" s="1244"/>
      <c r="J1" s="1244"/>
    </row>
    <row r="2" spans="1:12" s="3" customFormat="1" ht="16.5" customHeight="1">
      <c r="A2" s="137" t="s">
        <v>139</v>
      </c>
      <c r="B2" s="16"/>
      <c r="C2" s="16"/>
      <c r="D2" s="16"/>
      <c r="E2" s="16"/>
      <c r="G2" s="1245" t="s">
        <v>144</v>
      </c>
      <c r="H2" s="1245"/>
      <c r="I2" s="1245"/>
      <c r="J2" s="1245"/>
    </row>
    <row r="3" spans="1:12" s="3" customFormat="1" ht="16.5" customHeight="1">
      <c r="A3" s="4"/>
      <c r="B3" s="16"/>
      <c r="C3" s="154"/>
      <c r="D3" s="154"/>
      <c r="E3" s="16"/>
      <c r="G3" s="1245"/>
      <c r="H3" s="1245"/>
      <c r="I3" s="1245"/>
      <c r="J3" s="1245"/>
    </row>
    <row r="4" spans="1:12" s="3" customFormat="1" ht="6.75" customHeight="1">
      <c r="A4" s="16"/>
      <c r="B4" s="16"/>
      <c r="C4" s="16"/>
      <c r="D4" s="16"/>
      <c r="E4" s="16"/>
      <c r="G4" s="155"/>
      <c r="H4" s="155"/>
      <c r="I4" s="155"/>
      <c r="J4" s="155"/>
    </row>
    <row r="5" spans="1:12" ht="24.75" customHeight="1">
      <c r="A5" s="1254" t="s">
        <v>145</v>
      </c>
      <c r="B5" s="1254"/>
      <c r="C5" s="1254"/>
      <c r="D5" s="1254"/>
      <c r="E5" s="1254"/>
      <c r="F5" s="1254"/>
      <c r="G5" s="1254"/>
      <c r="H5" s="1254"/>
      <c r="I5" s="1254"/>
      <c r="J5" s="1254"/>
    </row>
    <row r="6" spans="1:12" ht="14.25" customHeight="1">
      <c r="A6" s="1256" t="str">
        <f>$L$11&amp;" / 2015"</f>
        <v>1 / 2015</v>
      </c>
      <c r="B6" s="1256"/>
      <c r="C6" s="1256"/>
      <c r="D6" s="1256"/>
      <c r="E6" s="1256"/>
      <c r="F6" s="1256"/>
      <c r="G6" s="1256"/>
      <c r="H6" s="1256"/>
      <c r="I6" s="1256"/>
      <c r="J6" s="1256"/>
    </row>
    <row r="7" spans="1:12">
      <c r="A7" s="1255" t="s">
        <v>146</v>
      </c>
      <c r="B7" s="1255"/>
      <c r="C7" s="1255"/>
      <c r="D7" s="1255"/>
      <c r="E7" s="1255"/>
      <c r="F7" s="1255"/>
      <c r="G7" s="1255"/>
      <c r="H7" s="1255"/>
      <c r="I7" s="1255"/>
      <c r="J7" s="1255"/>
    </row>
    <row r="8" spans="1:12">
      <c r="A8" s="1255" t="s">
        <v>147</v>
      </c>
      <c r="B8" s="1255"/>
      <c r="C8" s="1255"/>
      <c r="D8" s="1255"/>
      <c r="E8" s="1255"/>
      <c r="F8" s="1255"/>
      <c r="G8" s="1255"/>
      <c r="H8" s="1255"/>
      <c r="I8" s="1255"/>
      <c r="J8" s="1255"/>
    </row>
    <row r="9" spans="1:12">
      <c r="A9" s="157"/>
      <c r="I9" s="157" t="s">
        <v>148</v>
      </c>
    </row>
    <row r="10" spans="1:12" ht="33" customHeight="1" thickBot="1">
      <c r="A10" s="1258" t="s">
        <v>22</v>
      </c>
      <c r="B10" s="1258" t="s">
        <v>149</v>
      </c>
      <c r="C10" s="1257" t="s">
        <v>150</v>
      </c>
      <c r="D10" s="1257"/>
      <c r="E10" s="1257" t="s">
        <v>0</v>
      </c>
      <c r="F10" s="1258" t="s">
        <v>16</v>
      </c>
      <c r="G10" s="1257" t="s">
        <v>23</v>
      </c>
      <c r="H10" s="1257"/>
      <c r="I10" s="1257" t="s">
        <v>151</v>
      </c>
      <c r="J10" s="1257" t="s">
        <v>152</v>
      </c>
      <c r="L10" s="183"/>
    </row>
    <row r="11" spans="1:12" ht="24" customHeight="1" thickBot="1">
      <c r="A11" s="1259"/>
      <c r="B11" s="1259"/>
      <c r="C11" s="158" t="s">
        <v>153</v>
      </c>
      <c r="D11" s="158" t="s">
        <v>154</v>
      </c>
      <c r="E11" s="1257"/>
      <c r="F11" s="1259"/>
      <c r="G11" s="158" t="s">
        <v>24</v>
      </c>
      <c r="H11" s="158" t="s">
        <v>25</v>
      </c>
      <c r="I11" s="1257"/>
      <c r="J11" s="1257"/>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2"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2"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2"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2"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2"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2"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2"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2"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2"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2"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2"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2"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2"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2"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2"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2"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2"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2"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2"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2"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2"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2"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2"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2"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2"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2"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2"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2"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2"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2"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2"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2"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2"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2"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2"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2"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2"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2"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2"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2"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2"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2"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2"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2"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2"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2"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2"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2"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2"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2"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2"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2"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2"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2"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2"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2"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2"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2"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2"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2"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2"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2"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2"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2"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2"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2"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2"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2"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2"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2"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2"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2"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2"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2"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2"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2"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2"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2"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2"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2"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2"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2"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2"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2"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2"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2"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2"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2"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2"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2"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2"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3"/>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7" t="s">
        <v>253</v>
      </c>
    </row>
    <row r="109" spans="1:12">
      <c r="A109" s="179" t="s">
        <v>235</v>
      </c>
      <c r="L109" s="427" t="s">
        <v>254</v>
      </c>
    </row>
    <row r="110" spans="1:12">
      <c r="A110" s="229" t="str">
        <f ca="1">"- Ngày mở sổ: "&amp;DAY($A$14)&amp;"/"&amp;MONTH($A$14)&amp;"/ 2015"</f>
        <v>- Ngày mở sổ: 2/1/ 2015</v>
      </c>
      <c r="L110" s="427" t="s">
        <v>160</v>
      </c>
    </row>
    <row r="111" spans="1:12">
      <c r="I111" s="319" t="str">
        <f>"Ngày "&amp;IF(OR($L$11=4,$L$11=6,$L$11=9,$L$11=11),"30",IF($L$11=2,"28","31"))&amp;" tháng "&amp;$L$11&amp;"  năm  2016 "</f>
        <v xml:space="preserve">Ngày 31 tháng 1  năm  2016 </v>
      </c>
      <c r="L111" s="427"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80" t="s">
        <v>230</v>
      </c>
      <c r="I120" s="381"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S99"/>
  <sheetViews>
    <sheetView topLeftCell="A6" workbookViewId="0">
      <pane ySplit="6" topLeftCell="A18" activePane="bottomLeft" state="frozen"/>
      <selection activeCell="A6" sqref="A6"/>
      <selection pane="bottomLeft" activeCell="M26" sqref="M26"/>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6"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4"/>
      <c r="G1" s="386" t="s">
        <v>236</v>
      </c>
      <c r="H1" s="1174"/>
      <c r="I1" s="384"/>
      <c r="K1" s="188"/>
      <c r="L1" s="188"/>
    </row>
    <row r="2" spans="1:19" s="185" customFormat="1" ht="16.5" customHeight="1">
      <c r="A2" s="388" t="s">
        <v>139</v>
      </c>
      <c r="B2" s="224"/>
      <c r="C2" s="224"/>
      <c r="D2" s="224"/>
      <c r="F2" s="385"/>
      <c r="G2" s="387" t="s">
        <v>237</v>
      </c>
      <c r="H2" s="1175"/>
      <c r="I2" s="385"/>
      <c r="K2" s="189"/>
      <c r="L2" s="189"/>
    </row>
    <row r="3" spans="1:19" s="185" customFormat="1" ht="16.5" customHeight="1">
      <c r="A3" s="224"/>
      <c r="B3" s="224"/>
      <c r="C3" s="224"/>
      <c r="D3" s="224"/>
      <c r="F3" s="385"/>
      <c r="G3" s="387" t="s">
        <v>238</v>
      </c>
      <c r="H3" s="1175"/>
      <c r="I3" s="385"/>
    </row>
    <row r="4" spans="1:19" s="185" customFormat="1" ht="19.5" customHeight="1">
      <c r="A4" s="1262" t="s">
        <v>165</v>
      </c>
      <c r="B4" s="1262"/>
      <c r="C4" s="1262"/>
      <c r="D4" s="1262"/>
      <c r="E4" s="1262"/>
      <c r="F4" s="1262"/>
      <c r="G4" s="1262"/>
      <c r="H4" s="1262"/>
      <c r="I4" s="1262"/>
    </row>
    <row r="5" spans="1:19" s="185" customFormat="1" ht="15">
      <c r="A5" s="1263" t="s">
        <v>166</v>
      </c>
      <c r="B5" s="1263"/>
      <c r="C5" s="1263"/>
      <c r="D5" s="1263"/>
      <c r="E5" s="1263"/>
      <c r="F5" s="1263"/>
      <c r="G5" s="1263"/>
      <c r="H5" s="1263"/>
      <c r="I5" s="1263"/>
    </row>
    <row r="6" spans="1:19" s="185" customFormat="1" ht="15">
      <c r="D6" s="454" t="s">
        <v>271</v>
      </c>
      <c r="E6" s="1263" t="str">
        <f>IF($H$6="VNĐ",IF($M$9="Q11","1015 148 5100 9180","1402 148 5100 9465"),IF($M$9="Q11","1015 148 5100 9193","1402 148 5100 9479"))</f>
        <v>1015 148 5100 9180</v>
      </c>
      <c r="F6" s="1263"/>
      <c r="G6" s="1263"/>
      <c r="H6" s="1176" t="s">
        <v>130</v>
      </c>
      <c r="I6" s="455" t="str">
        <f>IF(H6="VNĐ","1121",IF(H6="USD","1122",""))</f>
        <v>1121</v>
      </c>
      <c r="O6" s="1260" t="s">
        <v>931</v>
      </c>
      <c r="P6" s="1260" t="s">
        <v>929</v>
      </c>
      <c r="Q6" s="1260" t="s">
        <v>928</v>
      </c>
      <c r="R6" s="1260" t="s">
        <v>934</v>
      </c>
    </row>
    <row r="7" spans="1:19" s="185" customFormat="1" ht="8.25" customHeight="1">
      <c r="A7" s="190"/>
      <c r="B7" s="191"/>
      <c r="C7" s="190"/>
      <c r="D7" s="191"/>
      <c r="E7" s="191"/>
      <c r="F7" s="191"/>
      <c r="G7" s="191"/>
      <c r="H7" s="1177"/>
      <c r="I7" s="191"/>
      <c r="O7" s="1261"/>
      <c r="P7" s="1261"/>
      <c r="Q7" s="1261"/>
      <c r="R7" s="1261"/>
    </row>
    <row r="8" spans="1:19" s="192" customFormat="1" ht="22.5" customHeight="1" thickBot="1">
      <c r="A8" s="1266" t="s">
        <v>167</v>
      </c>
      <c r="B8" s="1268" t="s">
        <v>1</v>
      </c>
      <c r="C8" s="1269"/>
      <c r="D8" s="1264" t="s">
        <v>0</v>
      </c>
      <c r="E8" s="1270" t="s">
        <v>16</v>
      </c>
      <c r="F8" s="1268" t="s">
        <v>168</v>
      </c>
      <c r="G8" s="1268"/>
      <c r="H8" s="1269"/>
      <c r="I8" s="1264" t="s">
        <v>152</v>
      </c>
      <c r="K8" s="183"/>
      <c r="L8" s="185"/>
      <c r="O8" s="953" t="s">
        <v>933</v>
      </c>
      <c r="P8" s="440">
        <v>1749.9699999988079</v>
      </c>
      <c r="Q8" s="440">
        <v>97840.270000000019</v>
      </c>
      <c r="R8" s="440"/>
      <c r="S8" s="955">
        <f>SUM(P8:R8)</f>
        <v>99590.239999998827</v>
      </c>
    </row>
    <row r="9" spans="1:19" s="192" customFormat="1" ht="22.5" customHeight="1" thickBot="1">
      <c r="A9" s="1267"/>
      <c r="B9" s="193" t="s">
        <v>17</v>
      </c>
      <c r="C9" s="194" t="s">
        <v>169</v>
      </c>
      <c r="D9" s="1265"/>
      <c r="E9" s="1271"/>
      <c r="F9" s="435" t="s">
        <v>170</v>
      </c>
      <c r="G9" s="195" t="s">
        <v>171</v>
      </c>
      <c r="H9" s="1178" t="s">
        <v>172</v>
      </c>
      <c r="I9" s="1265"/>
      <c r="K9" s="950">
        <v>4</v>
      </c>
      <c r="L9" s="185"/>
      <c r="M9" s="951" t="s">
        <v>929</v>
      </c>
      <c r="O9" s="952" t="s">
        <v>932</v>
      </c>
      <c r="P9" s="954">
        <v>12092853</v>
      </c>
      <c r="Q9" s="954">
        <v>7626450</v>
      </c>
      <c r="R9" s="954">
        <v>109992</v>
      </c>
      <c r="S9" s="956">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60"/>
      <c r="G11" s="960"/>
      <c r="H11" s="957">
        <f>IF($H$6="USD",IF($M$9="Q11",$P$8,$Q$8)+SUMIF(_N112,"x",_TH)-SUMIF(_C112,"x",_TH),IF($M$9="Q11",$P$9,$Q$9)+SUMIF(_N112,"x",TH)-SUMIF(_C112,"x",TH))</f>
        <v>11759367</v>
      </c>
      <c r="I11" s="957"/>
      <c r="L11" s="185"/>
    </row>
    <row r="12" spans="1:19" s="192" customFormat="1" ht="20.25" customHeight="1">
      <c r="A12" s="203">
        <f ca="1">IF(ROWS($1:1)&gt;COUNT(Dong2),"",OFFSET(TH!C$1,SMALL(Dong2,ROWS($1:1)),))</f>
        <v>42481</v>
      </c>
      <c r="B12" s="203" t="str">
        <f ca="1">IF(ROWS($1:1)&gt;COUNT(Dong2),"",OFFSET(TH!D$1,SMALL(Dong2,ROWS($1:1)),))</f>
        <v>GBN</v>
      </c>
      <c r="C12" s="203">
        <f ca="1">IF(ROWS($1:1)&gt;COUNT(Dong2),"",OFFSET(TH!E$1,SMALL(Dong2,ROWS($1:1)),))</f>
        <v>42481</v>
      </c>
      <c r="D12" s="389" t="str">
        <f ca="1">IF(ROWS($1:1)&gt;COUNT(Dong2),"",OFFSET(TH!F$1,SMALL(Dong2,ROWS($1:1)),))</f>
        <v>Bán ngoại tệ</v>
      </c>
      <c r="E12" s="203" t="str">
        <f ca="1">IF(ROWS($1:1)&gt;COUNT(Dong2),"",IF(OFFSET(TH!O$1,SMALL(Dong2,ROWS($1:1)),)=$I$6,OFFSET(TH!N$1,SMALL(Dong2,ROWS($1:1)),),OFFSET(TH!O$1,SMALL(Dong2,ROWS($1:1)),)))</f>
        <v>1122</v>
      </c>
      <c r="F12" s="961">
        <f ca="1">IF(ROWS($1:1)&gt;COUNT(Dong2),"",IF(AND(IF($M$9="Q4",LEFT(OFFSET(TH!G$1,SMALL(Dong2,ROWS($1:1)),),2)=$M$9,LEFT(OFFSET(TH!G$1,SMALL(Dong2,ROWS($1:1)),),3)=$M$9),OFFSET(TH!N$1,SMALL(Dong2,ROWS($1:1)),)=$I$6),IF($I$6="1121",OFFSET(TH!M$1,SMALL(Dong2,ROWS($1:1)),),OFFSET(TH!K$1,SMALL(Dong2,ROWS($1:1)),)),0))</f>
        <v>86814000</v>
      </c>
      <c r="G12" s="961">
        <f ca="1">IF(ROWS($1:1)&gt;COUNT(Dong2),"",IF(AND(IF($M$9="Q4",RIGHT(OFFSET(TH!G$1,SMALL(Dong2,ROWS($1:1)),),2)=$M$9,RIGHT(OFFSET(TH!G$1,SMALL(Dong2,ROWS($1:1)),),3)=$M$9),OFFSET(TH!O$1,SMALL(Dong2,ROWS($1:1)),)=$I$6),IF($I$6="1121",OFFSET(TH!M$1,SMALL(Dong2,ROWS($1:1)),),OFFSET(TH!K$1,SMALL(Dong2,ROWS($1:1)),)),0))</f>
        <v>0</v>
      </c>
      <c r="H12" s="958">
        <f ca="1">IF(A12&lt;&gt;"",H11+F12-G12,0)</f>
        <v>98573367</v>
      </c>
      <c r="I12" s="958"/>
      <c r="L12" s="185"/>
    </row>
    <row r="13" spans="1:19" s="192" customFormat="1" ht="20.25" customHeight="1">
      <c r="A13" s="203">
        <f ca="1">IF(ROWS($1:2)&gt;COUNT(Dong2),"",OFFSET(TH!C$1,SMALL(Dong2,ROWS($1:2)),))</f>
        <v>42466</v>
      </c>
      <c r="B13" s="203" t="str">
        <f ca="1">IF(ROWS($1:2)&gt;COUNT(Dong2),"",OFFSET(TH!D$1,SMALL(Dong2,ROWS($1:2)),))</f>
        <v>GBN</v>
      </c>
      <c r="C13" s="203">
        <f ca="1">IF(ROWS($1:2)&gt;COUNT(Dong2),"",OFFSET(TH!E$1,SMALL(Dong2,ROWS($1:2)),))</f>
        <v>42466</v>
      </c>
      <c r="D13" s="389" t="str">
        <f ca="1">IF(ROWS($1:2)&gt;COUNT(Dong2),"",OFFSET(TH!F$1,SMALL(Dong2,ROWS($1:2)),))</f>
        <v>Phí thông báo LC</v>
      </c>
      <c r="E13" s="203" t="str">
        <f ca="1">IF(ROWS($1:2)&gt;COUNT(Dong2),"",IF(OFFSET(TH!O$1,SMALL(Dong2,ROWS($1:2)),)=$I$6,OFFSET(TH!N$1,SMALL(Dong2,ROWS($1:2)),),OFFSET(TH!O$1,SMALL(Dong2,ROWS($1:2)),)))</f>
        <v>642</v>
      </c>
      <c r="F13" s="961">
        <f ca="1">IF(ROWS($1:2)&gt;COUNT(Dong2),"",IF(AND(IF($M$9="Q4",LEFT(OFFSET(TH!G$1,SMALL(Dong2,ROWS($1:2)),),2)=$M$9,LEFT(OFFSET(TH!G$1,SMALL(Dong2,ROWS($1:2)),),3)=$M$9),OFFSET(TH!N$1,SMALL(Dong2,ROWS($1:2)),)=$I$6),IF($I$6="1121",OFFSET(TH!M$1,SMALL(Dong2,ROWS($1:2)),),OFFSET(TH!K$1,SMALL(Dong2,ROWS($1:2)),)),0))</f>
        <v>0</v>
      </c>
      <c r="G13" s="961">
        <f ca="1">IF(ROWS($1:2)&gt;COUNT(Dong2),"",IF(AND(IF($M$9="Q4",RIGHT(OFFSET(TH!G$1,SMALL(Dong2,ROWS($1:2)),),2)=$M$9,RIGHT(OFFSET(TH!G$1,SMALL(Dong2,ROWS($1:2)),),3)=$M$9),OFFSET(TH!O$1,SMALL(Dong2,ROWS($1:2)),)=$I$6),IF($I$6="1121",OFFSET(TH!M$1,SMALL(Dong2,ROWS($1:2)),),OFFSET(TH!K$1,SMALL(Dong2,ROWS($1:2)),)),0))</f>
        <v>333900</v>
      </c>
      <c r="H13" s="958">
        <f t="shared" ref="H13:H52" ca="1" si="0">IF(A13&lt;&gt;"",H12+F13-G13,0)</f>
        <v>98239467</v>
      </c>
      <c r="I13" s="958"/>
      <c r="L13" s="185"/>
    </row>
    <row r="14" spans="1:19" s="192" customFormat="1" ht="20.25" customHeight="1">
      <c r="A14" s="203">
        <f ca="1">IF(ROWS($1:3)&gt;COUNT(Dong2),"",OFFSET(TH!C$1,SMALL(Dong2,ROWS($1:3)),))</f>
        <v>42466</v>
      </c>
      <c r="B14" s="203" t="str">
        <f ca="1">IF(ROWS($1:3)&gt;COUNT(Dong2),"",OFFSET(TH!D$1,SMALL(Dong2,ROWS($1:3)),))</f>
        <v>GBN</v>
      </c>
      <c r="C14" s="203">
        <f ca="1">IF(ROWS($1:3)&gt;COUNT(Dong2),"",OFFSET(TH!E$1,SMALL(Dong2,ROWS($1:3)),))</f>
        <v>42466</v>
      </c>
      <c r="D14" s="389" t="str">
        <f ca="1">IF(ROWS($1:3)&gt;COUNT(Dong2),"",OFFSET(TH!F$1,SMALL(Dong2,ROWS($1:3)),))</f>
        <v>VAT Phí thông báo LC</v>
      </c>
      <c r="E14" s="203" t="str">
        <f ca="1">IF(ROWS($1:3)&gt;COUNT(Dong2),"",IF(OFFSET(TH!O$1,SMALL(Dong2,ROWS($1:3)),)=$I$6,OFFSET(TH!N$1,SMALL(Dong2,ROWS($1:3)),),OFFSET(TH!O$1,SMALL(Dong2,ROWS($1:3)),)))</f>
        <v>1331</v>
      </c>
      <c r="F14" s="961">
        <f ca="1">IF(ROWS($1:3)&gt;COUNT(Dong2),"",IF(AND(IF($M$9="Q4",LEFT(OFFSET(TH!G$1,SMALL(Dong2,ROWS($1:3)),),2)=$M$9,LEFT(OFFSET(TH!G$1,SMALL(Dong2,ROWS($1:3)),),3)=$M$9),OFFSET(TH!N$1,SMALL(Dong2,ROWS($1:3)),)=$I$6),IF($I$6="1121",OFFSET(TH!M$1,SMALL(Dong2,ROWS($1:3)),),OFFSET(TH!K$1,SMALL(Dong2,ROWS($1:3)),)),0))</f>
        <v>0</v>
      </c>
      <c r="G14" s="961">
        <f ca="1">IF(ROWS($1:3)&gt;COUNT(Dong2),"",IF(AND(IF($M$9="Q4",RIGHT(OFFSET(TH!G$1,SMALL(Dong2,ROWS($1:3)),),2)=$M$9,RIGHT(OFFSET(TH!G$1,SMALL(Dong2,ROWS($1:3)),),3)=$M$9),OFFSET(TH!O$1,SMALL(Dong2,ROWS($1:3)),)=$I$6),IF($I$6="1121",OFFSET(TH!M$1,SMALL(Dong2,ROWS($1:3)),),OFFSET(TH!K$1,SMALL(Dong2,ROWS($1:3)),)),0))</f>
        <v>33390</v>
      </c>
      <c r="H14" s="958">
        <f t="shared" ca="1" si="0"/>
        <v>98206077</v>
      </c>
      <c r="I14" s="958"/>
      <c r="L14" s="185"/>
    </row>
    <row r="15" spans="1:19" s="192" customFormat="1" ht="20.25" customHeight="1">
      <c r="A15" s="203">
        <f ca="1">IF(ROWS($1:4)&gt;COUNT(Dong2),"",OFFSET(TH!C$1,SMALL(Dong2,ROWS($1:4)),))</f>
        <v>42466</v>
      </c>
      <c r="B15" s="203" t="str">
        <f ca="1">IF(ROWS($1:4)&gt;COUNT(Dong2),"",OFFSET(TH!D$1,SMALL(Dong2,ROWS($1:4)),))</f>
        <v>GBN</v>
      </c>
      <c r="C15" s="203">
        <f ca="1">IF(ROWS($1:4)&gt;COUNT(Dong2),"",OFFSET(TH!E$1,SMALL(Dong2,ROWS($1:4)),))</f>
        <v>42466</v>
      </c>
      <c r="D15" s="389" t="str">
        <f ca="1">IF(ROWS($1:4)&gt;COUNT(Dong2),"",OFFSET(TH!F$1,SMALL(Dong2,ROWS($1:4)),))</f>
        <v>Lãi vay</v>
      </c>
      <c r="E15" s="203" t="str">
        <f ca="1">IF(ROWS($1:4)&gt;COUNT(Dong2),"",IF(OFFSET(TH!O$1,SMALL(Dong2,ROWS($1:4)),)=$I$6,OFFSET(TH!N$1,SMALL(Dong2,ROWS($1:4)),),OFFSET(TH!O$1,SMALL(Dong2,ROWS($1:4)),)))</f>
        <v>635</v>
      </c>
      <c r="F15" s="961">
        <f ca="1">IF(ROWS($1:4)&gt;COUNT(Dong2),"",IF(AND(IF($M$9="Q4",LEFT(OFFSET(TH!G$1,SMALL(Dong2,ROWS($1:4)),),2)=$M$9,LEFT(OFFSET(TH!G$1,SMALL(Dong2,ROWS($1:4)),),3)=$M$9),OFFSET(TH!N$1,SMALL(Dong2,ROWS($1:4)),)=$I$6),IF($I$6="1121",OFFSET(TH!M$1,SMALL(Dong2,ROWS($1:4)),),OFFSET(TH!K$1,SMALL(Dong2,ROWS($1:4)),)),0))</f>
        <v>0</v>
      </c>
      <c r="G15" s="961">
        <f ca="1">IF(ROWS($1:4)&gt;COUNT(Dong2),"",IF(AND(IF($M$9="Q4",RIGHT(OFFSET(TH!G$1,SMALL(Dong2,ROWS($1:4)),),2)=$M$9,RIGHT(OFFSET(TH!G$1,SMALL(Dong2,ROWS($1:4)),),3)=$M$9),OFFSET(TH!O$1,SMALL(Dong2,ROWS($1:4)),)=$I$6),IF($I$6="1121",OFFSET(TH!M$1,SMALL(Dong2,ROWS($1:4)),),OFFSET(TH!K$1,SMALL(Dong2,ROWS($1:4)),)),0))</f>
        <v>1203494</v>
      </c>
      <c r="H15" s="958">
        <f t="shared" ca="1" si="0"/>
        <v>97002583</v>
      </c>
      <c r="I15" s="958"/>
      <c r="L15" s="185"/>
    </row>
    <row r="16" spans="1:19" s="192" customFormat="1" ht="20.25" customHeight="1">
      <c r="A16" s="203">
        <f ca="1">IF(ROWS($1:5)&gt;COUNT(Dong2),"",OFFSET(TH!C$1,SMALL(Dong2,ROWS($1:5)),))</f>
        <v>42466</v>
      </c>
      <c r="B16" s="203" t="str">
        <f ca="1">IF(ROWS($1:5)&gt;COUNT(Dong2),"",OFFSET(TH!D$1,SMALL(Dong2,ROWS($1:5)),))</f>
        <v>GBN</v>
      </c>
      <c r="C16" s="203">
        <f ca="1">IF(ROWS($1:5)&gt;COUNT(Dong2),"",OFFSET(TH!E$1,SMALL(Dong2,ROWS($1:5)),))</f>
        <v>42466</v>
      </c>
      <c r="D16" s="389" t="str">
        <f ca="1">IF(ROWS($1:5)&gt;COUNT(Dong2),"",OFFSET(TH!F$1,SMALL(Dong2,ROWS($1:5)),))</f>
        <v>Lãi vay</v>
      </c>
      <c r="E16" s="203" t="str">
        <f ca="1">IF(ROWS($1:5)&gt;COUNT(Dong2),"",IF(OFFSET(TH!O$1,SMALL(Dong2,ROWS($1:5)),)=$I$6,OFFSET(TH!N$1,SMALL(Dong2,ROWS($1:5)),),OFFSET(TH!O$1,SMALL(Dong2,ROWS($1:5)),)))</f>
        <v>635</v>
      </c>
      <c r="F16" s="961">
        <f ca="1">IF(ROWS($1:5)&gt;COUNT(Dong2),"",IF(AND(IF($M$9="Q4",LEFT(OFFSET(TH!G$1,SMALL(Dong2,ROWS($1:5)),),2)=$M$9,LEFT(OFFSET(TH!G$1,SMALL(Dong2,ROWS($1:5)),),3)=$M$9),OFFSET(TH!N$1,SMALL(Dong2,ROWS($1:5)),)=$I$6),IF($I$6="1121",OFFSET(TH!M$1,SMALL(Dong2,ROWS($1:5)),),OFFSET(TH!K$1,SMALL(Dong2,ROWS($1:5)),)),0))</f>
        <v>0</v>
      </c>
      <c r="G16" s="961">
        <f ca="1">IF(ROWS($1:5)&gt;COUNT(Dong2),"",IF(AND(IF($M$9="Q4",RIGHT(OFFSET(TH!G$1,SMALL(Dong2,ROWS($1:5)),),2)=$M$9,RIGHT(OFFSET(TH!G$1,SMALL(Dong2,ROWS($1:5)),),3)=$M$9),OFFSET(TH!O$1,SMALL(Dong2,ROWS($1:5)),)=$I$6),IF($I$6="1121",OFFSET(TH!M$1,SMALL(Dong2,ROWS($1:5)),),OFFSET(TH!K$1,SMALL(Dong2,ROWS($1:5)),)),0))</f>
        <v>2881735</v>
      </c>
      <c r="H16" s="958">
        <f t="shared" ca="1" si="0"/>
        <v>94120848</v>
      </c>
      <c r="I16" s="958"/>
      <c r="L16" s="185"/>
    </row>
    <row r="17" spans="1:15" s="192" customFormat="1" ht="20.25" customHeight="1">
      <c r="A17" s="203">
        <f ca="1">IF(ROWS($1:6)&gt;COUNT(Dong2),"",OFFSET(TH!C$1,SMALL(Dong2,ROWS($1:6)),))</f>
        <v>42466</v>
      </c>
      <c r="B17" s="203" t="str">
        <f ca="1">IF(ROWS($1:6)&gt;COUNT(Dong2),"",OFFSET(TH!D$1,SMALL(Dong2,ROWS($1:6)),))</f>
        <v>GBN</v>
      </c>
      <c r="C17" s="203">
        <f ca="1">IF(ROWS($1:6)&gt;COUNT(Dong2),"",OFFSET(TH!E$1,SMALL(Dong2,ROWS($1:6)),))</f>
        <v>42466</v>
      </c>
      <c r="D17" s="389" t="str">
        <f ca="1">IF(ROWS($1:6)&gt;COUNT(Dong2),"",OFFSET(TH!F$1,SMALL(Dong2,ROWS($1:6)),))</f>
        <v>Lãi vay</v>
      </c>
      <c r="E17" s="203" t="str">
        <f ca="1">IF(ROWS($1:6)&gt;COUNT(Dong2),"",IF(OFFSET(TH!O$1,SMALL(Dong2,ROWS($1:6)),)=$I$6,OFFSET(TH!N$1,SMALL(Dong2,ROWS($1:6)),),OFFSET(TH!O$1,SMALL(Dong2,ROWS($1:6)),)))</f>
        <v>635</v>
      </c>
      <c r="F17" s="961">
        <f ca="1">IF(ROWS($1:6)&gt;COUNT(Dong2),"",IF(AND(IF($M$9="Q4",LEFT(OFFSET(TH!G$1,SMALL(Dong2,ROWS($1:6)),),2)=$M$9,LEFT(OFFSET(TH!G$1,SMALL(Dong2,ROWS($1:6)),),3)=$M$9),OFFSET(TH!N$1,SMALL(Dong2,ROWS($1:6)),)=$I$6),IF($I$6="1121",OFFSET(TH!M$1,SMALL(Dong2,ROWS($1:6)),),OFFSET(TH!K$1,SMALL(Dong2,ROWS($1:6)),)),0))</f>
        <v>0</v>
      </c>
      <c r="G17" s="961">
        <f ca="1">IF(ROWS($1:6)&gt;COUNT(Dong2),"",IF(AND(IF($M$9="Q4",RIGHT(OFFSET(TH!G$1,SMALL(Dong2,ROWS($1:6)),),2)=$M$9,RIGHT(OFFSET(TH!G$1,SMALL(Dong2,ROWS($1:6)),),3)=$M$9),OFFSET(TH!O$1,SMALL(Dong2,ROWS($1:6)),)=$I$6),IF($I$6="1121",OFFSET(TH!M$1,SMALL(Dong2,ROWS($1:6)),),OFFSET(TH!K$1,SMALL(Dong2,ROWS($1:6)),)),0))</f>
        <v>1774440</v>
      </c>
      <c r="H17" s="958">
        <f t="shared" ca="1" si="0"/>
        <v>92346408</v>
      </c>
      <c r="I17" s="958"/>
      <c r="L17" s="185"/>
    </row>
    <row r="18" spans="1:15" s="192" customFormat="1" ht="20.25" customHeight="1">
      <c r="A18" s="203">
        <f ca="1">IF(ROWS($1:7)&gt;COUNT(Dong2),"",OFFSET(TH!C$1,SMALL(Dong2,ROWS($1:7)),))</f>
        <v>42466</v>
      </c>
      <c r="B18" s="203" t="str">
        <f ca="1">IF(ROWS($1:7)&gt;COUNT(Dong2),"",OFFSET(TH!D$1,SMALL(Dong2,ROWS($1:7)),))</f>
        <v>GBN</v>
      </c>
      <c r="C18" s="203">
        <f ca="1">IF(ROWS($1:7)&gt;COUNT(Dong2),"",OFFSET(TH!E$1,SMALL(Dong2,ROWS($1:7)),))</f>
        <v>42466</v>
      </c>
      <c r="D18" s="389" t="str">
        <f ca="1">IF(ROWS($1:7)&gt;COUNT(Dong2),"",OFFSET(TH!F$1,SMALL(Dong2,ROWS($1:7)),))</f>
        <v>Lãi vay</v>
      </c>
      <c r="E18" s="203" t="str">
        <f ca="1">IF(ROWS($1:7)&gt;COUNT(Dong2),"",IF(OFFSET(TH!O$1,SMALL(Dong2,ROWS($1:7)),)=$I$6,OFFSET(TH!N$1,SMALL(Dong2,ROWS($1:7)),),OFFSET(TH!O$1,SMALL(Dong2,ROWS($1:7)),)))</f>
        <v>635</v>
      </c>
      <c r="F18" s="961">
        <f ca="1">IF(ROWS($1:7)&gt;COUNT(Dong2),"",IF(AND(IF($M$9="Q4",LEFT(OFFSET(TH!G$1,SMALL(Dong2,ROWS($1:7)),),2)=$M$9,LEFT(OFFSET(TH!G$1,SMALL(Dong2,ROWS($1:7)),),3)=$M$9),OFFSET(TH!N$1,SMALL(Dong2,ROWS($1:7)),)=$I$6),IF($I$6="1121",OFFSET(TH!M$1,SMALL(Dong2,ROWS($1:7)),),OFFSET(TH!K$1,SMALL(Dong2,ROWS($1:7)),)),0))</f>
        <v>0</v>
      </c>
      <c r="G18" s="961">
        <f ca="1">IF(ROWS($1:7)&gt;COUNT(Dong2),"",IF(AND(IF($M$9="Q4",RIGHT(OFFSET(TH!G$1,SMALL(Dong2,ROWS($1:7)),),2)=$M$9,RIGHT(OFFSET(TH!G$1,SMALL(Dong2,ROWS($1:7)),),3)=$M$9),OFFSET(TH!O$1,SMALL(Dong2,ROWS($1:7)),)=$I$6),IF($I$6="1121",OFFSET(TH!M$1,SMALL(Dong2,ROWS($1:7)),),OFFSET(TH!K$1,SMALL(Dong2,ROWS($1:7)),)),0))</f>
        <v>2483993</v>
      </c>
      <c r="H18" s="958">
        <f t="shared" ca="1" si="0"/>
        <v>89862415</v>
      </c>
      <c r="I18" s="958"/>
      <c r="L18" s="185"/>
    </row>
    <row r="19" spans="1:15" s="192" customFormat="1" ht="20.25" customHeight="1">
      <c r="A19" s="203">
        <f ca="1">IF(ROWS($1:8)&gt;COUNT(Dong2),"",OFFSET(TH!C$1,SMALL(Dong2,ROWS($1:8)),))</f>
        <v>42468</v>
      </c>
      <c r="B19" s="203" t="str">
        <f ca="1">IF(ROWS($1:8)&gt;COUNT(Dong2),"",OFFSET(TH!D$1,SMALL(Dong2,ROWS($1:8)),))</f>
        <v>GBC</v>
      </c>
      <c r="C19" s="203">
        <f ca="1">IF(ROWS($1:8)&gt;COUNT(Dong2),"",OFFSET(TH!E$1,SMALL(Dong2,ROWS($1:8)),))</f>
        <v>42468</v>
      </c>
      <c r="D19" s="389" t="str">
        <f ca="1">IF(ROWS($1:8)&gt;COUNT(Dong2),"",OFFSET(TH!F$1,SMALL(Dong2,ROWS($1:8)),))</f>
        <v>Nộp tiền mặt vào TK NH</v>
      </c>
      <c r="E19" s="203" t="str">
        <f ca="1">IF(ROWS($1:8)&gt;COUNT(Dong2),"",IF(OFFSET(TH!O$1,SMALL(Dong2,ROWS($1:8)),)=$I$6,OFFSET(TH!N$1,SMALL(Dong2,ROWS($1:8)),),OFFSET(TH!O$1,SMALL(Dong2,ROWS($1:8)),)))</f>
        <v>1111</v>
      </c>
      <c r="F19" s="961">
        <f ca="1">IF(ROWS($1:8)&gt;COUNT(Dong2),"",IF(AND(IF($M$9="Q4",LEFT(OFFSET(TH!G$1,SMALL(Dong2,ROWS($1:8)),),2)=$M$9,LEFT(OFFSET(TH!G$1,SMALL(Dong2,ROWS($1:8)),),3)=$M$9),OFFSET(TH!N$1,SMALL(Dong2,ROWS($1:8)),)=$I$6),IF($I$6="1121",OFFSET(TH!M$1,SMALL(Dong2,ROWS($1:8)),),OFFSET(TH!K$1,SMALL(Dong2,ROWS($1:8)),)),0))</f>
        <v>20000000</v>
      </c>
      <c r="G19" s="961">
        <f ca="1">IF(ROWS($1:8)&gt;COUNT(Dong2),"",IF(AND(IF($M$9="Q4",RIGHT(OFFSET(TH!G$1,SMALL(Dong2,ROWS($1:8)),),2)=$M$9,RIGHT(OFFSET(TH!G$1,SMALL(Dong2,ROWS($1:8)),),3)=$M$9),OFFSET(TH!O$1,SMALL(Dong2,ROWS($1:8)),)=$I$6),IF($I$6="1121",OFFSET(TH!M$1,SMALL(Dong2,ROWS($1:8)),),OFFSET(TH!K$1,SMALL(Dong2,ROWS($1:8)),)),0))</f>
        <v>0</v>
      </c>
      <c r="H19" s="958">
        <f t="shared" ca="1" si="0"/>
        <v>109862415</v>
      </c>
      <c r="I19" s="958"/>
      <c r="L19" s="185"/>
    </row>
    <row r="20" spans="1:15" s="192" customFormat="1" ht="20.25" customHeight="1">
      <c r="A20" s="203">
        <f ca="1">IF(ROWS($1:9)&gt;COUNT(Dong2),"",OFFSET(TH!C$1,SMALL(Dong2,ROWS($1:9)),))</f>
        <v>42468</v>
      </c>
      <c r="B20" s="203" t="str">
        <f ca="1">IF(ROWS($1:9)&gt;COUNT(Dong2),"",OFFSET(TH!D$1,SMALL(Dong2,ROWS($1:9)),))</f>
        <v>GBN</v>
      </c>
      <c r="C20" s="203">
        <f ca="1">IF(ROWS($1:9)&gt;COUNT(Dong2),"",OFFSET(TH!E$1,SMALL(Dong2,ROWS($1:9)),))</f>
        <v>42468</v>
      </c>
      <c r="D20" s="389" t="str">
        <f ca="1">IF(ROWS($1:9)&gt;COUNT(Dong2),"",OFFSET(TH!F$1,SMALL(Dong2,ROWS($1:9)),))</f>
        <v>Thanh toán tiền điện kì 3 T3/16</v>
      </c>
      <c r="E20" s="203" t="str">
        <f ca="1">IF(ROWS($1:9)&gt;COUNT(Dong2),"",IF(OFFSET(TH!O$1,SMALL(Dong2,ROWS($1:9)),)=$I$6,OFFSET(TH!N$1,SMALL(Dong2,ROWS($1:9)),),OFFSET(TH!O$1,SMALL(Dong2,ROWS($1:9)),)))</f>
        <v>331</v>
      </c>
      <c r="F20" s="961">
        <f ca="1">IF(ROWS($1:9)&gt;COUNT(Dong2),"",IF(AND(IF($M$9="Q4",LEFT(OFFSET(TH!G$1,SMALL(Dong2,ROWS($1:9)),),2)=$M$9,LEFT(OFFSET(TH!G$1,SMALL(Dong2,ROWS($1:9)),),3)=$M$9),OFFSET(TH!N$1,SMALL(Dong2,ROWS($1:9)),)=$I$6),IF($I$6="1121",OFFSET(TH!M$1,SMALL(Dong2,ROWS($1:9)),),OFFSET(TH!K$1,SMALL(Dong2,ROWS($1:9)),)),0))</f>
        <v>0</v>
      </c>
      <c r="G20" s="961">
        <f ca="1">IF(ROWS($1:9)&gt;COUNT(Dong2),"",IF(AND(IF($M$9="Q4",RIGHT(OFFSET(TH!G$1,SMALL(Dong2,ROWS($1:9)),),2)=$M$9,RIGHT(OFFSET(TH!G$1,SMALL(Dong2,ROWS($1:9)),),3)=$M$9),OFFSET(TH!O$1,SMALL(Dong2,ROWS($1:9)),)=$I$6),IF($I$6="1121",OFFSET(TH!M$1,SMALL(Dong2,ROWS($1:9)),),OFFSET(TH!K$1,SMALL(Dong2,ROWS($1:9)),)),0))</f>
        <v>22186560</v>
      </c>
      <c r="H20" s="958">
        <f t="shared" ca="1" si="0"/>
        <v>87675855</v>
      </c>
      <c r="I20" s="958"/>
      <c r="L20" s="185"/>
    </row>
    <row r="21" spans="1:15" s="192" customFormat="1" ht="20.25" customHeight="1">
      <c r="A21" s="203">
        <f ca="1">IF(ROWS($1:10)&gt;COUNT(Dong2),"",OFFSET(TH!C$1,SMALL(Dong2,ROWS($1:10)),))</f>
        <v>42468</v>
      </c>
      <c r="B21" s="203" t="str">
        <f ca="1">IF(ROWS($1:10)&gt;COUNT(Dong2),"",OFFSET(TH!D$1,SMALL(Dong2,ROWS($1:10)),))</f>
        <v>GBN</v>
      </c>
      <c r="C21" s="203">
        <f ca="1">IF(ROWS($1:10)&gt;COUNT(Dong2),"",OFFSET(TH!E$1,SMALL(Dong2,ROWS($1:10)),))</f>
        <v>42468</v>
      </c>
      <c r="D21" s="389" t="str">
        <f ca="1">IF(ROWS($1:10)&gt;COUNT(Dong2),"",OFFSET(TH!F$1,SMALL(Dong2,ROWS($1:10)),))</f>
        <v>Phí chuyển tiền</v>
      </c>
      <c r="E21" s="203" t="str">
        <f ca="1">IF(ROWS($1:10)&gt;COUNT(Dong2),"",IF(OFFSET(TH!O$1,SMALL(Dong2,ROWS($1:10)),)=$I$6,OFFSET(TH!N$1,SMALL(Dong2,ROWS($1:10)),),OFFSET(TH!O$1,SMALL(Dong2,ROWS($1:10)),)))</f>
        <v>642</v>
      </c>
      <c r="F21" s="961">
        <f ca="1">IF(ROWS($1:10)&gt;COUNT(Dong2),"",IF(AND(IF($M$9="Q4",LEFT(OFFSET(TH!G$1,SMALL(Dong2,ROWS($1:10)),),2)=$M$9,LEFT(OFFSET(TH!G$1,SMALL(Dong2,ROWS($1:10)),),3)=$M$9),OFFSET(TH!N$1,SMALL(Dong2,ROWS($1:10)),)=$I$6),IF($I$6="1121",OFFSET(TH!M$1,SMALL(Dong2,ROWS($1:10)),),OFFSET(TH!K$1,SMALL(Dong2,ROWS($1:10)),)),0))</f>
        <v>0</v>
      </c>
      <c r="G21" s="961">
        <f ca="1">IF(ROWS($1:10)&gt;COUNT(Dong2),"",IF(AND(IF($M$9="Q4",RIGHT(OFFSET(TH!G$1,SMALL(Dong2,ROWS($1:10)),),2)=$M$9,RIGHT(OFFSET(TH!G$1,SMALL(Dong2,ROWS($1:10)),),3)=$M$9),OFFSET(TH!O$1,SMALL(Dong2,ROWS($1:10)),)=$I$6),IF($I$6="1121",OFFSET(TH!M$1,SMALL(Dong2,ROWS($1:10)),),OFFSET(TH!K$1,SMALL(Dong2,ROWS($1:10)),)),0))</f>
        <v>45000</v>
      </c>
      <c r="H21" s="958">
        <f t="shared" ca="1" si="0"/>
        <v>87630855</v>
      </c>
      <c r="I21" s="958"/>
      <c r="L21" s="185"/>
    </row>
    <row r="22" spans="1:15" s="192" customFormat="1" ht="20.25" customHeight="1">
      <c r="A22" s="203">
        <f ca="1">IF(ROWS($1:11)&gt;COUNT(Dong2),"",OFFSET(TH!C$1,SMALL(Dong2,ROWS($1:11)),))</f>
        <v>42468</v>
      </c>
      <c r="B22" s="203" t="str">
        <f ca="1">IF(ROWS($1:11)&gt;COUNT(Dong2),"",OFFSET(TH!D$1,SMALL(Dong2,ROWS($1:11)),))</f>
        <v>GBN</v>
      </c>
      <c r="C22" s="203">
        <f ca="1">IF(ROWS($1:11)&gt;COUNT(Dong2),"",OFFSET(TH!E$1,SMALL(Dong2,ROWS($1:11)),))</f>
        <v>42468</v>
      </c>
      <c r="D22" s="389" t="str">
        <f ca="1">IF(ROWS($1:11)&gt;COUNT(Dong2),"",OFFSET(TH!F$1,SMALL(Dong2,ROWS($1:11)),))</f>
        <v>VAT Phí chuyển tiền</v>
      </c>
      <c r="E22" s="203" t="str">
        <f ca="1">IF(ROWS($1:11)&gt;COUNT(Dong2),"",IF(OFFSET(TH!O$1,SMALL(Dong2,ROWS($1:11)),)=$I$6,OFFSET(TH!N$1,SMALL(Dong2,ROWS($1:11)),),OFFSET(TH!O$1,SMALL(Dong2,ROWS($1:11)),)))</f>
        <v>1331</v>
      </c>
      <c r="F22" s="961">
        <f ca="1">IF(ROWS($1:11)&gt;COUNT(Dong2),"",IF(AND(IF($M$9="Q4",LEFT(OFFSET(TH!G$1,SMALL(Dong2,ROWS($1:11)),),2)=$M$9,LEFT(OFFSET(TH!G$1,SMALL(Dong2,ROWS($1:11)),),3)=$M$9),OFFSET(TH!N$1,SMALL(Dong2,ROWS($1:11)),)=$I$6),IF($I$6="1121",OFFSET(TH!M$1,SMALL(Dong2,ROWS($1:11)),),OFFSET(TH!K$1,SMALL(Dong2,ROWS($1:11)),)),0))</f>
        <v>0</v>
      </c>
      <c r="G22" s="961">
        <f ca="1">IF(ROWS($1:11)&gt;COUNT(Dong2),"",IF(AND(IF($M$9="Q4",RIGHT(OFFSET(TH!G$1,SMALL(Dong2,ROWS($1:11)),),2)=$M$9,RIGHT(OFFSET(TH!G$1,SMALL(Dong2,ROWS($1:11)),),3)=$M$9),OFFSET(TH!O$1,SMALL(Dong2,ROWS($1:11)),)=$I$6),IF($I$6="1121",OFFSET(TH!M$1,SMALL(Dong2,ROWS($1:11)),),OFFSET(TH!K$1,SMALL(Dong2,ROWS($1:11)),)),0))</f>
        <v>4500</v>
      </c>
      <c r="H22" s="958">
        <f t="shared" ca="1" si="0"/>
        <v>87626355</v>
      </c>
      <c r="I22" s="958"/>
      <c r="L22" s="185"/>
      <c r="O22" s="956"/>
    </row>
    <row r="23" spans="1:15" s="192" customFormat="1" ht="20.25" customHeight="1">
      <c r="A23" s="203">
        <f ca="1">IF(ROWS($1:12)&gt;COUNT(Dong2),"",OFFSET(TH!C$1,SMALL(Dong2,ROWS($1:12)),))</f>
        <v>42475</v>
      </c>
      <c r="B23" s="203" t="str">
        <f ca="1">IF(ROWS($1:12)&gt;COUNT(Dong2),"",OFFSET(TH!D$1,SMALL(Dong2,ROWS($1:12)),))</f>
        <v>GBN</v>
      </c>
      <c r="C23" s="203">
        <f ca="1">IF(ROWS($1:12)&gt;COUNT(Dong2),"",OFFSET(TH!E$1,SMALL(Dong2,ROWS($1:12)),))</f>
        <v>42475</v>
      </c>
      <c r="D23" s="389" t="str">
        <f ca="1">IF(ROWS($1:12)&gt;COUNT(Dong2),"",OFFSET(TH!F$1,SMALL(Dong2,ROWS($1:12)),))</f>
        <v>Chế độ BHXH</v>
      </c>
      <c r="E23" s="203" t="str">
        <f ca="1">IF(ROWS($1:12)&gt;COUNT(Dong2),"",IF(OFFSET(TH!O$1,SMALL(Dong2,ROWS($1:12)),)=$I$6,OFFSET(TH!N$1,SMALL(Dong2,ROWS($1:12)),),OFFSET(TH!O$1,SMALL(Dong2,ROWS($1:12)),)))</f>
        <v>3383</v>
      </c>
      <c r="F23" s="961">
        <f ca="1">IF(ROWS($1:12)&gt;COUNT(Dong2),"",IF(AND(IF($M$9="Q4",LEFT(OFFSET(TH!G$1,SMALL(Dong2,ROWS($1:12)),),2)=$M$9,LEFT(OFFSET(TH!G$1,SMALL(Dong2,ROWS($1:12)),),3)=$M$9),OFFSET(TH!N$1,SMALL(Dong2,ROWS($1:12)),)=$I$6),IF($I$6="1121",OFFSET(TH!M$1,SMALL(Dong2,ROWS($1:12)),),OFFSET(TH!K$1,SMALL(Dong2,ROWS($1:12)),)),0))</f>
        <v>19958000</v>
      </c>
      <c r="G23" s="961">
        <f ca="1">IF(ROWS($1:12)&gt;COUNT(Dong2),"",IF(AND(IF($M$9="Q4",RIGHT(OFFSET(TH!G$1,SMALL(Dong2,ROWS($1:12)),),2)=$M$9,RIGHT(OFFSET(TH!G$1,SMALL(Dong2,ROWS($1:12)),),3)=$M$9),OFFSET(TH!O$1,SMALL(Dong2,ROWS($1:12)),)=$I$6),IF($I$6="1121",OFFSET(TH!M$1,SMALL(Dong2,ROWS($1:12)),),OFFSET(TH!K$1,SMALL(Dong2,ROWS($1:12)),)),0))</f>
        <v>0</v>
      </c>
      <c r="H23" s="958">
        <f t="shared" ca="1" si="0"/>
        <v>107584355</v>
      </c>
      <c r="I23" s="958"/>
      <c r="L23" s="185"/>
    </row>
    <row r="24" spans="1:15" s="192" customFormat="1" ht="20.25" customHeight="1">
      <c r="A24" s="203">
        <f ca="1">IF(ROWS($1:13)&gt;COUNT(Dong2),"",OFFSET(TH!C$1,SMALL(Dong2,ROWS($1:13)),))</f>
        <v>42475</v>
      </c>
      <c r="B24" s="203" t="str">
        <f ca="1">IF(ROWS($1:13)&gt;COUNT(Dong2),"",OFFSET(TH!D$1,SMALL(Dong2,ROWS($1:13)),))</f>
        <v>GBN</v>
      </c>
      <c r="C24" s="203">
        <f ca="1">IF(ROWS($1:13)&gt;COUNT(Dong2),"",OFFSET(TH!E$1,SMALL(Dong2,ROWS($1:13)),))</f>
        <v>42475</v>
      </c>
      <c r="D24" s="389" t="str">
        <f ca="1">IF(ROWS($1:13)&gt;COUNT(Dong2),"",OFFSET(TH!F$1,SMALL(Dong2,ROWS($1:13)),))</f>
        <v>Chiết khấu LC</v>
      </c>
      <c r="E24" s="203" t="str">
        <f ca="1">IF(ROWS($1:13)&gt;COUNT(Dong2),"",IF(OFFSET(TH!O$1,SMALL(Dong2,ROWS($1:13)),)=$I$6,OFFSET(TH!N$1,SMALL(Dong2,ROWS($1:13)),),OFFSET(TH!O$1,SMALL(Dong2,ROWS($1:13)),)))</f>
        <v>3412</v>
      </c>
      <c r="F24" s="961">
        <f ca="1">IF(ROWS($1:13)&gt;COUNT(Dong2),"",IF(AND(IF($M$9="Q4",LEFT(OFFSET(TH!G$1,SMALL(Dong2,ROWS($1:13)),),2)=$M$9,LEFT(OFFSET(TH!G$1,SMALL(Dong2,ROWS($1:13)),),3)=$M$9),OFFSET(TH!N$1,SMALL(Dong2,ROWS($1:13)),)=$I$6),IF($I$6="1121",OFFSET(TH!M$1,SMALL(Dong2,ROWS($1:13)),),OFFSET(TH!K$1,SMALL(Dong2,ROWS($1:13)),)),0))</f>
        <v>1600000000</v>
      </c>
      <c r="G24" s="961">
        <f ca="1">IF(ROWS($1:13)&gt;COUNT(Dong2),"",IF(AND(IF($M$9="Q4",RIGHT(OFFSET(TH!G$1,SMALL(Dong2,ROWS($1:13)),),2)=$M$9,RIGHT(OFFSET(TH!G$1,SMALL(Dong2,ROWS($1:13)),),3)=$M$9),OFFSET(TH!O$1,SMALL(Dong2,ROWS($1:13)),)=$I$6),IF($I$6="1121",OFFSET(TH!M$1,SMALL(Dong2,ROWS($1:13)),),OFFSET(TH!K$1,SMALL(Dong2,ROWS($1:13)),)),0))</f>
        <v>0</v>
      </c>
      <c r="H24" s="958">
        <f t="shared" ca="1" si="0"/>
        <v>1707584355</v>
      </c>
      <c r="I24" s="958"/>
      <c r="L24" s="185"/>
      <c r="O24" s="1172"/>
    </row>
    <row r="25" spans="1:15" s="192" customFormat="1" ht="20.25" customHeight="1">
      <c r="A25" s="203">
        <f ca="1">IF(ROWS($1:14)&gt;COUNT(Dong2),"",OFFSET(TH!C$1,SMALL(Dong2,ROWS($1:14)),))</f>
        <v>42475</v>
      </c>
      <c r="B25" s="203" t="str">
        <f ca="1">IF(ROWS($1:14)&gt;COUNT(Dong2),"",OFFSET(TH!D$1,SMALL(Dong2,ROWS($1:14)),))</f>
        <v>GBN</v>
      </c>
      <c r="C25" s="203">
        <f ca="1">IF(ROWS($1:14)&gt;COUNT(Dong2),"",OFFSET(TH!E$1,SMALL(Dong2,ROWS($1:14)),))</f>
        <v>42475</v>
      </c>
      <c r="D25" s="389" t="str">
        <f ca="1">IF(ROWS($1:14)&gt;COUNT(Dong2),"",OFFSET(TH!F$1,SMALL(Dong2,ROWS($1:14)),))</f>
        <v>Phí xử lý bộ chứng từ</v>
      </c>
      <c r="E25" s="203" t="str">
        <f ca="1">IF(ROWS($1:14)&gt;COUNT(Dong2),"",IF(OFFSET(TH!O$1,SMALL(Dong2,ROWS($1:14)),)=$I$6,OFFSET(TH!N$1,SMALL(Dong2,ROWS($1:14)),),OFFSET(TH!O$1,SMALL(Dong2,ROWS($1:14)),)))</f>
        <v>642</v>
      </c>
      <c r="F25" s="961">
        <f ca="1">IF(ROWS($1:14)&gt;COUNT(Dong2),"",IF(AND(IF($M$9="Q4",LEFT(OFFSET(TH!G$1,SMALL(Dong2,ROWS($1:14)),),2)=$M$9,LEFT(OFFSET(TH!G$1,SMALL(Dong2,ROWS($1:14)),),3)=$M$9),OFFSET(TH!N$1,SMALL(Dong2,ROWS($1:14)),)=$I$6),IF($I$6="1121",OFFSET(TH!M$1,SMALL(Dong2,ROWS($1:14)),),OFFSET(TH!K$1,SMALL(Dong2,ROWS($1:14)),)),0))</f>
        <v>0</v>
      </c>
      <c r="G25" s="961">
        <f ca="1">IF(ROWS($1:14)&gt;COUNT(Dong2),"",IF(AND(IF($M$9="Q4",RIGHT(OFFSET(TH!G$1,SMALL(Dong2,ROWS($1:14)),),2)=$M$9,RIGHT(OFFSET(TH!G$1,SMALL(Dong2,ROWS($1:14)),),3)=$M$9),OFFSET(TH!O$1,SMALL(Dong2,ROWS($1:14)),)=$I$6),IF($I$6="1121",OFFSET(TH!M$1,SMALL(Dong2,ROWS($1:14)),),OFFSET(TH!K$1,SMALL(Dong2,ROWS($1:14)),)),0))</f>
        <v>222800</v>
      </c>
      <c r="H25" s="958">
        <f t="shared" ca="1" si="0"/>
        <v>1707361555</v>
      </c>
      <c r="I25" s="958"/>
      <c r="L25" s="185"/>
    </row>
    <row r="26" spans="1:15" s="192" customFormat="1" ht="20.25" customHeight="1">
      <c r="A26" s="203">
        <f ca="1">IF(ROWS($1:15)&gt;COUNT(Dong2),"",OFFSET(TH!C$1,SMALL(Dong2,ROWS($1:15)),))</f>
        <v>42475</v>
      </c>
      <c r="B26" s="203" t="str">
        <f ca="1">IF(ROWS($1:15)&gt;COUNT(Dong2),"",OFFSET(TH!D$1,SMALL(Dong2,ROWS($1:15)),))</f>
        <v>GBN</v>
      </c>
      <c r="C26" s="203">
        <f ca="1">IF(ROWS($1:15)&gt;COUNT(Dong2),"",OFFSET(TH!E$1,SMALL(Dong2,ROWS($1:15)),))</f>
        <v>42475</v>
      </c>
      <c r="D26" s="389" t="str">
        <f ca="1">IF(ROWS($1:15)&gt;COUNT(Dong2),"",OFFSET(TH!F$1,SMALL(Dong2,ROWS($1:15)),))</f>
        <v>VAT Phí xử lý bộ chứng từ</v>
      </c>
      <c r="E26" s="203" t="str">
        <f ca="1">IF(ROWS($1:15)&gt;COUNT(Dong2),"",IF(OFFSET(TH!O$1,SMALL(Dong2,ROWS($1:15)),)=$I$6,OFFSET(TH!N$1,SMALL(Dong2,ROWS($1:15)),),OFFSET(TH!O$1,SMALL(Dong2,ROWS($1:15)),)))</f>
        <v>1331</v>
      </c>
      <c r="F26" s="961">
        <f ca="1">IF(ROWS($1:15)&gt;COUNT(Dong2),"",IF(AND(IF($M$9="Q4",LEFT(OFFSET(TH!G$1,SMALL(Dong2,ROWS($1:15)),),2)=$M$9,LEFT(OFFSET(TH!G$1,SMALL(Dong2,ROWS($1:15)),),3)=$M$9),OFFSET(TH!N$1,SMALL(Dong2,ROWS($1:15)),)=$I$6),IF($I$6="1121",OFFSET(TH!M$1,SMALL(Dong2,ROWS($1:15)),),OFFSET(TH!K$1,SMALL(Dong2,ROWS($1:15)),)),0))</f>
        <v>0</v>
      </c>
      <c r="G26" s="961">
        <f ca="1">IF(ROWS($1:15)&gt;COUNT(Dong2),"",IF(AND(IF($M$9="Q4",RIGHT(OFFSET(TH!G$1,SMALL(Dong2,ROWS($1:15)),),2)=$M$9,RIGHT(OFFSET(TH!G$1,SMALL(Dong2,ROWS($1:15)),),3)=$M$9),OFFSET(TH!O$1,SMALL(Dong2,ROWS($1:15)),)=$I$6),IF($I$6="1121",OFFSET(TH!M$1,SMALL(Dong2,ROWS($1:15)),),OFFSET(TH!K$1,SMALL(Dong2,ROWS($1:15)),)),0))</f>
        <v>22280</v>
      </c>
      <c r="H26" s="958">
        <f t="shared" ca="1" si="0"/>
        <v>1707339275</v>
      </c>
      <c r="I26" s="958"/>
      <c r="L26" s="185"/>
    </row>
    <row r="27" spans="1:15" s="192" customFormat="1" ht="20.25" customHeight="1">
      <c r="A27" s="203">
        <f ca="1">IF(ROWS($1:16)&gt;COUNT(Dong2),"",OFFSET(TH!C$1,SMALL(Dong2,ROWS($1:16)),))</f>
        <v>42475</v>
      </c>
      <c r="B27" s="203" t="str">
        <f ca="1">IF(ROWS($1:16)&gt;COUNT(Dong2),"",OFFSET(TH!D$1,SMALL(Dong2,ROWS($1:16)),))</f>
        <v>GBN</v>
      </c>
      <c r="C27" s="203">
        <f ca="1">IF(ROWS($1:16)&gt;COUNT(Dong2),"",OFFSET(TH!E$1,SMALL(Dong2,ROWS($1:16)),))</f>
        <v>42475</v>
      </c>
      <c r="D27" s="389" t="str">
        <f ca="1">IF(ROWS($1:16)&gt;COUNT(Dong2),"",OFFSET(TH!F$1,SMALL(Dong2,ROWS($1:16)),))</f>
        <v>Phí DHL</v>
      </c>
      <c r="E27" s="203" t="str">
        <f ca="1">IF(ROWS($1:16)&gt;COUNT(Dong2),"",IF(OFFSET(TH!O$1,SMALL(Dong2,ROWS($1:16)),)=$I$6,OFFSET(TH!N$1,SMALL(Dong2,ROWS($1:16)),),OFFSET(TH!O$1,SMALL(Dong2,ROWS($1:16)),)))</f>
        <v>642</v>
      </c>
      <c r="F27" s="961">
        <f ca="1">IF(ROWS($1:16)&gt;COUNT(Dong2),"",IF(AND(IF($M$9="Q4",LEFT(OFFSET(TH!G$1,SMALL(Dong2,ROWS($1:16)),),2)=$M$9,LEFT(OFFSET(TH!G$1,SMALL(Dong2,ROWS($1:16)),),3)=$M$9),OFFSET(TH!N$1,SMALL(Dong2,ROWS($1:16)),)=$I$6),IF($I$6="1121",OFFSET(TH!M$1,SMALL(Dong2,ROWS($1:16)),),OFFSET(TH!K$1,SMALL(Dong2,ROWS($1:16)),)),0))</f>
        <v>0</v>
      </c>
      <c r="G27" s="961">
        <f ca="1">IF(ROWS($1:16)&gt;COUNT(Dong2),"",IF(AND(IF($M$9="Q4",RIGHT(OFFSET(TH!G$1,SMALL(Dong2,ROWS($1:16)),),2)=$M$9,RIGHT(OFFSET(TH!G$1,SMALL(Dong2,ROWS($1:16)),),3)=$M$9),OFFSET(TH!O$1,SMALL(Dong2,ROWS($1:16)),)=$I$6),IF($I$6="1121",OFFSET(TH!M$1,SMALL(Dong2,ROWS($1:16)),),OFFSET(TH!K$1,SMALL(Dong2,ROWS($1:16)),)),0))</f>
        <v>615374</v>
      </c>
      <c r="H27" s="958">
        <f t="shared" ca="1" si="0"/>
        <v>1706723901</v>
      </c>
      <c r="I27" s="958"/>
      <c r="L27" s="185"/>
    </row>
    <row r="28" spans="1:15" s="192" customFormat="1" ht="20.25" customHeight="1">
      <c r="A28" s="203">
        <f ca="1">IF(ROWS($1:17)&gt;COUNT(Dong2),"",OFFSET(TH!C$1,SMALL(Dong2,ROWS($1:17)),))</f>
        <v>42475</v>
      </c>
      <c r="B28" s="203" t="str">
        <f ca="1">IF(ROWS($1:17)&gt;COUNT(Dong2),"",OFFSET(TH!D$1,SMALL(Dong2,ROWS($1:17)),))</f>
        <v>GBN</v>
      </c>
      <c r="C28" s="203">
        <f ca="1">IF(ROWS($1:17)&gt;COUNT(Dong2),"",OFFSET(TH!E$1,SMALL(Dong2,ROWS($1:17)),))</f>
        <v>42475</v>
      </c>
      <c r="D28" s="389" t="str">
        <f ca="1">IF(ROWS($1:17)&gt;COUNT(Dong2),"",OFFSET(TH!F$1,SMALL(Dong2,ROWS($1:17)),))</f>
        <v>VAT Phí DHL</v>
      </c>
      <c r="E28" s="203" t="str">
        <f ca="1">IF(ROWS($1:17)&gt;COUNT(Dong2),"",IF(OFFSET(TH!O$1,SMALL(Dong2,ROWS($1:17)),)=$I$6,OFFSET(TH!N$1,SMALL(Dong2,ROWS($1:17)),),OFFSET(TH!O$1,SMALL(Dong2,ROWS($1:17)),)))</f>
        <v>1331</v>
      </c>
      <c r="F28" s="961">
        <f ca="1">IF(ROWS($1:17)&gt;COUNT(Dong2),"",IF(AND(IF($M$9="Q4",LEFT(OFFSET(TH!G$1,SMALL(Dong2,ROWS($1:17)),),2)=$M$9,LEFT(OFFSET(TH!G$1,SMALL(Dong2,ROWS($1:17)),),3)=$M$9),OFFSET(TH!N$1,SMALL(Dong2,ROWS($1:17)),)=$I$6),IF($I$6="1121",OFFSET(TH!M$1,SMALL(Dong2,ROWS($1:17)),),OFFSET(TH!K$1,SMALL(Dong2,ROWS($1:17)),)),0))</f>
        <v>0</v>
      </c>
      <c r="G28" s="961">
        <f ca="1">IF(ROWS($1:17)&gt;COUNT(Dong2),"",IF(AND(IF($M$9="Q4",RIGHT(OFFSET(TH!G$1,SMALL(Dong2,ROWS($1:17)),),2)=$M$9,RIGHT(OFFSET(TH!G$1,SMALL(Dong2,ROWS($1:17)),),3)=$M$9),OFFSET(TH!O$1,SMALL(Dong2,ROWS($1:17)),)=$I$6),IF($I$6="1121",OFFSET(TH!M$1,SMALL(Dong2,ROWS($1:17)),),OFFSET(TH!K$1,SMALL(Dong2,ROWS($1:17)),)),0))</f>
        <v>61493</v>
      </c>
      <c r="H28" s="958">
        <f t="shared" ca="1" si="0"/>
        <v>1706662408</v>
      </c>
      <c r="I28" s="958"/>
      <c r="L28" s="185"/>
    </row>
    <row r="29" spans="1:15" s="192" customFormat="1" ht="20.25" customHeight="1">
      <c r="A29" s="203">
        <f ca="1">IF(ROWS($1:18)&gt;COUNT(Dong2),"",OFFSET(TH!C$1,SMALL(Dong2,ROWS($1:18)),))</f>
        <v>42475</v>
      </c>
      <c r="B29" s="203" t="str">
        <f ca="1">IF(ROWS($1:18)&gt;COUNT(Dong2),"",OFFSET(TH!D$1,SMALL(Dong2,ROWS($1:18)),))</f>
        <v>GBN</v>
      </c>
      <c r="C29" s="203">
        <f ca="1">IF(ROWS($1:18)&gt;COUNT(Dong2),"",OFFSET(TH!E$1,SMALL(Dong2,ROWS($1:18)),))</f>
        <v>42475</v>
      </c>
      <c r="D29" s="389" t="str">
        <f ca="1">IF(ROWS($1:18)&gt;COUNT(Dong2),"",OFFSET(TH!F$1,SMALL(Dong2,ROWS($1:18)),))</f>
        <v>Rút tiền gửi NH nhập quỹ TM</v>
      </c>
      <c r="E29" s="203" t="str">
        <f ca="1">IF(ROWS($1:18)&gt;COUNT(Dong2),"",IF(OFFSET(TH!O$1,SMALL(Dong2,ROWS($1:18)),)=$I$6,OFFSET(TH!N$1,SMALL(Dong2,ROWS($1:18)),),OFFSET(TH!O$1,SMALL(Dong2,ROWS($1:18)),)))</f>
        <v>1111</v>
      </c>
      <c r="F29" s="961">
        <f ca="1">IF(ROWS($1:18)&gt;COUNT(Dong2),"",IF(AND(IF($M$9="Q4",LEFT(OFFSET(TH!G$1,SMALL(Dong2,ROWS($1:18)),),2)=$M$9,LEFT(OFFSET(TH!G$1,SMALL(Dong2,ROWS($1:18)),),3)=$M$9),OFFSET(TH!N$1,SMALL(Dong2,ROWS($1:18)),)=$I$6),IF($I$6="1121",OFFSET(TH!M$1,SMALL(Dong2,ROWS($1:18)),),OFFSET(TH!K$1,SMALL(Dong2,ROWS($1:18)),)),0))</f>
        <v>0</v>
      </c>
      <c r="G29" s="961">
        <f ca="1">IF(ROWS($1:18)&gt;COUNT(Dong2),"",IF(AND(IF($M$9="Q4",RIGHT(OFFSET(TH!G$1,SMALL(Dong2,ROWS($1:18)),),2)=$M$9,RIGHT(OFFSET(TH!G$1,SMALL(Dong2,ROWS($1:18)),),3)=$M$9),OFFSET(TH!O$1,SMALL(Dong2,ROWS($1:18)),)=$I$6),IF($I$6="1121",OFFSET(TH!M$1,SMALL(Dong2,ROWS($1:18)),),OFFSET(TH!K$1,SMALL(Dong2,ROWS($1:18)),)),0))</f>
        <v>1600000000</v>
      </c>
      <c r="H29" s="958">
        <f t="shared" ca="1" si="0"/>
        <v>106662408</v>
      </c>
      <c r="I29" s="958"/>
      <c r="L29" s="185"/>
    </row>
    <row r="30" spans="1:15" s="192" customFormat="1" ht="20.25" customHeight="1">
      <c r="A30" s="203">
        <f ca="1">IF(ROWS($1:19)&gt;COUNT(Dong2),"",OFFSET(TH!C$1,SMALL(Dong2,ROWS($1:19)),))</f>
        <v>42479</v>
      </c>
      <c r="B30" s="203" t="str">
        <f ca="1">IF(ROWS($1:19)&gt;COUNT(Dong2),"",OFFSET(TH!D$1,SMALL(Dong2,ROWS($1:19)),))</f>
        <v>GBN</v>
      </c>
      <c r="C30" s="203">
        <f ca="1">IF(ROWS($1:19)&gt;COUNT(Dong2),"",OFFSET(TH!E$1,SMALL(Dong2,ROWS($1:19)),))</f>
        <v>42479</v>
      </c>
      <c r="D30" s="389" t="str">
        <f ca="1">IF(ROWS($1:19)&gt;COUNT(Dong2),"",OFFSET(TH!F$1,SMALL(Dong2,ROWS($1:19)),))</f>
        <v>Lãi vay</v>
      </c>
      <c r="E30" s="203" t="str">
        <f ca="1">IF(ROWS($1:19)&gt;COUNT(Dong2),"",IF(OFFSET(TH!O$1,SMALL(Dong2,ROWS($1:19)),)=$I$6,OFFSET(TH!N$1,SMALL(Dong2,ROWS($1:19)),),OFFSET(TH!O$1,SMALL(Dong2,ROWS($1:19)),)))</f>
        <v>635</v>
      </c>
      <c r="F30" s="961">
        <f ca="1">IF(ROWS($1:19)&gt;COUNT(Dong2),"",IF(AND(IF($M$9="Q4",LEFT(OFFSET(TH!G$1,SMALL(Dong2,ROWS($1:19)),),2)=$M$9,LEFT(OFFSET(TH!G$1,SMALL(Dong2,ROWS($1:19)),),3)=$M$9),OFFSET(TH!N$1,SMALL(Dong2,ROWS($1:19)),)=$I$6),IF($I$6="1121",OFFSET(TH!M$1,SMALL(Dong2,ROWS($1:19)),),OFFSET(TH!K$1,SMALL(Dong2,ROWS($1:19)),)),0))</f>
        <v>0</v>
      </c>
      <c r="G30" s="961">
        <f ca="1">IF(ROWS($1:19)&gt;COUNT(Dong2),"",IF(AND(IF($M$9="Q4",RIGHT(OFFSET(TH!G$1,SMALL(Dong2,ROWS($1:19)),),2)=$M$9,RIGHT(OFFSET(TH!G$1,SMALL(Dong2,ROWS($1:19)),),3)=$M$9),OFFSET(TH!O$1,SMALL(Dong2,ROWS($1:19)),)=$I$6),IF($I$6="1121",OFFSET(TH!M$1,SMALL(Dong2,ROWS($1:19)),),OFFSET(TH!K$1,SMALL(Dong2,ROWS($1:19)),)),0))</f>
        <v>6883892</v>
      </c>
      <c r="H30" s="958">
        <f t="shared" ca="1" si="0"/>
        <v>99778516</v>
      </c>
      <c r="I30" s="958"/>
      <c r="L30" s="185"/>
    </row>
    <row r="31" spans="1:15" s="192" customFormat="1" ht="20.25" customHeight="1">
      <c r="A31" s="203">
        <f ca="1">IF(ROWS($1:20)&gt;COUNT(Dong2),"",OFFSET(TH!C$1,SMALL(Dong2,ROWS($1:20)),))</f>
        <v>42479</v>
      </c>
      <c r="B31" s="203" t="str">
        <f ca="1">IF(ROWS($1:20)&gt;COUNT(Dong2),"",OFFSET(TH!D$1,SMALL(Dong2,ROWS($1:20)),))</f>
        <v>GBN</v>
      </c>
      <c r="C31" s="203">
        <f ca="1">IF(ROWS($1:20)&gt;COUNT(Dong2),"",OFFSET(TH!E$1,SMALL(Dong2,ROWS($1:20)),))</f>
        <v>42479</v>
      </c>
      <c r="D31" s="389" t="str">
        <f ca="1">IF(ROWS($1:20)&gt;COUNT(Dong2),"",OFFSET(TH!F$1,SMALL(Dong2,ROWS($1:20)),))</f>
        <v>Lãi vay</v>
      </c>
      <c r="E31" s="203" t="str">
        <f ca="1">IF(ROWS($1:20)&gt;COUNT(Dong2),"",IF(OFFSET(TH!O$1,SMALL(Dong2,ROWS($1:20)),)=$I$6,OFFSET(TH!N$1,SMALL(Dong2,ROWS($1:20)),),OFFSET(TH!O$1,SMALL(Dong2,ROWS($1:20)),)))</f>
        <v>635</v>
      </c>
      <c r="F31" s="961">
        <f ca="1">IF(ROWS($1:20)&gt;COUNT(Dong2),"",IF(AND(IF($M$9="Q4",LEFT(OFFSET(TH!G$1,SMALL(Dong2,ROWS($1:20)),),2)=$M$9,LEFT(OFFSET(TH!G$1,SMALL(Dong2,ROWS($1:20)),),3)=$M$9),OFFSET(TH!N$1,SMALL(Dong2,ROWS($1:20)),)=$I$6),IF($I$6="1121",OFFSET(TH!M$1,SMALL(Dong2,ROWS($1:20)),),OFFSET(TH!K$1,SMALL(Dong2,ROWS($1:20)),)),0))</f>
        <v>0</v>
      </c>
      <c r="G31" s="961">
        <f ca="1">IF(ROWS($1:20)&gt;COUNT(Dong2),"",IF(AND(IF($M$9="Q4",RIGHT(OFFSET(TH!G$1,SMALL(Dong2,ROWS($1:20)),),2)=$M$9,RIGHT(OFFSET(TH!G$1,SMALL(Dong2,ROWS($1:20)),),3)=$M$9),OFFSET(TH!O$1,SMALL(Dong2,ROWS($1:20)),)=$I$6),IF($I$6="1121",OFFSET(TH!M$1,SMALL(Dong2,ROWS($1:20)),),OFFSET(TH!K$1,SMALL(Dong2,ROWS($1:20)),)),0))</f>
        <v>6845485</v>
      </c>
      <c r="H31" s="958">
        <f t="shared" ca="1" si="0"/>
        <v>92933031</v>
      </c>
      <c r="I31" s="958"/>
      <c r="L31" s="185"/>
    </row>
    <row r="32" spans="1:15" s="192" customFormat="1" ht="20.25" customHeight="1">
      <c r="A32" s="203">
        <f ca="1">IF(ROWS($1:21)&gt;COUNT(Dong2),"",OFFSET(TH!C$1,SMALL(Dong2,ROWS($1:21)),))</f>
        <v>42479</v>
      </c>
      <c r="B32" s="203" t="str">
        <f ca="1">IF(ROWS($1:21)&gt;COUNT(Dong2),"",OFFSET(TH!D$1,SMALL(Dong2,ROWS($1:21)),))</f>
        <v>GBN</v>
      </c>
      <c r="C32" s="203">
        <f ca="1">IF(ROWS($1:21)&gt;COUNT(Dong2),"",OFFSET(TH!E$1,SMALL(Dong2,ROWS($1:21)),))</f>
        <v>42479</v>
      </c>
      <c r="D32" s="389" t="str">
        <f ca="1">IF(ROWS($1:21)&gt;COUNT(Dong2),"",OFFSET(TH!F$1,SMALL(Dong2,ROWS($1:21)),))</f>
        <v>Lãi vay</v>
      </c>
      <c r="E32" s="203" t="str">
        <f ca="1">IF(ROWS($1:21)&gt;COUNT(Dong2),"",IF(OFFSET(TH!O$1,SMALL(Dong2,ROWS($1:21)),)=$I$6,OFFSET(TH!N$1,SMALL(Dong2,ROWS($1:21)),),OFFSET(TH!O$1,SMALL(Dong2,ROWS($1:21)),)))</f>
        <v>635</v>
      </c>
      <c r="F32" s="961">
        <f ca="1">IF(ROWS($1:21)&gt;COUNT(Dong2),"",IF(AND(IF($M$9="Q4",LEFT(OFFSET(TH!G$1,SMALL(Dong2,ROWS($1:21)),),2)=$M$9,LEFT(OFFSET(TH!G$1,SMALL(Dong2,ROWS($1:21)),),3)=$M$9),OFFSET(TH!N$1,SMALL(Dong2,ROWS($1:21)),)=$I$6),IF($I$6="1121",OFFSET(TH!M$1,SMALL(Dong2,ROWS($1:21)),),OFFSET(TH!K$1,SMALL(Dong2,ROWS($1:21)),)),0))</f>
        <v>0</v>
      </c>
      <c r="G32" s="961">
        <f ca="1">IF(ROWS($1:21)&gt;COUNT(Dong2),"",IF(AND(IF($M$9="Q4",RIGHT(OFFSET(TH!G$1,SMALL(Dong2,ROWS($1:21)),),2)=$M$9,RIGHT(OFFSET(TH!G$1,SMALL(Dong2,ROWS($1:21)),),3)=$M$9),OFFSET(TH!O$1,SMALL(Dong2,ROWS($1:21)),)=$I$6),IF($I$6="1121",OFFSET(TH!M$1,SMALL(Dong2,ROWS($1:21)),),OFFSET(TH!K$1,SMALL(Dong2,ROWS($1:21)),)),0))</f>
        <v>4691756</v>
      </c>
      <c r="H32" s="958">
        <f t="shared" ca="1" si="0"/>
        <v>88241275</v>
      </c>
      <c r="I32" s="958"/>
      <c r="L32" s="185"/>
    </row>
    <row r="33" spans="1:12" s="192" customFormat="1" ht="20.25" customHeight="1">
      <c r="A33" s="203">
        <f ca="1">IF(ROWS($1:22)&gt;COUNT(Dong2),"",OFFSET(TH!C$1,SMALL(Dong2,ROWS($1:22)),))</f>
        <v>42481</v>
      </c>
      <c r="B33" s="203" t="str">
        <f ca="1">IF(ROWS($1:22)&gt;COUNT(Dong2),"",OFFSET(TH!D$1,SMALL(Dong2,ROWS($1:22)),))</f>
        <v>GBN</v>
      </c>
      <c r="C33" s="203">
        <f ca="1">IF(ROWS($1:22)&gt;COUNT(Dong2),"",OFFSET(TH!E$1,SMALL(Dong2,ROWS($1:22)),))</f>
        <v>42481</v>
      </c>
      <c r="D33" s="389" t="str">
        <f ca="1">IF(ROWS($1:22)&gt;COUNT(Dong2),"",OFFSET(TH!F$1,SMALL(Dong2,ROWS($1:22)),))</f>
        <v>Ứng vốn Trà Vinh</v>
      </c>
      <c r="E33" s="203" t="str">
        <f ca="1">IF(ROWS($1:22)&gt;COUNT(Dong2),"",IF(OFFSET(TH!O$1,SMALL(Dong2,ROWS($1:22)),)=$I$6,OFFSET(TH!N$1,SMALL(Dong2,ROWS($1:22)),),OFFSET(TH!O$1,SMALL(Dong2,ROWS($1:22)),)))</f>
        <v>1388</v>
      </c>
      <c r="F33" s="961">
        <f ca="1">IF(ROWS($1:22)&gt;COUNT(Dong2),"",IF(AND(IF($M$9="Q4",LEFT(OFFSET(TH!G$1,SMALL(Dong2,ROWS($1:22)),),2)=$M$9,LEFT(OFFSET(TH!G$1,SMALL(Dong2,ROWS($1:22)),),3)=$M$9),OFFSET(TH!N$1,SMALL(Dong2,ROWS($1:22)),)=$I$6),IF($I$6="1121",OFFSET(TH!M$1,SMALL(Dong2,ROWS($1:22)),),OFFSET(TH!K$1,SMALL(Dong2,ROWS($1:22)),)),0))</f>
        <v>0</v>
      </c>
      <c r="G33" s="961">
        <f ca="1">IF(ROWS($1:22)&gt;COUNT(Dong2),"",IF(AND(IF($M$9="Q4",RIGHT(OFFSET(TH!G$1,SMALL(Dong2,ROWS($1:22)),),2)=$M$9,RIGHT(OFFSET(TH!G$1,SMALL(Dong2,ROWS($1:22)),),3)=$M$9),OFFSET(TH!O$1,SMALL(Dong2,ROWS($1:22)),)=$I$6),IF($I$6="1121",OFFSET(TH!M$1,SMALL(Dong2,ROWS($1:22)),),OFFSET(TH!K$1,SMALL(Dong2,ROWS($1:22)),)),0))</f>
        <v>40000000</v>
      </c>
      <c r="H33" s="958">
        <f t="shared" ca="1" si="0"/>
        <v>48241275</v>
      </c>
      <c r="I33" s="958"/>
      <c r="L33" s="185"/>
    </row>
    <row r="34" spans="1:12" s="192" customFormat="1" ht="20.25" customHeight="1">
      <c r="A34" s="203">
        <f ca="1">IF(ROWS($1:23)&gt;COUNT(Dong2),"",OFFSET(TH!C$1,SMALL(Dong2,ROWS($1:23)),))</f>
        <v>42481</v>
      </c>
      <c r="B34" s="203" t="str">
        <f ca="1">IF(ROWS($1:23)&gt;COUNT(Dong2),"",OFFSET(TH!D$1,SMALL(Dong2,ROWS($1:23)),))</f>
        <v>GBN</v>
      </c>
      <c r="C34" s="203">
        <f ca="1">IF(ROWS($1:23)&gt;COUNT(Dong2),"",OFFSET(TH!E$1,SMALL(Dong2,ROWS($1:23)),))</f>
        <v>42481</v>
      </c>
      <c r="D34" s="389" t="str">
        <f ca="1">IF(ROWS($1:23)&gt;COUNT(Dong2),"",OFFSET(TH!F$1,SMALL(Dong2,ROWS($1:23)),))</f>
        <v>Lãi vay</v>
      </c>
      <c r="E34" s="203" t="str">
        <f ca="1">IF(ROWS($1:23)&gt;COUNT(Dong2),"",IF(OFFSET(TH!O$1,SMALL(Dong2,ROWS($1:23)),)=$I$6,OFFSET(TH!N$1,SMALL(Dong2,ROWS($1:23)),),OFFSET(TH!O$1,SMALL(Dong2,ROWS($1:23)),)))</f>
        <v>635</v>
      </c>
      <c r="F34" s="961">
        <f ca="1">IF(ROWS($1:23)&gt;COUNT(Dong2),"",IF(AND(IF($M$9="Q4",LEFT(OFFSET(TH!G$1,SMALL(Dong2,ROWS($1:23)),),2)=$M$9,LEFT(OFFSET(TH!G$1,SMALL(Dong2,ROWS($1:23)),),3)=$M$9),OFFSET(TH!N$1,SMALL(Dong2,ROWS($1:23)),)=$I$6),IF($I$6="1121",OFFSET(TH!M$1,SMALL(Dong2,ROWS($1:23)),),OFFSET(TH!K$1,SMALL(Dong2,ROWS($1:23)),)),0))</f>
        <v>0</v>
      </c>
      <c r="G34" s="961">
        <f ca="1">IF(ROWS($1:23)&gt;COUNT(Dong2),"",IF(AND(IF($M$9="Q4",RIGHT(OFFSET(TH!G$1,SMALL(Dong2,ROWS($1:23)),),2)=$M$9,RIGHT(OFFSET(TH!G$1,SMALL(Dong2,ROWS($1:23)),),3)=$M$9),OFFSET(TH!O$1,SMALL(Dong2,ROWS($1:23)),)=$I$6),IF($I$6="1121",OFFSET(TH!M$1,SMALL(Dong2,ROWS($1:23)),),OFFSET(TH!K$1,SMALL(Dong2,ROWS($1:23)),)),0))</f>
        <v>6845767</v>
      </c>
      <c r="H34" s="958">
        <f t="shared" ca="1" si="0"/>
        <v>41395508</v>
      </c>
      <c r="I34" s="958"/>
      <c r="L34" s="185"/>
    </row>
    <row r="35" spans="1:12" s="192" customFormat="1" ht="20.25" customHeight="1">
      <c r="A35" s="203">
        <f ca="1">IF(ROWS($1:24)&gt;COUNT(Dong2),"",OFFSET(TH!C$1,SMALL(Dong2,ROWS($1:24)),))</f>
        <v>42481</v>
      </c>
      <c r="B35" s="203" t="str">
        <f ca="1">IF(ROWS($1:24)&gt;COUNT(Dong2),"",OFFSET(TH!D$1,SMALL(Dong2,ROWS($1:24)),))</f>
        <v>GBN</v>
      </c>
      <c r="C35" s="203">
        <f ca="1">IF(ROWS($1:24)&gt;COUNT(Dong2),"",OFFSET(TH!E$1,SMALL(Dong2,ROWS($1:24)),))</f>
        <v>42481</v>
      </c>
      <c r="D35" s="389" t="str">
        <f ca="1">IF(ROWS($1:24)&gt;COUNT(Dong2),"",OFFSET(TH!F$1,SMALL(Dong2,ROWS($1:24)),))</f>
        <v>Lãi vay</v>
      </c>
      <c r="E35" s="203" t="str">
        <f ca="1">IF(ROWS($1:24)&gt;COUNT(Dong2),"",IF(OFFSET(TH!O$1,SMALL(Dong2,ROWS($1:24)),)=$I$6,OFFSET(TH!N$1,SMALL(Dong2,ROWS($1:24)),),OFFSET(TH!O$1,SMALL(Dong2,ROWS($1:24)),)))</f>
        <v>635</v>
      </c>
      <c r="F35" s="961">
        <f ca="1">IF(ROWS($1:24)&gt;COUNT(Dong2),"",IF(AND(IF($M$9="Q4",LEFT(OFFSET(TH!G$1,SMALL(Dong2,ROWS($1:24)),),2)=$M$9,LEFT(OFFSET(TH!G$1,SMALL(Dong2,ROWS($1:24)),),3)=$M$9),OFFSET(TH!N$1,SMALL(Dong2,ROWS($1:24)),)=$I$6),IF($I$6="1121",OFFSET(TH!M$1,SMALL(Dong2,ROWS($1:24)),),OFFSET(TH!K$1,SMALL(Dong2,ROWS($1:24)),)),0))</f>
        <v>0</v>
      </c>
      <c r="G35" s="961">
        <f ca="1">IF(ROWS($1:24)&gt;COUNT(Dong2),"",IF(AND(IF($M$9="Q4",RIGHT(OFFSET(TH!G$1,SMALL(Dong2,ROWS($1:24)),),2)=$M$9,RIGHT(OFFSET(TH!G$1,SMALL(Dong2,ROWS($1:24)),),3)=$M$9),OFFSET(TH!O$1,SMALL(Dong2,ROWS($1:24)),)=$I$6),IF($I$6="1121",OFFSET(TH!M$1,SMALL(Dong2,ROWS($1:24)),),OFFSET(TH!K$1,SMALL(Dong2,ROWS($1:24)),)),0))</f>
        <v>6768763</v>
      </c>
      <c r="H35" s="958">
        <f t="shared" ca="1" si="0"/>
        <v>34626745</v>
      </c>
      <c r="I35" s="958"/>
      <c r="L35" s="185"/>
    </row>
    <row r="36" spans="1:12" s="192" customFormat="1" ht="20.25" customHeight="1">
      <c r="A36" s="203">
        <f ca="1">IF(ROWS($1:25)&gt;COUNT(Dong2),"",OFFSET(TH!C$1,SMALL(Dong2,ROWS($1:25)),))</f>
        <v>42481</v>
      </c>
      <c r="B36" s="203" t="str">
        <f ca="1">IF(ROWS($1:25)&gt;COUNT(Dong2),"",OFFSET(TH!D$1,SMALL(Dong2,ROWS($1:25)),))</f>
        <v>GBN</v>
      </c>
      <c r="C36" s="203">
        <f ca="1">IF(ROWS($1:25)&gt;COUNT(Dong2),"",OFFSET(TH!E$1,SMALL(Dong2,ROWS($1:25)),))</f>
        <v>42481</v>
      </c>
      <c r="D36" s="389" t="str">
        <f ca="1">IF(ROWS($1:25)&gt;COUNT(Dong2),"",OFFSET(TH!F$1,SMALL(Dong2,ROWS($1:25)),))</f>
        <v>Lãi vay</v>
      </c>
      <c r="E36" s="203" t="str">
        <f ca="1">IF(ROWS($1:25)&gt;COUNT(Dong2),"",IF(OFFSET(TH!O$1,SMALL(Dong2,ROWS($1:25)),)=$I$6,OFFSET(TH!N$1,SMALL(Dong2,ROWS($1:25)),),OFFSET(TH!O$1,SMALL(Dong2,ROWS($1:25)),)))</f>
        <v>635</v>
      </c>
      <c r="F36" s="961">
        <f ca="1">IF(ROWS($1:25)&gt;COUNT(Dong2),"",IF(AND(IF($M$9="Q4",LEFT(OFFSET(TH!G$1,SMALL(Dong2,ROWS($1:25)),),2)=$M$9,LEFT(OFFSET(TH!G$1,SMALL(Dong2,ROWS($1:25)),),3)=$M$9),OFFSET(TH!N$1,SMALL(Dong2,ROWS($1:25)),)=$I$6),IF($I$6="1121",OFFSET(TH!M$1,SMALL(Dong2,ROWS($1:25)),),OFFSET(TH!K$1,SMALL(Dong2,ROWS($1:25)),)),0))</f>
        <v>0</v>
      </c>
      <c r="G36" s="961">
        <f ca="1">IF(ROWS($1:25)&gt;COUNT(Dong2),"",IF(AND(IF($M$9="Q4",RIGHT(OFFSET(TH!G$1,SMALL(Dong2,ROWS($1:25)),),2)=$M$9,RIGHT(OFFSET(TH!G$1,SMALL(Dong2,ROWS($1:25)),),3)=$M$9),OFFSET(TH!O$1,SMALL(Dong2,ROWS($1:25)),)=$I$6),IF($I$6="1121",OFFSET(TH!M$1,SMALL(Dong2,ROWS($1:25)),),OFFSET(TH!K$1,SMALL(Dong2,ROWS($1:25)),)),0))</f>
        <v>7461130</v>
      </c>
      <c r="H36" s="958">
        <f t="shared" ca="1" si="0"/>
        <v>27165615</v>
      </c>
      <c r="I36" s="958"/>
      <c r="L36" s="185"/>
    </row>
    <row r="37" spans="1:12" s="192" customFormat="1" ht="20.25" customHeight="1">
      <c r="A37" s="203">
        <f ca="1">IF(ROWS($1:26)&gt;COUNT(Dong2),"",OFFSET(TH!C$1,SMALL(Dong2,ROWS($1:26)),))</f>
        <v>42481</v>
      </c>
      <c r="B37" s="203" t="str">
        <f ca="1">IF(ROWS($1:26)&gt;COUNT(Dong2),"",OFFSET(TH!D$1,SMALL(Dong2,ROWS($1:26)),))</f>
        <v>GBN</v>
      </c>
      <c r="C37" s="203">
        <f ca="1">IF(ROWS($1:26)&gt;COUNT(Dong2),"",OFFSET(TH!E$1,SMALL(Dong2,ROWS($1:26)),))</f>
        <v>42481</v>
      </c>
      <c r="D37" s="389" t="str">
        <f ca="1">IF(ROWS($1:26)&gt;COUNT(Dong2),"",OFFSET(TH!F$1,SMALL(Dong2,ROWS($1:26)),))</f>
        <v>Lãi vay</v>
      </c>
      <c r="E37" s="203" t="str">
        <f ca="1">IF(ROWS($1:26)&gt;COUNT(Dong2),"",IF(OFFSET(TH!O$1,SMALL(Dong2,ROWS($1:26)),)=$I$6,OFFSET(TH!N$1,SMALL(Dong2,ROWS($1:26)),),OFFSET(TH!O$1,SMALL(Dong2,ROWS($1:26)),)))</f>
        <v>635</v>
      </c>
      <c r="F37" s="961">
        <f ca="1">IF(ROWS($1:26)&gt;COUNT(Dong2),"",IF(AND(IF($M$9="Q4",LEFT(OFFSET(TH!G$1,SMALL(Dong2,ROWS($1:26)),),2)=$M$9,LEFT(OFFSET(TH!G$1,SMALL(Dong2,ROWS($1:26)),),3)=$M$9),OFFSET(TH!N$1,SMALL(Dong2,ROWS($1:26)),)=$I$6),IF($I$6="1121",OFFSET(TH!M$1,SMALL(Dong2,ROWS($1:26)),),OFFSET(TH!K$1,SMALL(Dong2,ROWS($1:26)),)),0))</f>
        <v>0</v>
      </c>
      <c r="G37" s="961">
        <f ca="1">IF(ROWS($1:26)&gt;COUNT(Dong2),"",IF(AND(IF($M$9="Q4",RIGHT(OFFSET(TH!G$1,SMALL(Dong2,ROWS($1:26)),),2)=$M$9,RIGHT(OFFSET(TH!G$1,SMALL(Dong2,ROWS($1:26)),),3)=$M$9),OFFSET(TH!O$1,SMALL(Dong2,ROWS($1:26)),)=$I$6),IF($I$6="1121",OFFSET(TH!M$1,SMALL(Dong2,ROWS($1:26)),),OFFSET(TH!K$1,SMALL(Dong2,ROWS($1:26)),)),0))</f>
        <v>8545435</v>
      </c>
      <c r="H37" s="958">
        <f t="shared" ca="1" si="0"/>
        <v>18620180</v>
      </c>
      <c r="I37" s="958"/>
      <c r="L37" s="185"/>
    </row>
    <row r="38" spans="1:12" s="192" customFormat="1" ht="20.25" customHeight="1">
      <c r="A38" s="203">
        <f ca="1">IF(ROWS($1:27)&gt;COUNT(Dong2),"",OFFSET(TH!C$1,SMALL(Dong2,ROWS($1:27)),))</f>
        <v>42481</v>
      </c>
      <c r="B38" s="203" t="str">
        <f ca="1">IF(ROWS($1:27)&gt;COUNT(Dong2),"",OFFSET(TH!D$1,SMALL(Dong2,ROWS($1:27)),))</f>
        <v>GBN</v>
      </c>
      <c r="C38" s="203">
        <f ca="1">IF(ROWS($1:27)&gt;COUNT(Dong2),"",OFFSET(TH!E$1,SMALL(Dong2,ROWS($1:27)),))</f>
        <v>42481</v>
      </c>
      <c r="D38" s="389" t="str">
        <f ca="1">IF(ROWS($1:27)&gt;COUNT(Dong2),"",OFFSET(TH!F$1,SMALL(Dong2,ROWS($1:27)),))</f>
        <v>Lãi vay</v>
      </c>
      <c r="E38" s="203" t="str">
        <f ca="1">IF(ROWS($1:27)&gt;COUNT(Dong2),"",IF(OFFSET(TH!O$1,SMALL(Dong2,ROWS($1:27)),)=$I$6,OFFSET(TH!N$1,SMALL(Dong2,ROWS($1:27)),),OFFSET(TH!O$1,SMALL(Dong2,ROWS($1:27)),)))</f>
        <v>635</v>
      </c>
      <c r="F38" s="961">
        <f ca="1">IF(ROWS($1:27)&gt;COUNT(Dong2),"",IF(AND(IF($M$9="Q4",LEFT(OFFSET(TH!G$1,SMALL(Dong2,ROWS($1:27)),),2)=$M$9,LEFT(OFFSET(TH!G$1,SMALL(Dong2,ROWS($1:27)),),3)=$M$9),OFFSET(TH!N$1,SMALL(Dong2,ROWS($1:27)),)=$I$6),IF($I$6="1121",OFFSET(TH!M$1,SMALL(Dong2,ROWS($1:27)),),OFFSET(TH!K$1,SMALL(Dong2,ROWS($1:27)),)),0))</f>
        <v>0</v>
      </c>
      <c r="G38" s="961">
        <f ca="1">IF(ROWS($1:27)&gt;COUNT(Dong2),"",IF(AND(IF($M$9="Q4",RIGHT(OFFSET(TH!G$1,SMALL(Dong2,ROWS($1:27)),),2)=$M$9,RIGHT(OFFSET(TH!G$1,SMALL(Dong2,ROWS($1:27)),),3)=$M$9),OFFSET(TH!O$1,SMALL(Dong2,ROWS($1:27)),)=$I$6),IF($I$6="1121",OFFSET(TH!M$1,SMALL(Dong2,ROWS($1:27)),),OFFSET(TH!K$1,SMALL(Dong2,ROWS($1:27)),)),0))</f>
        <v>9155887</v>
      </c>
      <c r="H38" s="958">
        <f t="shared" ca="1" si="0"/>
        <v>9464293</v>
      </c>
      <c r="I38" s="958"/>
      <c r="L38" s="185"/>
    </row>
    <row r="39" spans="1:12" s="192" customFormat="1" ht="20.25" customHeight="1">
      <c r="A39" s="203">
        <f ca="1">IF(ROWS($1:28)&gt;COUNT(Dong2),"",OFFSET(TH!C$1,SMALL(Dong2,ROWS($1:28)),))</f>
        <v>42482</v>
      </c>
      <c r="B39" s="203" t="str">
        <f ca="1">IF(ROWS($1:28)&gt;COUNT(Dong2),"",OFFSET(TH!D$1,SMALL(Dong2,ROWS($1:28)),))</f>
        <v>GBN</v>
      </c>
      <c r="C39" s="203">
        <f ca="1">IF(ROWS($1:28)&gt;COUNT(Dong2),"",OFFSET(TH!E$1,SMALL(Dong2,ROWS($1:28)),))</f>
        <v>42482</v>
      </c>
      <c r="D39" s="389" t="str">
        <f ca="1">IF(ROWS($1:28)&gt;COUNT(Dong2),"",OFFSET(TH!F$1,SMALL(Dong2,ROWS($1:28)),))</f>
        <v>Phạt nộp thuế</v>
      </c>
      <c r="E39" s="203" t="str">
        <f ca="1">IF(ROWS($1:28)&gt;COUNT(Dong2),"",IF(OFFSET(TH!O$1,SMALL(Dong2,ROWS($1:28)),)=$I$6,OFFSET(TH!N$1,SMALL(Dong2,ROWS($1:28)),),OFFSET(TH!O$1,SMALL(Dong2,ROWS($1:28)),)))</f>
        <v>811</v>
      </c>
      <c r="F39" s="961">
        <f ca="1">IF(ROWS($1:28)&gt;COUNT(Dong2),"",IF(AND(IF($M$9="Q4",LEFT(OFFSET(TH!G$1,SMALL(Dong2,ROWS($1:28)),),2)=$M$9,LEFT(OFFSET(TH!G$1,SMALL(Dong2,ROWS($1:28)),),3)=$M$9),OFFSET(TH!N$1,SMALL(Dong2,ROWS($1:28)),)=$I$6),IF($I$6="1121",OFFSET(TH!M$1,SMALL(Dong2,ROWS($1:28)),),OFFSET(TH!K$1,SMALL(Dong2,ROWS($1:28)),)),0))</f>
        <v>0</v>
      </c>
      <c r="G39" s="961">
        <f ca="1">IF(ROWS($1:28)&gt;COUNT(Dong2),"",IF(AND(IF($M$9="Q4",RIGHT(OFFSET(TH!G$1,SMALL(Dong2,ROWS($1:28)),),2)=$M$9,RIGHT(OFFSET(TH!G$1,SMALL(Dong2,ROWS($1:28)),),3)=$M$9),OFFSET(TH!O$1,SMALL(Dong2,ROWS($1:28)),)=$I$6),IF($I$6="1121",OFFSET(TH!M$1,SMALL(Dong2,ROWS($1:28)),),OFFSET(TH!K$1,SMALL(Dong2,ROWS($1:28)),)),0))</f>
        <v>136832</v>
      </c>
      <c r="H39" s="958">
        <f t="shared" ca="1" si="0"/>
        <v>9327461</v>
      </c>
      <c r="I39" s="958"/>
      <c r="L39" s="185"/>
    </row>
    <row r="40" spans="1:12" s="192" customFormat="1" ht="20.25" customHeight="1">
      <c r="A40" s="203">
        <f ca="1">IF(ROWS($1:29)&gt;COUNT(Dong2),"",OFFSET(TH!C$1,SMALL(Dong2,ROWS($1:29)),))</f>
        <v>42485</v>
      </c>
      <c r="B40" s="203" t="str">
        <f ca="1">IF(ROWS($1:29)&gt;COUNT(Dong2),"",OFFSET(TH!D$1,SMALL(Dong2,ROWS($1:29)),))</f>
        <v>GBN</v>
      </c>
      <c r="C40" s="203">
        <f ca="1">IF(ROWS($1:29)&gt;COUNT(Dong2),"",OFFSET(TH!E$1,SMALL(Dong2,ROWS($1:29)),))</f>
        <v>42485</v>
      </c>
      <c r="D40" s="389" t="str">
        <f ca="1">IF(ROWS($1:29)&gt;COUNT(Dong2),"",OFFSET(TH!F$1,SMALL(Dong2,ROWS($1:29)),))</f>
        <v>Nộp tiền mặt vào TK NH</v>
      </c>
      <c r="E40" s="203" t="str">
        <f ca="1">IF(ROWS($1:29)&gt;COUNT(Dong2),"",IF(OFFSET(TH!O$1,SMALL(Dong2,ROWS($1:29)),)=$I$6,OFFSET(TH!N$1,SMALL(Dong2,ROWS($1:29)),),OFFSET(TH!O$1,SMALL(Dong2,ROWS($1:29)),)))</f>
        <v>1111</v>
      </c>
      <c r="F40" s="961">
        <f ca="1">IF(ROWS($1:29)&gt;COUNT(Dong2),"",IF(AND(IF($M$9="Q4",LEFT(OFFSET(TH!G$1,SMALL(Dong2,ROWS($1:29)),),2)=$M$9,LEFT(OFFSET(TH!G$1,SMALL(Dong2,ROWS($1:29)),),3)=$M$9),OFFSET(TH!N$1,SMALL(Dong2,ROWS($1:29)),)=$I$6),IF($I$6="1121",OFFSET(TH!M$1,SMALL(Dong2,ROWS($1:29)),),OFFSET(TH!K$1,SMALL(Dong2,ROWS($1:29)),)),0))</f>
        <v>80000000</v>
      </c>
      <c r="G40" s="961">
        <f ca="1">IF(ROWS($1:29)&gt;COUNT(Dong2),"",IF(AND(IF($M$9="Q4",RIGHT(OFFSET(TH!G$1,SMALL(Dong2,ROWS($1:29)),),2)=$M$9,RIGHT(OFFSET(TH!G$1,SMALL(Dong2,ROWS($1:29)),),3)=$M$9),OFFSET(TH!O$1,SMALL(Dong2,ROWS($1:29)),)=$I$6),IF($I$6="1121",OFFSET(TH!M$1,SMALL(Dong2,ROWS($1:29)),),OFFSET(TH!K$1,SMALL(Dong2,ROWS($1:29)),)),0))</f>
        <v>0</v>
      </c>
      <c r="H40" s="958">
        <f t="shared" ca="1" si="0"/>
        <v>89327461</v>
      </c>
      <c r="I40" s="958"/>
    </row>
    <row r="41" spans="1:12" s="192" customFormat="1" ht="20.25" customHeight="1">
      <c r="A41" s="203">
        <f ca="1">IF(ROWS($1:30)&gt;COUNT(Dong2),"",OFFSET(TH!C$1,SMALL(Dong2,ROWS($1:30)),))</f>
        <v>42485</v>
      </c>
      <c r="B41" s="203" t="str">
        <f ca="1">IF(ROWS($1:30)&gt;COUNT(Dong2),"",OFFSET(TH!D$1,SMALL(Dong2,ROWS($1:30)),))</f>
        <v>GBN</v>
      </c>
      <c r="C41" s="203">
        <f ca="1">IF(ROWS($1:30)&gt;COUNT(Dong2),"",OFFSET(TH!E$1,SMALL(Dong2,ROWS($1:30)),))</f>
        <v>42485</v>
      </c>
      <c r="D41" s="389" t="str">
        <f ca="1">IF(ROWS($1:30)&gt;COUNT(Dong2),"",OFFSET(TH!F$1,SMALL(Dong2,ROWS($1:30)),))</f>
        <v>Thanh toán phí kiểm nghiệm T1</v>
      </c>
      <c r="E41" s="203" t="str">
        <f ca="1">IF(ROWS($1:30)&gt;COUNT(Dong2),"",IF(OFFSET(TH!O$1,SMALL(Dong2,ROWS($1:30)),)=$I$6,OFFSET(TH!N$1,SMALL(Dong2,ROWS($1:30)),),OFFSET(TH!O$1,SMALL(Dong2,ROWS($1:30)),)))</f>
        <v>331</v>
      </c>
      <c r="F41" s="961">
        <f ca="1">IF(ROWS($1:30)&gt;COUNT(Dong2),"",IF(AND(IF($M$9="Q4",LEFT(OFFSET(TH!G$1,SMALL(Dong2,ROWS($1:30)),),2)=$M$9,LEFT(OFFSET(TH!G$1,SMALL(Dong2,ROWS($1:30)),),3)=$M$9),OFFSET(TH!N$1,SMALL(Dong2,ROWS($1:30)),)=$I$6),IF($I$6="1121",OFFSET(TH!M$1,SMALL(Dong2,ROWS($1:30)),),OFFSET(TH!K$1,SMALL(Dong2,ROWS($1:30)),)),0))</f>
        <v>0</v>
      </c>
      <c r="G41" s="961">
        <f ca="1">IF(ROWS($1:30)&gt;COUNT(Dong2),"",IF(AND(IF($M$9="Q4",RIGHT(OFFSET(TH!G$1,SMALL(Dong2,ROWS($1:30)),),2)=$M$9,RIGHT(OFFSET(TH!G$1,SMALL(Dong2,ROWS($1:30)),),3)=$M$9),OFFSET(TH!O$1,SMALL(Dong2,ROWS($1:30)),)=$I$6),IF($I$6="1121",OFFSET(TH!M$1,SMALL(Dong2,ROWS($1:30)),),OFFSET(TH!K$1,SMALL(Dong2,ROWS($1:30)),)),0))</f>
        <v>780000</v>
      </c>
      <c r="H41" s="958">
        <f t="shared" ca="1" si="0"/>
        <v>88547461</v>
      </c>
      <c r="I41" s="958"/>
    </row>
    <row r="42" spans="1:12" s="192" customFormat="1" ht="20.25" customHeight="1">
      <c r="A42" s="203">
        <f ca="1">IF(ROWS($1:31)&gt;COUNT(Dong2),"",OFFSET(TH!C$1,SMALL(Dong2,ROWS($1:31)),))</f>
        <v>42485</v>
      </c>
      <c r="B42" s="203" t="str">
        <f ca="1">IF(ROWS($1:31)&gt;COUNT(Dong2),"",OFFSET(TH!D$1,SMALL(Dong2,ROWS($1:31)),))</f>
        <v>GBN</v>
      </c>
      <c r="C42" s="203">
        <f ca="1">IF(ROWS($1:31)&gt;COUNT(Dong2),"",OFFSET(TH!E$1,SMALL(Dong2,ROWS($1:31)),))</f>
        <v>42485</v>
      </c>
      <c r="D42" s="389" t="str">
        <f ca="1">IF(ROWS($1:31)&gt;COUNT(Dong2),"",OFFSET(TH!F$1,SMALL(Dong2,ROWS($1:31)),))</f>
        <v>Phí chuyển tiền</v>
      </c>
      <c r="E42" s="203" t="str">
        <f ca="1">IF(ROWS($1:31)&gt;COUNT(Dong2),"",IF(OFFSET(TH!O$1,SMALL(Dong2,ROWS($1:31)),)=$I$6,OFFSET(TH!N$1,SMALL(Dong2,ROWS($1:31)),),OFFSET(TH!O$1,SMALL(Dong2,ROWS($1:31)),)))</f>
        <v>642</v>
      </c>
      <c r="F42" s="961">
        <f ca="1">IF(ROWS($1:31)&gt;COUNT(Dong2),"",IF(AND(IF($M$9="Q4",LEFT(OFFSET(TH!G$1,SMALL(Dong2,ROWS($1:31)),),2)=$M$9,LEFT(OFFSET(TH!G$1,SMALL(Dong2,ROWS($1:31)),),3)=$M$9),OFFSET(TH!N$1,SMALL(Dong2,ROWS($1:31)),)=$I$6),IF($I$6="1121",OFFSET(TH!M$1,SMALL(Dong2,ROWS($1:31)),),OFFSET(TH!K$1,SMALL(Dong2,ROWS($1:31)),)),0))</f>
        <v>0</v>
      </c>
      <c r="G42" s="961">
        <f ca="1">IF(ROWS($1:31)&gt;COUNT(Dong2),"",IF(AND(IF($M$9="Q4",RIGHT(OFFSET(TH!G$1,SMALL(Dong2,ROWS($1:31)),),2)=$M$9,RIGHT(OFFSET(TH!G$1,SMALL(Dong2,ROWS($1:31)),),3)=$M$9),OFFSET(TH!O$1,SMALL(Dong2,ROWS($1:31)),)=$I$6),IF($I$6="1121",OFFSET(TH!M$1,SMALL(Dong2,ROWS($1:31)),),OFFSET(TH!K$1,SMALL(Dong2,ROWS($1:31)),)),0))</f>
        <v>20000</v>
      </c>
      <c r="H42" s="958">
        <f t="shared" ca="1" si="0"/>
        <v>88527461</v>
      </c>
      <c r="I42" s="958"/>
    </row>
    <row r="43" spans="1:12" s="192" customFormat="1" ht="20.25" customHeight="1">
      <c r="A43" s="203">
        <f ca="1">IF(ROWS($1:32)&gt;COUNT(Dong2),"",OFFSET(TH!C$1,SMALL(Dong2,ROWS($1:32)),))</f>
        <v>42485</v>
      </c>
      <c r="B43" s="203" t="str">
        <f ca="1">IF(ROWS($1:32)&gt;COUNT(Dong2),"",OFFSET(TH!D$1,SMALL(Dong2,ROWS($1:32)),))</f>
        <v>GBN</v>
      </c>
      <c r="C43" s="203">
        <f ca="1">IF(ROWS($1:32)&gt;COUNT(Dong2),"",OFFSET(TH!E$1,SMALL(Dong2,ROWS($1:32)),))</f>
        <v>42485</v>
      </c>
      <c r="D43" s="389" t="str">
        <f ca="1">IF(ROWS($1:32)&gt;COUNT(Dong2),"",OFFSET(TH!F$1,SMALL(Dong2,ROWS($1:32)),))</f>
        <v>VAT Phí chuyển tiền</v>
      </c>
      <c r="E43" s="203" t="str">
        <f ca="1">IF(ROWS($1:32)&gt;COUNT(Dong2),"",IF(OFFSET(TH!O$1,SMALL(Dong2,ROWS($1:32)),)=$I$6,OFFSET(TH!N$1,SMALL(Dong2,ROWS($1:32)),),OFFSET(TH!O$1,SMALL(Dong2,ROWS($1:32)),)))</f>
        <v>1331</v>
      </c>
      <c r="F43" s="961">
        <f ca="1">IF(ROWS($1:32)&gt;COUNT(Dong2),"",IF(AND(IF($M$9="Q4",LEFT(OFFSET(TH!G$1,SMALL(Dong2,ROWS($1:32)),),2)=$M$9,LEFT(OFFSET(TH!G$1,SMALL(Dong2,ROWS($1:32)),),3)=$M$9),OFFSET(TH!N$1,SMALL(Dong2,ROWS($1:32)),)=$I$6),IF($I$6="1121",OFFSET(TH!M$1,SMALL(Dong2,ROWS($1:32)),),OFFSET(TH!K$1,SMALL(Dong2,ROWS($1:32)),)),0))</f>
        <v>0</v>
      </c>
      <c r="G43" s="961">
        <f ca="1">IF(ROWS($1:32)&gt;COUNT(Dong2),"",IF(AND(IF($M$9="Q4",RIGHT(OFFSET(TH!G$1,SMALL(Dong2,ROWS($1:32)),),2)=$M$9,RIGHT(OFFSET(TH!G$1,SMALL(Dong2,ROWS($1:32)),),3)=$M$9),OFFSET(TH!O$1,SMALL(Dong2,ROWS($1:32)),)=$I$6),IF($I$6="1121",OFFSET(TH!M$1,SMALL(Dong2,ROWS($1:32)),),OFFSET(TH!K$1,SMALL(Dong2,ROWS($1:32)),)),0))</f>
        <v>2000</v>
      </c>
      <c r="H43" s="958">
        <f t="shared" ca="1" si="0"/>
        <v>88525461</v>
      </c>
      <c r="I43" s="958"/>
    </row>
    <row r="44" spans="1:12" s="192" customFormat="1" ht="20.25" customHeight="1">
      <c r="A44" s="203">
        <f ca="1">IF(ROWS($1:33)&gt;COUNT(Dong2),"",OFFSET(TH!C$1,SMALL(Dong2,ROWS($1:33)),))</f>
        <v>42485</v>
      </c>
      <c r="B44" s="203" t="str">
        <f ca="1">IF(ROWS($1:33)&gt;COUNT(Dong2),"",OFFSET(TH!D$1,SMALL(Dong2,ROWS($1:33)),))</f>
        <v>GBN</v>
      </c>
      <c r="C44" s="203">
        <f ca="1">IF(ROWS($1:33)&gt;COUNT(Dong2),"",OFFSET(TH!E$1,SMALL(Dong2,ROWS($1:33)),))</f>
        <v>42485</v>
      </c>
      <c r="D44" s="389" t="str">
        <f ca="1">IF(ROWS($1:33)&gt;COUNT(Dong2),"",OFFSET(TH!F$1,SMALL(Dong2,ROWS($1:33)),))</f>
        <v>Thanh toán phí kiểm nghiệm T1 &amp; 3</v>
      </c>
      <c r="E44" s="203" t="str">
        <f ca="1">IF(ROWS($1:33)&gt;COUNT(Dong2),"",IF(OFFSET(TH!O$1,SMALL(Dong2,ROWS($1:33)),)=$I$6,OFFSET(TH!N$1,SMALL(Dong2,ROWS($1:33)),),OFFSET(TH!O$1,SMALL(Dong2,ROWS($1:33)),)))</f>
        <v>331</v>
      </c>
      <c r="F44" s="961">
        <f ca="1">IF(ROWS($1:33)&gt;COUNT(Dong2),"",IF(AND(IF($M$9="Q4",LEFT(OFFSET(TH!G$1,SMALL(Dong2,ROWS($1:33)),),2)=$M$9,LEFT(OFFSET(TH!G$1,SMALL(Dong2,ROWS($1:33)),),3)=$M$9),OFFSET(TH!N$1,SMALL(Dong2,ROWS($1:33)),)=$I$6),IF($I$6="1121",OFFSET(TH!M$1,SMALL(Dong2,ROWS($1:33)),),OFFSET(TH!K$1,SMALL(Dong2,ROWS($1:33)),)),0))</f>
        <v>0</v>
      </c>
      <c r="G44" s="961">
        <f ca="1">IF(ROWS($1:33)&gt;COUNT(Dong2),"",IF(AND(IF($M$9="Q4",RIGHT(OFFSET(TH!G$1,SMALL(Dong2,ROWS($1:33)),),2)=$M$9,RIGHT(OFFSET(TH!G$1,SMALL(Dong2,ROWS($1:33)),),3)=$M$9),OFFSET(TH!O$1,SMALL(Dong2,ROWS($1:33)),)=$I$6),IF($I$6="1121",OFFSET(TH!M$1,SMALL(Dong2,ROWS($1:33)),),OFFSET(TH!K$1,SMALL(Dong2,ROWS($1:33)),)),0))</f>
        <v>2205000</v>
      </c>
      <c r="H44" s="958">
        <f t="shared" ca="1" si="0"/>
        <v>86320461</v>
      </c>
      <c r="I44" s="958"/>
    </row>
    <row r="45" spans="1:12" s="192" customFormat="1" ht="20.25" customHeight="1">
      <c r="A45" s="203">
        <f ca="1">IF(ROWS($1:34)&gt;COUNT(Dong2),"",OFFSET(TH!C$1,SMALL(Dong2,ROWS($1:34)),))</f>
        <v>42485</v>
      </c>
      <c r="B45" s="203" t="str">
        <f ca="1">IF(ROWS($1:34)&gt;COUNT(Dong2),"",OFFSET(TH!D$1,SMALL(Dong2,ROWS($1:34)),))</f>
        <v>GBN</v>
      </c>
      <c r="C45" s="203">
        <f ca="1">IF(ROWS($1:34)&gt;COUNT(Dong2),"",OFFSET(TH!E$1,SMALL(Dong2,ROWS($1:34)),))</f>
        <v>42485</v>
      </c>
      <c r="D45" s="389" t="str">
        <f ca="1">IF(ROWS($1:34)&gt;COUNT(Dong2),"",OFFSET(TH!F$1,SMALL(Dong2,ROWS($1:34)),))</f>
        <v>Phí chuyển tiền</v>
      </c>
      <c r="E45" s="203" t="str">
        <f ca="1">IF(ROWS($1:34)&gt;COUNT(Dong2),"",IF(OFFSET(TH!O$1,SMALL(Dong2,ROWS($1:34)),)=$I$6,OFFSET(TH!N$1,SMALL(Dong2,ROWS($1:34)),),OFFSET(TH!O$1,SMALL(Dong2,ROWS($1:34)),)))</f>
        <v>642</v>
      </c>
      <c r="F45" s="961">
        <f ca="1">IF(ROWS($1:34)&gt;COUNT(Dong2),"",IF(AND(IF($M$9="Q4",LEFT(OFFSET(TH!G$1,SMALL(Dong2,ROWS($1:34)),),2)=$M$9,LEFT(OFFSET(TH!G$1,SMALL(Dong2,ROWS($1:34)),),3)=$M$9),OFFSET(TH!N$1,SMALL(Dong2,ROWS($1:34)),)=$I$6),IF($I$6="1121",OFFSET(TH!M$1,SMALL(Dong2,ROWS($1:34)),),OFFSET(TH!K$1,SMALL(Dong2,ROWS($1:34)),)),0))</f>
        <v>0</v>
      </c>
      <c r="G45" s="961">
        <f ca="1">IF(ROWS($1:34)&gt;COUNT(Dong2),"",IF(AND(IF($M$9="Q4",RIGHT(OFFSET(TH!G$1,SMALL(Dong2,ROWS($1:34)),),2)=$M$9,RIGHT(OFFSET(TH!G$1,SMALL(Dong2,ROWS($1:34)),),3)=$M$9),OFFSET(TH!O$1,SMALL(Dong2,ROWS($1:34)),)=$I$6),IF($I$6="1121",OFFSET(TH!M$1,SMALL(Dong2,ROWS($1:34)),),OFFSET(TH!K$1,SMALL(Dong2,ROWS($1:34)),)),0))</f>
        <v>20000</v>
      </c>
      <c r="H45" s="958">
        <f t="shared" ca="1" si="0"/>
        <v>86300461</v>
      </c>
      <c r="I45" s="958"/>
    </row>
    <row r="46" spans="1:12" s="192" customFormat="1" ht="20.25" customHeight="1">
      <c r="A46" s="203">
        <f ca="1">IF(ROWS($1:35)&gt;COUNT(Dong2),"",OFFSET(TH!C$1,SMALL(Dong2,ROWS($1:35)),))</f>
        <v>42485</v>
      </c>
      <c r="B46" s="203" t="str">
        <f ca="1">IF(ROWS($1:35)&gt;COUNT(Dong2),"",OFFSET(TH!D$1,SMALL(Dong2,ROWS($1:35)),))</f>
        <v>GBN</v>
      </c>
      <c r="C46" s="203">
        <f ca="1">IF(ROWS($1:35)&gt;COUNT(Dong2),"",OFFSET(TH!E$1,SMALL(Dong2,ROWS($1:35)),))</f>
        <v>42485</v>
      </c>
      <c r="D46" s="389" t="str">
        <f ca="1">IF(ROWS($1:35)&gt;COUNT(Dong2),"",OFFSET(TH!F$1,SMALL(Dong2,ROWS($1:35)),))</f>
        <v>VAT Phí chuyển tiền</v>
      </c>
      <c r="E46" s="203" t="str">
        <f ca="1">IF(ROWS($1:35)&gt;COUNT(Dong2),"",IF(OFFSET(TH!O$1,SMALL(Dong2,ROWS($1:35)),)=$I$6,OFFSET(TH!N$1,SMALL(Dong2,ROWS($1:35)),),OFFSET(TH!O$1,SMALL(Dong2,ROWS($1:35)),)))</f>
        <v>1331</v>
      </c>
      <c r="F46" s="961">
        <f ca="1">IF(ROWS($1:35)&gt;COUNT(Dong2),"",IF(AND(IF($M$9="Q4",LEFT(OFFSET(TH!G$1,SMALL(Dong2,ROWS($1:35)),),2)=$M$9,LEFT(OFFSET(TH!G$1,SMALL(Dong2,ROWS($1:35)),),3)=$M$9),OFFSET(TH!N$1,SMALL(Dong2,ROWS($1:35)),)=$I$6),IF($I$6="1121",OFFSET(TH!M$1,SMALL(Dong2,ROWS($1:35)),),OFFSET(TH!K$1,SMALL(Dong2,ROWS($1:35)),)),0))</f>
        <v>0</v>
      </c>
      <c r="G46" s="961">
        <f ca="1">IF(ROWS($1:35)&gt;COUNT(Dong2),"",IF(AND(IF($M$9="Q4",RIGHT(OFFSET(TH!G$1,SMALL(Dong2,ROWS($1:35)),),2)=$M$9,RIGHT(OFFSET(TH!G$1,SMALL(Dong2,ROWS($1:35)),),3)=$M$9),OFFSET(TH!O$1,SMALL(Dong2,ROWS($1:35)),)=$I$6),IF($I$6="1121",OFFSET(TH!M$1,SMALL(Dong2,ROWS($1:35)),),OFFSET(TH!K$1,SMALL(Dong2,ROWS($1:35)),)),0))</f>
        <v>2000</v>
      </c>
      <c r="H46" s="958">
        <f t="shared" ca="1" si="0"/>
        <v>86298461</v>
      </c>
      <c r="I46" s="958"/>
    </row>
    <row r="47" spans="1:12" s="192" customFormat="1" ht="20.25" customHeight="1">
      <c r="A47" s="203">
        <f ca="1">IF(ROWS($1:36)&gt;COUNT(Dong2),"",OFFSET(TH!C$1,SMALL(Dong2,ROWS($1:36)),))</f>
        <v>42485</v>
      </c>
      <c r="B47" s="203" t="str">
        <f ca="1">IF(ROWS($1:36)&gt;COUNT(Dong2),"",OFFSET(TH!D$1,SMALL(Dong2,ROWS($1:36)),))</f>
        <v>GBN</v>
      </c>
      <c r="C47" s="203">
        <f ca="1">IF(ROWS($1:36)&gt;COUNT(Dong2),"",OFFSET(TH!E$1,SMALL(Dong2,ROWS($1:36)),))</f>
        <v>42485</v>
      </c>
      <c r="D47" s="389" t="str">
        <f ca="1">IF(ROWS($1:36)&gt;COUNT(Dong2),"",OFFSET(TH!F$1,SMALL(Dong2,ROWS($1:36)),))</f>
        <v>Thanh toán tiền sorbitol</v>
      </c>
      <c r="E47" s="203" t="str">
        <f ca="1">IF(ROWS($1:36)&gt;COUNT(Dong2),"",IF(OFFSET(TH!O$1,SMALL(Dong2,ROWS($1:36)),)=$I$6,OFFSET(TH!N$1,SMALL(Dong2,ROWS($1:36)),),OFFSET(TH!O$1,SMALL(Dong2,ROWS($1:36)),)))</f>
        <v>331</v>
      </c>
      <c r="F47" s="961">
        <f ca="1">IF(ROWS($1:36)&gt;COUNT(Dong2),"",IF(AND(IF($M$9="Q4",LEFT(OFFSET(TH!G$1,SMALL(Dong2,ROWS($1:36)),),2)=$M$9,LEFT(OFFSET(TH!G$1,SMALL(Dong2,ROWS($1:36)),),3)=$M$9),OFFSET(TH!N$1,SMALL(Dong2,ROWS($1:36)),)=$I$6),IF($I$6="1121",OFFSET(TH!M$1,SMALL(Dong2,ROWS($1:36)),),OFFSET(TH!K$1,SMALL(Dong2,ROWS($1:36)),)),0))</f>
        <v>0</v>
      </c>
      <c r="G47" s="961">
        <f ca="1">IF(ROWS($1:36)&gt;COUNT(Dong2),"",IF(AND(IF($M$9="Q4",RIGHT(OFFSET(TH!G$1,SMALL(Dong2,ROWS($1:36)),),2)=$M$9,RIGHT(OFFSET(TH!G$1,SMALL(Dong2,ROWS($1:36)),),3)=$M$9),OFFSET(TH!O$1,SMALL(Dong2,ROWS($1:36)),)=$I$6),IF($I$6="1121",OFFSET(TH!M$1,SMALL(Dong2,ROWS($1:36)),),OFFSET(TH!K$1,SMALL(Dong2,ROWS($1:36)),)),0))</f>
        <v>35536000</v>
      </c>
      <c r="H47" s="958">
        <f t="shared" ca="1" si="0"/>
        <v>50762461</v>
      </c>
      <c r="I47" s="958"/>
    </row>
    <row r="48" spans="1:12" s="192" customFormat="1" ht="20.25" customHeight="1">
      <c r="A48" s="203">
        <f ca="1">IF(ROWS($1:37)&gt;COUNT(Dong2),"",OFFSET(TH!C$1,SMALL(Dong2,ROWS($1:37)),))</f>
        <v>42485</v>
      </c>
      <c r="B48" s="203" t="str">
        <f ca="1">IF(ROWS($1:37)&gt;COUNT(Dong2),"",OFFSET(TH!D$1,SMALL(Dong2,ROWS($1:37)),))</f>
        <v>GBN</v>
      </c>
      <c r="C48" s="203">
        <f ca="1">IF(ROWS($1:37)&gt;COUNT(Dong2),"",OFFSET(TH!E$1,SMALL(Dong2,ROWS($1:37)),))</f>
        <v>42485</v>
      </c>
      <c r="D48" s="389" t="str">
        <f ca="1">IF(ROWS($1:37)&gt;COUNT(Dong2),"",OFFSET(TH!F$1,SMALL(Dong2,ROWS($1:37)),))</f>
        <v>Phí chuyển tiền</v>
      </c>
      <c r="E48" s="203" t="str">
        <f ca="1">IF(ROWS($1:37)&gt;COUNT(Dong2),"",IF(OFFSET(TH!O$1,SMALL(Dong2,ROWS($1:37)),)=$I$6,OFFSET(TH!N$1,SMALL(Dong2,ROWS($1:37)),),OFFSET(TH!O$1,SMALL(Dong2,ROWS($1:37)),)))</f>
        <v>642</v>
      </c>
      <c r="F48" s="961">
        <f ca="1">IF(ROWS($1:37)&gt;COUNT(Dong2),"",IF(AND(IF($M$9="Q4",LEFT(OFFSET(TH!G$1,SMALL(Dong2,ROWS($1:37)),),2)=$M$9,LEFT(OFFSET(TH!G$1,SMALL(Dong2,ROWS($1:37)),),3)=$M$9),OFFSET(TH!N$1,SMALL(Dong2,ROWS($1:37)),)=$I$6),IF($I$6="1121",OFFSET(TH!M$1,SMALL(Dong2,ROWS($1:37)),),OFFSET(TH!K$1,SMALL(Dong2,ROWS($1:37)),)),0))</f>
        <v>0</v>
      </c>
      <c r="G48" s="961">
        <f ca="1">IF(ROWS($1:37)&gt;COUNT(Dong2),"",IF(AND(IF($M$9="Q4",RIGHT(OFFSET(TH!G$1,SMALL(Dong2,ROWS($1:37)),),2)=$M$9,RIGHT(OFFSET(TH!G$1,SMALL(Dong2,ROWS($1:37)),),3)=$M$9),OFFSET(TH!O$1,SMALL(Dong2,ROWS($1:37)),)=$I$6),IF($I$6="1121",OFFSET(TH!M$1,SMALL(Dong2,ROWS($1:37)),),OFFSET(TH!K$1,SMALL(Dong2,ROWS($1:37)),)),0))</f>
        <v>40000</v>
      </c>
      <c r="H48" s="958">
        <f t="shared" ca="1" si="0"/>
        <v>50722461</v>
      </c>
      <c r="I48" s="958"/>
    </row>
    <row r="49" spans="1:9" s="192" customFormat="1" ht="20.25" customHeight="1">
      <c r="A49" s="203">
        <f ca="1">IF(ROWS($1:38)&gt;COUNT(Dong2),"",OFFSET(TH!C$1,SMALL(Dong2,ROWS($1:38)),))</f>
        <v>42485</v>
      </c>
      <c r="B49" s="203" t="str">
        <f ca="1">IF(ROWS($1:38)&gt;COUNT(Dong2),"",OFFSET(TH!D$1,SMALL(Dong2,ROWS($1:38)),))</f>
        <v>GBN</v>
      </c>
      <c r="C49" s="203">
        <f ca="1">IF(ROWS($1:38)&gt;COUNT(Dong2),"",OFFSET(TH!E$1,SMALL(Dong2,ROWS($1:38)),))</f>
        <v>42485</v>
      </c>
      <c r="D49" s="389" t="str">
        <f ca="1">IF(ROWS($1:38)&gt;COUNT(Dong2),"",OFFSET(TH!F$1,SMALL(Dong2,ROWS($1:38)),))</f>
        <v>VAT Phí chuyển tiền</v>
      </c>
      <c r="E49" s="203" t="str">
        <f ca="1">IF(ROWS($1:38)&gt;COUNT(Dong2),"",IF(OFFSET(TH!O$1,SMALL(Dong2,ROWS($1:38)),)=$I$6,OFFSET(TH!N$1,SMALL(Dong2,ROWS($1:38)),),OFFSET(TH!O$1,SMALL(Dong2,ROWS($1:38)),)))</f>
        <v>1331</v>
      </c>
      <c r="F49" s="961">
        <f ca="1">IF(ROWS($1:38)&gt;COUNT(Dong2),"",IF(AND(IF($M$9="Q4",LEFT(OFFSET(TH!G$1,SMALL(Dong2,ROWS($1:38)),),2)=$M$9,LEFT(OFFSET(TH!G$1,SMALL(Dong2,ROWS($1:38)),),3)=$M$9),OFFSET(TH!N$1,SMALL(Dong2,ROWS($1:38)),)=$I$6),IF($I$6="1121",OFFSET(TH!M$1,SMALL(Dong2,ROWS($1:38)),),OFFSET(TH!K$1,SMALL(Dong2,ROWS($1:38)),)),0))</f>
        <v>0</v>
      </c>
      <c r="G49" s="961">
        <f ca="1">IF(ROWS($1:38)&gt;COUNT(Dong2),"",IF(AND(IF($M$9="Q4",RIGHT(OFFSET(TH!G$1,SMALL(Dong2,ROWS($1:38)),),2)=$M$9,RIGHT(OFFSET(TH!G$1,SMALL(Dong2,ROWS($1:38)),),3)=$M$9),OFFSET(TH!O$1,SMALL(Dong2,ROWS($1:38)),)=$I$6),IF($I$6="1121",OFFSET(TH!M$1,SMALL(Dong2,ROWS($1:38)),),OFFSET(TH!K$1,SMALL(Dong2,ROWS($1:38)),)),0))</f>
        <v>4000</v>
      </c>
      <c r="H49" s="958">
        <f t="shared" ca="1" si="0"/>
        <v>50718461</v>
      </c>
      <c r="I49" s="958"/>
    </row>
    <row r="50" spans="1:9" s="192" customFormat="1" ht="20.25" customHeight="1">
      <c r="A50" s="203">
        <f ca="1">IF(ROWS($1:39)&gt;COUNT(Dong2),"",OFFSET(TH!C$1,SMALL(Dong2,ROWS($1:39)),))</f>
        <v>42485</v>
      </c>
      <c r="B50" s="203" t="str">
        <f ca="1">IF(ROWS($1:39)&gt;COUNT(Dong2),"",OFFSET(TH!D$1,SMALL(Dong2,ROWS($1:39)),))</f>
        <v>GBN</v>
      </c>
      <c r="C50" s="203">
        <f ca="1">IF(ROWS($1:39)&gt;COUNT(Dong2),"",OFFSET(TH!E$1,SMALL(Dong2,ROWS($1:39)),))</f>
        <v>42485</v>
      </c>
      <c r="D50" s="389" t="str">
        <f ca="1">IF(ROWS($1:39)&gt;COUNT(Dong2),"",OFFSET(TH!F$1,SMALL(Dong2,ROWS($1:39)),))</f>
        <v>Thanh toán tiền máy lạnh</v>
      </c>
      <c r="E50" s="203" t="str">
        <f ca="1">IF(ROWS($1:39)&gt;COUNT(Dong2),"",IF(OFFSET(TH!O$1,SMALL(Dong2,ROWS($1:39)),)=$I$6,OFFSET(TH!N$1,SMALL(Dong2,ROWS($1:39)),),OFFSET(TH!O$1,SMALL(Dong2,ROWS($1:39)),)))</f>
        <v>331</v>
      </c>
      <c r="F50" s="961">
        <f ca="1">IF(ROWS($1:39)&gt;COUNT(Dong2),"",IF(AND(IF($M$9="Q4",LEFT(OFFSET(TH!G$1,SMALL(Dong2,ROWS($1:39)),),2)=$M$9,LEFT(OFFSET(TH!G$1,SMALL(Dong2,ROWS($1:39)),),3)=$M$9),OFFSET(TH!N$1,SMALL(Dong2,ROWS($1:39)),)=$I$6),IF($I$6="1121",OFFSET(TH!M$1,SMALL(Dong2,ROWS($1:39)),),OFFSET(TH!K$1,SMALL(Dong2,ROWS($1:39)),)),0))</f>
        <v>0</v>
      </c>
      <c r="G50" s="961">
        <f ca="1">IF(ROWS($1:39)&gt;COUNT(Dong2),"",IF(AND(IF($M$9="Q4",RIGHT(OFFSET(TH!G$1,SMALL(Dong2,ROWS($1:39)),),2)=$M$9,RIGHT(OFFSET(TH!G$1,SMALL(Dong2,ROWS($1:39)),),3)=$M$9),OFFSET(TH!O$1,SMALL(Dong2,ROWS($1:39)),)=$I$6),IF($I$6="1121",OFFSET(TH!M$1,SMALL(Dong2,ROWS($1:39)),),OFFSET(TH!K$1,SMALL(Dong2,ROWS($1:39)),)),0))</f>
        <v>36900000</v>
      </c>
      <c r="H50" s="958">
        <f t="shared" ca="1" si="0"/>
        <v>13818461</v>
      </c>
      <c r="I50" s="958"/>
    </row>
    <row r="51" spans="1:9" s="192" customFormat="1" ht="20.25" customHeight="1">
      <c r="A51" s="203">
        <f ca="1">IF(ROWS($1:40)&gt;COUNT(Dong2),"",OFFSET(TH!C$1,SMALL(Dong2,ROWS($1:40)),))</f>
        <v>42485</v>
      </c>
      <c r="B51" s="203" t="str">
        <f ca="1">IF(ROWS($1:40)&gt;COUNT(Dong2),"",OFFSET(TH!D$1,SMALL(Dong2,ROWS($1:40)),))</f>
        <v>GBN</v>
      </c>
      <c r="C51" s="203">
        <f ca="1">IF(ROWS($1:40)&gt;COUNT(Dong2),"",OFFSET(TH!E$1,SMALL(Dong2,ROWS($1:40)),))</f>
        <v>42485</v>
      </c>
      <c r="D51" s="389" t="str">
        <f ca="1">IF(ROWS($1:40)&gt;COUNT(Dong2),"",OFFSET(TH!F$1,SMALL(Dong2,ROWS($1:40)),))</f>
        <v>Phí chuyển tiền</v>
      </c>
      <c r="E51" s="203" t="str">
        <f ca="1">IF(ROWS($1:40)&gt;COUNT(Dong2),"",IF(OFFSET(TH!O$1,SMALL(Dong2,ROWS($1:40)),)=$I$6,OFFSET(TH!N$1,SMALL(Dong2,ROWS($1:40)),),OFFSET(TH!O$1,SMALL(Dong2,ROWS($1:40)),)))</f>
        <v>642</v>
      </c>
      <c r="F51" s="961">
        <f ca="1">IF(ROWS($1:40)&gt;COUNT(Dong2),"",IF(AND(IF($M$9="Q4",LEFT(OFFSET(TH!G$1,SMALL(Dong2,ROWS($1:40)),),2)=$M$9,LEFT(OFFSET(TH!G$1,SMALL(Dong2,ROWS($1:40)),),3)=$M$9),OFFSET(TH!N$1,SMALL(Dong2,ROWS($1:40)),)=$I$6),IF($I$6="1121",OFFSET(TH!M$1,SMALL(Dong2,ROWS($1:40)),),OFFSET(TH!K$1,SMALL(Dong2,ROWS($1:40)),)),0))</f>
        <v>0</v>
      </c>
      <c r="G51" s="961">
        <f ca="1">IF(ROWS($1:40)&gt;COUNT(Dong2),"",IF(AND(IF($M$9="Q4",RIGHT(OFFSET(TH!G$1,SMALL(Dong2,ROWS($1:40)),),2)=$M$9,RIGHT(OFFSET(TH!G$1,SMALL(Dong2,ROWS($1:40)),),3)=$M$9),OFFSET(TH!O$1,SMALL(Dong2,ROWS($1:40)),)=$I$6),IF($I$6="1121",OFFSET(TH!M$1,SMALL(Dong2,ROWS($1:40)),),OFFSET(TH!K$1,SMALL(Dong2,ROWS($1:40)),)),0))</f>
        <v>40000</v>
      </c>
      <c r="H51" s="958">
        <f t="shared" ca="1" si="0"/>
        <v>13778461</v>
      </c>
      <c r="I51" s="958"/>
    </row>
    <row r="52" spans="1:9" s="192" customFormat="1" ht="20.25" customHeight="1">
      <c r="A52" s="203">
        <f ca="1">IF(ROWS($1:41)&gt;COUNT(Dong2),"",OFFSET(TH!C$1,SMALL(Dong2,ROWS($1:41)),))</f>
        <v>42485</v>
      </c>
      <c r="B52" s="203" t="str">
        <f ca="1">IF(ROWS($1:41)&gt;COUNT(Dong2),"",OFFSET(TH!D$1,SMALL(Dong2,ROWS($1:41)),))</f>
        <v>GBN</v>
      </c>
      <c r="C52" s="203">
        <f ca="1">IF(ROWS($1:41)&gt;COUNT(Dong2),"",OFFSET(TH!E$1,SMALL(Dong2,ROWS($1:41)),))</f>
        <v>42485</v>
      </c>
      <c r="D52" s="389" t="str">
        <f ca="1">IF(ROWS($1:41)&gt;COUNT(Dong2),"",OFFSET(TH!F$1,SMALL(Dong2,ROWS($1:41)),))</f>
        <v>VAT Phí chuyển tiền</v>
      </c>
      <c r="E52" s="203" t="str">
        <f ca="1">IF(ROWS($1:41)&gt;COUNT(Dong2),"",IF(OFFSET(TH!O$1,SMALL(Dong2,ROWS($1:41)),)=$I$6,OFFSET(TH!N$1,SMALL(Dong2,ROWS($1:41)),),OFFSET(TH!O$1,SMALL(Dong2,ROWS($1:41)),)))</f>
        <v>1331</v>
      </c>
      <c r="F52" s="961">
        <f ca="1">IF(ROWS($1:41)&gt;COUNT(Dong2),"",IF(AND(IF($M$9="Q4",LEFT(OFFSET(TH!G$1,SMALL(Dong2,ROWS($1:41)),),2)=$M$9,LEFT(OFFSET(TH!G$1,SMALL(Dong2,ROWS($1:41)),),3)=$M$9),OFFSET(TH!N$1,SMALL(Dong2,ROWS($1:41)),)=$I$6),IF($I$6="1121",OFFSET(TH!M$1,SMALL(Dong2,ROWS($1:41)),),OFFSET(TH!K$1,SMALL(Dong2,ROWS($1:41)),)),0))</f>
        <v>0</v>
      </c>
      <c r="G52" s="961">
        <f ca="1">IF(ROWS($1:41)&gt;COUNT(Dong2),"",IF(AND(IF($M$9="Q4",RIGHT(OFFSET(TH!G$1,SMALL(Dong2,ROWS($1:41)),),2)=$M$9,RIGHT(OFFSET(TH!G$1,SMALL(Dong2,ROWS($1:41)),),3)=$M$9),OFFSET(TH!O$1,SMALL(Dong2,ROWS($1:41)),)=$I$6),IF($I$6="1121",OFFSET(TH!M$1,SMALL(Dong2,ROWS($1:41)),),OFFSET(TH!K$1,SMALL(Dong2,ROWS($1:41)),)),0))</f>
        <v>4000</v>
      </c>
      <c r="H52" s="958">
        <f t="shared" ca="1" si="0"/>
        <v>13774461</v>
      </c>
      <c r="I52" s="958"/>
    </row>
    <row r="53" spans="1:9" s="192" customFormat="1" ht="20.25" customHeight="1">
      <c r="A53" s="203">
        <f ca="1">IF(ROWS($1:42)&gt;COUNT(Dong2),"",OFFSET(TH!C$1,SMALL(Dong2,ROWS($1:42)),))</f>
        <v>42486</v>
      </c>
      <c r="B53" s="203" t="str">
        <f ca="1">IF(ROWS($1:42)&gt;COUNT(Dong2),"",OFFSET(TH!D$1,SMALL(Dong2,ROWS($1:42)),))</f>
        <v>GBN</v>
      </c>
      <c r="C53" s="203">
        <f ca="1">IF(ROWS($1:42)&gt;COUNT(Dong2),"",OFFSET(TH!E$1,SMALL(Dong2,ROWS($1:42)),))</f>
        <v>42486</v>
      </c>
      <c r="D53" s="389" t="str">
        <f ca="1">IF(ROWS($1:42)&gt;COUNT(Dong2),"",OFFSET(TH!F$1,SMALL(Dong2,ROWS($1:42)),))</f>
        <v>Nộp tiền mặt vào TK NH</v>
      </c>
      <c r="E53" s="203" t="str">
        <f ca="1">IF(ROWS($1:42)&gt;COUNT(Dong2),"",IF(OFFSET(TH!O$1,SMALL(Dong2,ROWS($1:42)),)=$I$6,OFFSET(TH!N$1,SMALL(Dong2,ROWS($1:42)),),OFFSET(TH!O$1,SMALL(Dong2,ROWS($1:42)),)))</f>
        <v>1111</v>
      </c>
      <c r="F53" s="961">
        <f ca="1">IF(ROWS($1:42)&gt;COUNT(Dong2),"",IF(AND(IF($M$9="Q4",LEFT(OFFSET(TH!G$1,SMALL(Dong2,ROWS($1:42)),),2)=$M$9,LEFT(OFFSET(TH!G$1,SMALL(Dong2,ROWS($1:42)),),3)=$M$9),OFFSET(TH!N$1,SMALL(Dong2,ROWS($1:42)),)=$I$6),IF($I$6="1121",OFFSET(TH!M$1,SMALL(Dong2,ROWS($1:42)),),OFFSET(TH!K$1,SMALL(Dong2,ROWS($1:42)),)),0))</f>
        <v>20000000</v>
      </c>
      <c r="G53" s="961">
        <f ca="1">IF(ROWS($1:42)&gt;COUNT(Dong2),"",IF(AND(IF($M$9="Q4",RIGHT(OFFSET(TH!G$1,SMALL(Dong2,ROWS($1:42)),),2)=$M$9,RIGHT(OFFSET(TH!G$1,SMALL(Dong2,ROWS($1:42)),),3)=$M$9),OFFSET(TH!O$1,SMALL(Dong2,ROWS($1:42)),)=$I$6),IF($I$6="1121",OFFSET(TH!M$1,SMALL(Dong2,ROWS($1:42)),),OFFSET(TH!K$1,SMALL(Dong2,ROWS($1:42)),)),0))</f>
        <v>0</v>
      </c>
      <c r="H53" s="958">
        <f t="shared" ref="H53:H82" ca="1" si="1">IF(A53&lt;&gt;"",H52+F53-G53,0)</f>
        <v>33774461</v>
      </c>
      <c r="I53" s="958"/>
    </row>
    <row r="54" spans="1:9" s="192" customFormat="1" ht="20.25" customHeight="1">
      <c r="A54" s="203">
        <f ca="1">IF(ROWS($1:43)&gt;COUNT(Dong2),"",OFFSET(TH!C$1,SMALL(Dong2,ROWS($1:43)),))</f>
        <v>42486</v>
      </c>
      <c r="B54" s="203" t="str">
        <f ca="1">IF(ROWS($1:43)&gt;COUNT(Dong2),"",OFFSET(TH!D$1,SMALL(Dong2,ROWS($1:43)),))</f>
        <v>GBN</v>
      </c>
      <c r="C54" s="203">
        <f ca="1">IF(ROWS($1:43)&gt;COUNT(Dong2),"",OFFSET(TH!E$1,SMALL(Dong2,ROWS($1:43)),))</f>
        <v>42486</v>
      </c>
      <c r="D54" s="389" t="str">
        <f ca="1">IF(ROWS($1:43)&gt;COUNT(Dong2),"",OFFSET(TH!F$1,SMALL(Dong2,ROWS($1:43)),))</f>
        <v>Thanh toán tiền điện kì 1 T4/16</v>
      </c>
      <c r="E54" s="203" t="str">
        <f ca="1">IF(ROWS($1:43)&gt;COUNT(Dong2),"",IF(OFFSET(TH!O$1,SMALL(Dong2,ROWS($1:43)),)=$I$6,OFFSET(TH!N$1,SMALL(Dong2,ROWS($1:43)),),OFFSET(TH!O$1,SMALL(Dong2,ROWS($1:43)),)))</f>
        <v>331</v>
      </c>
      <c r="F54" s="961">
        <f ca="1">IF(ROWS($1:43)&gt;COUNT(Dong2),"",IF(AND(IF($M$9="Q4",LEFT(OFFSET(TH!G$1,SMALL(Dong2,ROWS($1:43)),),2)=$M$9,LEFT(OFFSET(TH!G$1,SMALL(Dong2,ROWS($1:43)),),3)=$M$9),OFFSET(TH!N$1,SMALL(Dong2,ROWS($1:43)),)=$I$6),IF($I$6="1121",OFFSET(TH!M$1,SMALL(Dong2,ROWS($1:43)),),OFFSET(TH!K$1,SMALL(Dong2,ROWS($1:43)),)),0))</f>
        <v>0</v>
      </c>
      <c r="G54" s="961">
        <f ca="1">IF(ROWS($1:43)&gt;COUNT(Dong2),"",IF(AND(IF($M$9="Q4",RIGHT(OFFSET(TH!G$1,SMALL(Dong2,ROWS($1:43)),),2)=$M$9,RIGHT(OFFSET(TH!G$1,SMALL(Dong2,ROWS($1:43)),),3)=$M$9),OFFSET(TH!O$1,SMALL(Dong2,ROWS($1:43)),)=$I$6),IF($I$6="1121",OFFSET(TH!M$1,SMALL(Dong2,ROWS($1:43)),),OFFSET(TH!K$1,SMALL(Dong2,ROWS($1:43)),)),0))</f>
        <v>26225320</v>
      </c>
      <c r="H54" s="958">
        <f t="shared" ca="1" si="1"/>
        <v>7549141</v>
      </c>
      <c r="I54" s="958"/>
    </row>
    <row r="55" spans="1:9" s="192" customFormat="1" ht="20.25" customHeight="1">
      <c r="A55" s="203">
        <f ca="1">IF(ROWS($1:44)&gt;COUNT(Dong2),"",OFFSET(TH!C$1,SMALL(Dong2,ROWS($1:44)),))</f>
        <v>42486</v>
      </c>
      <c r="B55" s="203" t="str">
        <f ca="1">IF(ROWS($1:44)&gt;COUNT(Dong2),"",OFFSET(TH!D$1,SMALL(Dong2,ROWS($1:44)),))</f>
        <v>GBN</v>
      </c>
      <c r="C55" s="203">
        <f ca="1">IF(ROWS($1:44)&gt;COUNT(Dong2),"",OFFSET(TH!E$1,SMALL(Dong2,ROWS($1:44)),))</f>
        <v>42486</v>
      </c>
      <c r="D55" s="389" t="str">
        <f ca="1">IF(ROWS($1:44)&gt;COUNT(Dong2),"",OFFSET(TH!F$1,SMALL(Dong2,ROWS($1:44)),))</f>
        <v>Phí chuyển tiền</v>
      </c>
      <c r="E55" s="203" t="str">
        <f ca="1">IF(ROWS($1:44)&gt;COUNT(Dong2),"",IF(OFFSET(TH!O$1,SMALL(Dong2,ROWS($1:44)),)=$I$6,OFFSET(TH!N$1,SMALL(Dong2,ROWS($1:44)),),OFFSET(TH!O$1,SMALL(Dong2,ROWS($1:44)),)))</f>
        <v>642</v>
      </c>
      <c r="F55" s="961">
        <f ca="1">IF(ROWS($1:44)&gt;COUNT(Dong2),"",IF(AND(IF($M$9="Q4",LEFT(OFFSET(TH!G$1,SMALL(Dong2,ROWS($1:44)),),2)=$M$9,LEFT(OFFSET(TH!G$1,SMALL(Dong2,ROWS($1:44)),),3)=$M$9),OFFSET(TH!N$1,SMALL(Dong2,ROWS($1:44)),)=$I$6),IF($I$6="1121",OFFSET(TH!M$1,SMALL(Dong2,ROWS($1:44)),),OFFSET(TH!K$1,SMALL(Dong2,ROWS($1:44)),)),0))</f>
        <v>0</v>
      </c>
      <c r="G55" s="961">
        <f ca="1">IF(ROWS($1:44)&gt;COUNT(Dong2),"",IF(AND(IF($M$9="Q4",RIGHT(OFFSET(TH!G$1,SMALL(Dong2,ROWS($1:44)),),2)=$M$9,RIGHT(OFFSET(TH!G$1,SMALL(Dong2,ROWS($1:44)),),3)=$M$9),OFFSET(TH!O$1,SMALL(Dong2,ROWS($1:44)),)=$I$6),IF($I$6="1121",OFFSET(TH!M$1,SMALL(Dong2,ROWS($1:44)),),OFFSET(TH!K$1,SMALL(Dong2,ROWS($1:44)),)),0))</f>
        <v>45000</v>
      </c>
      <c r="H55" s="958">
        <f t="shared" ca="1" si="1"/>
        <v>7504141</v>
      </c>
      <c r="I55" s="958"/>
    </row>
    <row r="56" spans="1:9" s="192" customFormat="1" ht="20.25" customHeight="1">
      <c r="A56" s="203">
        <f ca="1">IF(ROWS($1:45)&gt;COUNT(Dong2),"",OFFSET(TH!C$1,SMALL(Dong2,ROWS($1:45)),))</f>
        <v>42486</v>
      </c>
      <c r="B56" s="203" t="str">
        <f ca="1">IF(ROWS($1:45)&gt;COUNT(Dong2),"",OFFSET(TH!D$1,SMALL(Dong2,ROWS($1:45)),))</f>
        <v>GBN</v>
      </c>
      <c r="C56" s="203">
        <f ca="1">IF(ROWS($1:45)&gt;COUNT(Dong2),"",OFFSET(TH!E$1,SMALL(Dong2,ROWS($1:45)),))</f>
        <v>42486</v>
      </c>
      <c r="D56" s="389" t="str">
        <f ca="1">IF(ROWS($1:45)&gt;COUNT(Dong2),"",OFFSET(TH!F$1,SMALL(Dong2,ROWS($1:45)),))</f>
        <v>VAT Phí chuyển tiền</v>
      </c>
      <c r="E56" s="203" t="str">
        <f ca="1">IF(ROWS($1:45)&gt;COUNT(Dong2),"",IF(OFFSET(TH!O$1,SMALL(Dong2,ROWS($1:45)),)=$I$6,OFFSET(TH!N$1,SMALL(Dong2,ROWS($1:45)),),OFFSET(TH!O$1,SMALL(Dong2,ROWS($1:45)),)))</f>
        <v>1331</v>
      </c>
      <c r="F56" s="961">
        <f ca="1">IF(ROWS($1:45)&gt;COUNT(Dong2),"",IF(AND(IF($M$9="Q4",LEFT(OFFSET(TH!G$1,SMALL(Dong2,ROWS($1:45)),),2)=$M$9,LEFT(OFFSET(TH!G$1,SMALL(Dong2,ROWS($1:45)),),3)=$M$9),OFFSET(TH!N$1,SMALL(Dong2,ROWS($1:45)),)=$I$6),IF($I$6="1121",OFFSET(TH!M$1,SMALL(Dong2,ROWS($1:45)),),OFFSET(TH!K$1,SMALL(Dong2,ROWS($1:45)),)),0))</f>
        <v>0</v>
      </c>
      <c r="G56" s="961">
        <f ca="1">IF(ROWS($1:45)&gt;COUNT(Dong2),"",IF(AND(IF($M$9="Q4",RIGHT(OFFSET(TH!G$1,SMALL(Dong2,ROWS($1:45)),),2)=$M$9,RIGHT(OFFSET(TH!G$1,SMALL(Dong2,ROWS($1:45)),),3)=$M$9),OFFSET(TH!O$1,SMALL(Dong2,ROWS($1:45)),)=$I$6),IF($I$6="1121",OFFSET(TH!M$1,SMALL(Dong2,ROWS($1:45)),),OFFSET(TH!K$1,SMALL(Dong2,ROWS($1:45)),)),0))</f>
        <v>4500</v>
      </c>
      <c r="H56" s="958">
        <f t="shared" ca="1" si="1"/>
        <v>7499641</v>
      </c>
      <c r="I56" s="958"/>
    </row>
    <row r="57" spans="1:9" s="192" customFormat="1" ht="20.25" customHeight="1">
      <c r="A57" s="203">
        <f ca="1">IF(ROWS($1:46)&gt;COUNT(Dong2),"",OFFSET(TH!C$1,SMALL(Dong2,ROWS($1:46)),))</f>
        <v>42488</v>
      </c>
      <c r="B57" s="203" t="str">
        <f ca="1">IF(ROWS($1:46)&gt;COUNT(Dong2),"",OFFSET(TH!D$1,SMALL(Dong2,ROWS($1:46)),))</f>
        <v>GBN</v>
      </c>
      <c r="C57" s="203">
        <f ca="1">IF(ROWS($1:46)&gt;COUNT(Dong2),"",OFFSET(TH!E$1,SMALL(Dong2,ROWS($1:46)),))</f>
        <v>42488</v>
      </c>
      <c r="D57" s="389" t="str">
        <f ca="1">IF(ROWS($1:46)&gt;COUNT(Dong2),"",OFFSET(TH!F$1,SMALL(Dong2,ROWS($1:46)),))</f>
        <v>Phạt nộp thuế</v>
      </c>
      <c r="E57" s="203" t="str">
        <f ca="1">IF(ROWS($1:46)&gt;COUNT(Dong2),"",IF(OFFSET(TH!O$1,SMALL(Dong2,ROWS($1:46)),)=$I$6,OFFSET(TH!N$1,SMALL(Dong2,ROWS($1:46)),),OFFSET(TH!O$1,SMALL(Dong2,ROWS($1:46)),)))</f>
        <v>811</v>
      </c>
      <c r="F57" s="961">
        <f ca="1">IF(ROWS($1:46)&gt;COUNT(Dong2),"",IF(AND(IF($M$9="Q4",LEFT(OFFSET(TH!G$1,SMALL(Dong2,ROWS($1:46)),),2)=$M$9,LEFT(OFFSET(TH!G$1,SMALL(Dong2,ROWS($1:46)),),3)=$M$9),OFFSET(TH!N$1,SMALL(Dong2,ROWS($1:46)),)=$I$6),IF($I$6="1121",OFFSET(TH!M$1,SMALL(Dong2,ROWS($1:46)),),OFFSET(TH!K$1,SMALL(Dong2,ROWS($1:46)),)),0))</f>
        <v>0</v>
      </c>
      <c r="G57" s="961">
        <f ca="1">IF(ROWS($1:46)&gt;COUNT(Dong2),"",IF(AND(IF($M$9="Q4",RIGHT(OFFSET(TH!G$1,SMALL(Dong2,ROWS($1:46)),),2)=$M$9,RIGHT(OFFSET(TH!G$1,SMALL(Dong2,ROWS($1:46)),),3)=$M$9),OFFSET(TH!O$1,SMALL(Dong2,ROWS($1:46)),)=$I$6),IF($I$6="1121",OFFSET(TH!M$1,SMALL(Dong2,ROWS($1:46)),),OFFSET(TH!K$1,SMALL(Dong2,ROWS($1:46)),)),0))</f>
        <v>304272</v>
      </c>
      <c r="H57" s="958">
        <f t="shared" ca="1" si="1"/>
        <v>7195369</v>
      </c>
      <c r="I57" s="958"/>
    </row>
    <row r="58" spans="1:9" s="192" customFormat="1" ht="20.25" customHeight="1">
      <c r="A58" s="203">
        <f ca="1">IF(ROWS($1:47)&gt;COUNT(Dong2),"",OFFSET(TH!C$1,SMALL(Dong2,ROWS($1:47)),))</f>
        <v>42489</v>
      </c>
      <c r="B58" s="203" t="str">
        <f ca="1">IF(ROWS($1:47)&gt;COUNT(Dong2),"",OFFSET(TH!D$1,SMALL(Dong2,ROWS($1:47)),))</f>
        <v>GBN</v>
      </c>
      <c r="C58" s="203">
        <f ca="1">IF(ROWS($1:47)&gt;COUNT(Dong2),"",OFFSET(TH!E$1,SMALL(Dong2,ROWS($1:47)),))</f>
        <v>42489</v>
      </c>
      <c r="D58" s="389" t="str">
        <f ca="1">IF(ROWS($1:47)&gt;COUNT(Dong2),"",OFFSET(TH!F$1,SMALL(Dong2,ROWS($1:47)),))</f>
        <v>Thu tiền hàng</v>
      </c>
      <c r="E58" s="203" t="str">
        <f ca="1">IF(ROWS($1:47)&gt;COUNT(Dong2),"",IF(OFFSET(TH!O$1,SMALL(Dong2,ROWS($1:47)),)=$I$6,OFFSET(TH!N$1,SMALL(Dong2,ROWS($1:47)),),OFFSET(TH!O$1,SMALL(Dong2,ROWS($1:47)),)))</f>
        <v>131</v>
      </c>
      <c r="F58" s="961">
        <f ca="1">IF(ROWS($1:47)&gt;COUNT(Dong2),"",IF(AND(IF($M$9="Q4",LEFT(OFFSET(TH!G$1,SMALL(Dong2,ROWS($1:47)),),2)=$M$9,LEFT(OFFSET(TH!G$1,SMALL(Dong2,ROWS($1:47)),),3)=$M$9),OFFSET(TH!N$1,SMALL(Dong2,ROWS($1:47)),)=$I$6),IF($I$6="1121",OFFSET(TH!M$1,SMALL(Dong2,ROWS($1:47)),),OFFSET(TH!K$1,SMALL(Dong2,ROWS($1:47)),)),0))</f>
        <v>1693577404</v>
      </c>
      <c r="G58" s="961">
        <f ca="1">IF(ROWS($1:47)&gt;COUNT(Dong2),"",IF(AND(IF($M$9="Q4",RIGHT(OFFSET(TH!G$1,SMALL(Dong2,ROWS($1:47)),),2)=$M$9,RIGHT(OFFSET(TH!G$1,SMALL(Dong2,ROWS($1:47)),),3)=$M$9),OFFSET(TH!O$1,SMALL(Dong2,ROWS($1:47)),)=$I$6),IF($I$6="1121",OFFSET(TH!M$1,SMALL(Dong2,ROWS($1:47)),),OFFSET(TH!K$1,SMALL(Dong2,ROWS($1:47)),)),0))</f>
        <v>0</v>
      </c>
      <c r="H58" s="958">
        <f t="shared" ca="1" si="1"/>
        <v>1700772773</v>
      </c>
      <c r="I58" s="958"/>
    </row>
    <row r="59" spans="1:9" s="192" customFormat="1" ht="20.25" customHeight="1">
      <c r="A59" s="203">
        <f ca="1">IF(ROWS($1:48)&gt;COUNT(Dong2),"",OFFSET(TH!C$1,SMALL(Dong2,ROWS($1:48)),))</f>
        <v>42489</v>
      </c>
      <c r="B59" s="203" t="str">
        <f ca="1">IF(ROWS($1:48)&gt;COUNT(Dong2),"",OFFSET(TH!D$1,SMALL(Dong2,ROWS($1:48)),))</f>
        <v>GBN</v>
      </c>
      <c r="C59" s="203">
        <f ca="1">IF(ROWS($1:48)&gt;COUNT(Dong2),"",OFFSET(TH!E$1,SMALL(Dong2,ROWS($1:48)),))</f>
        <v>42489</v>
      </c>
      <c r="D59" s="389" t="str">
        <f ca="1">IF(ROWS($1:48)&gt;COUNT(Dong2),"",OFFSET(TH!F$1,SMALL(Dong2,ROWS($1:48)),))</f>
        <v>Trả tiền vay LC</v>
      </c>
      <c r="E59" s="203" t="str">
        <f ca="1">IF(ROWS($1:48)&gt;COUNT(Dong2),"",IF(OFFSET(TH!O$1,SMALL(Dong2,ROWS($1:48)),)=$I$6,OFFSET(TH!N$1,SMALL(Dong2,ROWS($1:48)),),OFFSET(TH!O$1,SMALL(Dong2,ROWS($1:48)),)))</f>
        <v>3412</v>
      </c>
      <c r="F59" s="961">
        <f ca="1">IF(ROWS($1:48)&gt;COUNT(Dong2),"",IF(AND(IF($M$9="Q4",LEFT(OFFSET(TH!G$1,SMALL(Dong2,ROWS($1:48)),),2)=$M$9,LEFT(OFFSET(TH!G$1,SMALL(Dong2,ROWS($1:48)),),3)=$M$9),OFFSET(TH!N$1,SMALL(Dong2,ROWS($1:48)),)=$I$6),IF($I$6="1121",OFFSET(TH!M$1,SMALL(Dong2,ROWS($1:48)),),OFFSET(TH!K$1,SMALL(Dong2,ROWS($1:48)),)),0))</f>
        <v>0</v>
      </c>
      <c r="G59" s="961">
        <f ca="1">IF(ROWS($1:48)&gt;COUNT(Dong2),"",IF(AND(IF($M$9="Q4",RIGHT(OFFSET(TH!G$1,SMALL(Dong2,ROWS($1:48)),),2)=$M$9,RIGHT(OFFSET(TH!G$1,SMALL(Dong2,ROWS($1:48)),),3)=$M$9),OFFSET(TH!O$1,SMALL(Dong2,ROWS($1:48)),)=$I$6),IF($I$6="1121",OFFSET(TH!M$1,SMALL(Dong2,ROWS($1:48)),),OFFSET(TH!K$1,SMALL(Dong2,ROWS($1:48)),)),0))</f>
        <v>1600000000</v>
      </c>
      <c r="H59" s="958">
        <f t="shared" ca="1" si="1"/>
        <v>100772773</v>
      </c>
      <c r="I59" s="958"/>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9" t="str">
        <f ca="1">IF(ROWS($1:49)&gt;COUNT(Dong2),"",OFFSET(TH!F$1,SMALL(Dong2,ROWS($1:49)),))</f>
        <v/>
      </c>
      <c r="E60" s="203" t="str">
        <f ca="1">IF(ROWS($1:49)&gt;COUNT(Dong2),"",IF(OFFSET(TH!O$1,SMALL(Dong2,ROWS($1:49)),)=$I$6,OFFSET(TH!N$1,SMALL(Dong2,ROWS($1:49)),),OFFSET(TH!O$1,SMALL(Dong2,ROWS($1:49)),)))</f>
        <v/>
      </c>
      <c r="F60" s="961" t="str">
        <f ca="1">IF(ROWS($1:49)&gt;COUNT(Dong2),"",IF(AND(IF($M$9="Q4",LEFT(OFFSET(TH!G$1,SMALL(Dong2,ROWS($1:49)),),2)=$M$9,LEFT(OFFSET(TH!G$1,SMALL(Dong2,ROWS($1:49)),),3)=$M$9),OFFSET(TH!N$1,SMALL(Dong2,ROWS($1:49)),)=$I$6),IF($I$6="1121",OFFSET(TH!M$1,SMALL(Dong2,ROWS($1:49)),),OFFSET(TH!K$1,SMALL(Dong2,ROWS($1:49)),)),0))</f>
        <v/>
      </c>
      <c r="G60" s="961" t="str">
        <f ca="1">IF(ROWS($1:49)&gt;COUNT(Dong2),"",IF(AND(IF($M$9="Q4",RIGHT(OFFSET(TH!G$1,SMALL(Dong2,ROWS($1:49)),),2)=$M$9,RIGHT(OFFSET(TH!G$1,SMALL(Dong2,ROWS($1:49)),),3)=$M$9),OFFSET(TH!O$1,SMALL(Dong2,ROWS($1:49)),)=$I$6),IF($I$6="1121",OFFSET(TH!M$1,SMALL(Dong2,ROWS($1:49)),),OFFSET(TH!K$1,SMALL(Dong2,ROWS($1:49)),)),0))</f>
        <v/>
      </c>
      <c r="H60" s="958">
        <f t="shared" ca="1" si="1"/>
        <v>0</v>
      </c>
      <c r="I60" s="958"/>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9" t="str">
        <f ca="1">IF(ROWS($1:50)&gt;COUNT(Dong2),"",OFFSET(TH!F$1,SMALL(Dong2,ROWS($1:50)),))</f>
        <v/>
      </c>
      <c r="E61" s="203" t="str">
        <f ca="1">IF(ROWS($1:50)&gt;COUNT(Dong2),"",IF(OFFSET(TH!O$1,SMALL(Dong2,ROWS($1:50)),)=$I$6,OFFSET(TH!N$1,SMALL(Dong2,ROWS($1:50)),),OFFSET(TH!O$1,SMALL(Dong2,ROWS($1:50)),)))</f>
        <v/>
      </c>
      <c r="F61" s="961" t="str">
        <f ca="1">IF(ROWS($1:50)&gt;COUNT(Dong2),"",IF(AND(IF($M$9="Q4",LEFT(OFFSET(TH!G$1,SMALL(Dong2,ROWS($1:50)),),2)=$M$9,LEFT(OFFSET(TH!G$1,SMALL(Dong2,ROWS($1:50)),),3)=$M$9),OFFSET(TH!N$1,SMALL(Dong2,ROWS($1:50)),)=$I$6),IF($I$6="1121",OFFSET(TH!M$1,SMALL(Dong2,ROWS($1:50)),),OFFSET(TH!K$1,SMALL(Dong2,ROWS($1:50)),)),0))</f>
        <v/>
      </c>
      <c r="G61" s="961" t="str">
        <f ca="1">IF(ROWS($1:50)&gt;COUNT(Dong2),"",IF(AND(IF($M$9="Q4",RIGHT(OFFSET(TH!G$1,SMALL(Dong2,ROWS($1:50)),),2)=$M$9,RIGHT(OFFSET(TH!G$1,SMALL(Dong2,ROWS($1:50)),),3)=$M$9),OFFSET(TH!O$1,SMALL(Dong2,ROWS($1:50)),)=$I$6),IF($I$6="1121",OFFSET(TH!M$1,SMALL(Dong2,ROWS($1:50)),),OFFSET(TH!K$1,SMALL(Dong2,ROWS($1:50)),)),0))</f>
        <v/>
      </c>
      <c r="H61" s="958">
        <f t="shared" ca="1" si="1"/>
        <v>0</v>
      </c>
      <c r="I61" s="958"/>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9" t="str">
        <f ca="1">IF(ROWS($1:51)&gt;COUNT(Dong2),"",OFFSET(TH!F$1,SMALL(Dong2,ROWS($1:51)),))</f>
        <v/>
      </c>
      <c r="E62" s="203" t="str">
        <f ca="1">IF(ROWS($1:51)&gt;COUNT(Dong2),"",IF(OFFSET(TH!O$1,SMALL(Dong2,ROWS($1:51)),)=$I$6,OFFSET(TH!N$1,SMALL(Dong2,ROWS($1:51)),),OFFSET(TH!O$1,SMALL(Dong2,ROWS($1:51)),)))</f>
        <v/>
      </c>
      <c r="F62" s="961" t="str">
        <f ca="1">IF(ROWS($1:51)&gt;COUNT(Dong2),"",IF(AND(IF($M$9="Q4",LEFT(OFFSET(TH!G$1,SMALL(Dong2,ROWS($1:51)),),2)=$M$9,LEFT(OFFSET(TH!G$1,SMALL(Dong2,ROWS($1:51)),),3)=$M$9),OFFSET(TH!N$1,SMALL(Dong2,ROWS($1:51)),)=$I$6),IF($I$6="1121",OFFSET(TH!M$1,SMALL(Dong2,ROWS($1:51)),),OFFSET(TH!K$1,SMALL(Dong2,ROWS($1:51)),)),0))</f>
        <v/>
      </c>
      <c r="G62" s="961" t="str">
        <f ca="1">IF(ROWS($1:51)&gt;COUNT(Dong2),"",IF(AND(IF($M$9="Q4",RIGHT(OFFSET(TH!G$1,SMALL(Dong2,ROWS($1:51)),),2)=$M$9,RIGHT(OFFSET(TH!G$1,SMALL(Dong2,ROWS($1:51)),),3)=$M$9),OFFSET(TH!O$1,SMALL(Dong2,ROWS($1:51)),)=$I$6),IF($I$6="1121",OFFSET(TH!M$1,SMALL(Dong2,ROWS($1:51)),),OFFSET(TH!K$1,SMALL(Dong2,ROWS($1:51)),)),0))</f>
        <v/>
      </c>
      <c r="H62" s="958">
        <f t="shared" ca="1" si="1"/>
        <v>0</v>
      </c>
      <c r="I62" s="958"/>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9" t="str">
        <f ca="1">IF(ROWS($1:52)&gt;COUNT(Dong2),"",OFFSET(TH!F$1,SMALL(Dong2,ROWS($1:52)),))</f>
        <v/>
      </c>
      <c r="E63" s="203" t="str">
        <f ca="1">IF(ROWS($1:52)&gt;COUNT(Dong2),"",IF(OFFSET(TH!O$1,SMALL(Dong2,ROWS($1:52)),)=$I$6,OFFSET(TH!N$1,SMALL(Dong2,ROWS($1:52)),),OFFSET(TH!O$1,SMALL(Dong2,ROWS($1:52)),)))</f>
        <v/>
      </c>
      <c r="F63" s="961" t="str">
        <f ca="1">IF(ROWS($1:52)&gt;COUNT(Dong2),"",IF(AND(IF($M$9="Q4",LEFT(OFFSET(TH!G$1,SMALL(Dong2,ROWS($1:52)),),2)=$M$9,LEFT(OFFSET(TH!G$1,SMALL(Dong2,ROWS($1:52)),),3)=$M$9),OFFSET(TH!N$1,SMALL(Dong2,ROWS($1:52)),)=$I$6),IF($I$6="1121",OFFSET(TH!M$1,SMALL(Dong2,ROWS($1:52)),),OFFSET(TH!K$1,SMALL(Dong2,ROWS($1:52)),)),0))</f>
        <v/>
      </c>
      <c r="G63" s="961" t="str">
        <f ca="1">IF(ROWS($1:52)&gt;COUNT(Dong2),"",IF(AND(IF($M$9="Q4",RIGHT(OFFSET(TH!G$1,SMALL(Dong2,ROWS($1:52)),),2)=$M$9,RIGHT(OFFSET(TH!G$1,SMALL(Dong2,ROWS($1:52)),),3)=$M$9),OFFSET(TH!O$1,SMALL(Dong2,ROWS($1:52)),)=$I$6),IF($I$6="1121",OFFSET(TH!M$1,SMALL(Dong2,ROWS($1:52)),),OFFSET(TH!K$1,SMALL(Dong2,ROWS($1:52)),)),0))</f>
        <v/>
      </c>
      <c r="H63" s="958">
        <f t="shared" ca="1" si="1"/>
        <v>0</v>
      </c>
      <c r="I63" s="958"/>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9" t="str">
        <f ca="1">IF(ROWS($1:53)&gt;COUNT(Dong2),"",OFFSET(TH!F$1,SMALL(Dong2,ROWS($1:53)),))</f>
        <v/>
      </c>
      <c r="E64" s="203" t="str">
        <f ca="1">IF(ROWS($1:53)&gt;COUNT(Dong2),"",IF(OFFSET(TH!O$1,SMALL(Dong2,ROWS($1:53)),)=$I$6,OFFSET(TH!N$1,SMALL(Dong2,ROWS($1:53)),),OFFSET(TH!O$1,SMALL(Dong2,ROWS($1:53)),)))</f>
        <v/>
      </c>
      <c r="F64" s="961" t="str">
        <f ca="1">IF(ROWS($1:53)&gt;COUNT(Dong2),"",IF(AND(IF($M$9="Q4",LEFT(OFFSET(TH!G$1,SMALL(Dong2,ROWS($1:53)),),2)=$M$9,LEFT(OFFSET(TH!G$1,SMALL(Dong2,ROWS($1:53)),),3)=$M$9),OFFSET(TH!N$1,SMALL(Dong2,ROWS($1:53)),)=$I$6),IF($I$6="1121",OFFSET(TH!M$1,SMALL(Dong2,ROWS($1:53)),),OFFSET(TH!K$1,SMALL(Dong2,ROWS($1:53)),)),0))</f>
        <v/>
      </c>
      <c r="G64" s="961" t="str">
        <f ca="1">IF(ROWS($1:53)&gt;COUNT(Dong2),"",IF(AND(IF($M$9="Q4",RIGHT(OFFSET(TH!G$1,SMALL(Dong2,ROWS($1:53)),),2)=$M$9,RIGHT(OFFSET(TH!G$1,SMALL(Dong2,ROWS($1:53)),),3)=$M$9),OFFSET(TH!O$1,SMALL(Dong2,ROWS($1:53)),)=$I$6),IF($I$6="1121",OFFSET(TH!M$1,SMALL(Dong2,ROWS($1:53)),),OFFSET(TH!K$1,SMALL(Dong2,ROWS($1:53)),)),0))</f>
        <v/>
      </c>
      <c r="H64" s="958">
        <f t="shared" ca="1" si="1"/>
        <v>0</v>
      </c>
      <c r="I64" s="958"/>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9" t="str">
        <f ca="1">IF(ROWS($1:54)&gt;COUNT(Dong2),"",OFFSET(TH!F$1,SMALL(Dong2,ROWS($1:54)),))</f>
        <v/>
      </c>
      <c r="E65" s="203" t="str">
        <f ca="1">IF(ROWS($1:54)&gt;COUNT(Dong2),"",IF(OFFSET(TH!O$1,SMALL(Dong2,ROWS($1:54)),)=$I$6,OFFSET(TH!N$1,SMALL(Dong2,ROWS($1:54)),),OFFSET(TH!O$1,SMALL(Dong2,ROWS($1:54)),)))</f>
        <v/>
      </c>
      <c r="F65" s="961" t="str">
        <f ca="1">IF(ROWS($1:54)&gt;COUNT(Dong2),"",IF(AND(IF($M$9="Q4",LEFT(OFFSET(TH!G$1,SMALL(Dong2,ROWS($1:54)),),2)=$M$9,LEFT(OFFSET(TH!G$1,SMALL(Dong2,ROWS($1:54)),),3)=$M$9),OFFSET(TH!N$1,SMALL(Dong2,ROWS($1:54)),)=$I$6),IF($I$6="1121",OFFSET(TH!M$1,SMALL(Dong2,ROWS($1:54)),),OFFSET(TH!K$1,SMALL(Dong2,ROWS($1:54)),)),0))</f>
        <v/>
      </c>
      <c r="G65" s="961" t="str">
        <f ca="1">IF(ROWS($1:54)&gt;COUNT(Dong2),"",IF(AND(IF($M$9="Q4",RIGHT(OFFSET(TH!G$1,SMALL(Dong2,ROWS($1:54)),),2)=$M$9,RIGHT(OFFSET(TH!G$1,SMALL(Dong2,ROWS($1:54)),),3)=$M$9),OFFSET(TH!O$1,SMALL(Dong2,ROWS($1:54)),)=$I$6),IF($I$6="1121",OFFSET(TH!M$1,SMALL(Dong2,ROWS($1:54)),),OFFSET(TH!K$1,SMALL(Dong2,ROWS($1:54)),)),0))</f>
        <v/>
      </c>
      <c r="H65" s="958">
        <f t="shared" ca="1" si="1"/>
        <v>0</v>
      </c>
      <c r="I65" s="958"/>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9" t="str">
        <f ca="1">IF(ROWS($1:55)&gt;COUNT(Dong2),"",OFFSET(TH!F$1,SMALL(Dong2,ROWS($1:55)),))</f>
        <v/>
      </c>
      <c r="E66" s="203" t="str">
        <f ca="1">IF(ROWS($1:55)&gt;COUNT(Dong2),"",IF(OFFSET(TH!O$1,SMALL(Dong2,ROWS($1:55)),)=$I$6,OFFSET(TH!N$1,SMALL(Dong2,ROWS($1:55)),),OFFSET(TH!O$1,SMALL(Dong2,ROWS($1:55)),)))</f>
        <v/>
      </c>
      <c r="F66" s="961" t="str">
        <f ca="1">IF(ROWS($1:55)&gt;COUNT(Dong2),"",IF(AND(IF($M$9="Q4",LEFT(OFFSET(TH!G$1,SMALL(Dong2,ROWS($1:55)),),2)=$M$9,LEFT(OFFSET(TH!G$1,SMALL(Dong2,ROWS($1:55)),),3)=$M$9),OFFSET(TH!N$1,SMALL(Dong2,ROWS($1:55)),)=$I$6),IF($I$6="1121",OFFSET(TH!M$1,SMALL(Dong2,ROWS($1:55)),),OFFSET(TH!K$1,SMALL(Dong2,ROWS($1:55)),)),0))</f>
        <v/>
      </c>
      <c r="G66" s="961" t="str">
        <f ca="1">IF(ROWS($1:55)&gt;COUNT(Dong2),"",IF(AND(IF($M$9="Q4",RIGHT(OFFSET(TH!G$1,SMALL(Dong2,ROWS($1:55)),),2)=$M$9,RIGHT(OFFSET(TH!G$1,SMALL(Dong2,ROWS($1:55)),),3)=$M$9),OFFSET(TH!O$1,SMALL(Dong2,ROWS($1:55)),)=$I$6),IF($I$6="1121",OFFSET(TH!M$1,SMALL(Dong2,ROWS($1:55)),),OFFSET(TH!K$1,SMALL(Dong2,ROWS($1:55)),)),0))</f>
        <v/>
      </c>
      <c r="H66" s="958">
        <f t="shared" ca="1" si="1"/>
        <v>0</v>
      </c>
      <c r="I66" s="958"/>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9" t="str">
        <f ca="1">IF(ROWS($1:56)&gt;COUNT(Dong2),"",OFFSET(TH!F$1,SMALL(Dong2,ROWS($1:56)),))</f>
        <v/>
      </c>
      <c r="E67" s="203" t="str">
        <f ca="1">IF(ROWS($1:56)&gt;COUNT(Dong2),"",IF(OFFSET(TH!O$1,SMALL(Dong2,ROWS($1:56)),)=$I$6,OFFSET(TH!N$1,SMALL(Dong2,ROWS($1:56)),),OFFSET(TH!O$1,SMALL(Dong2,ROWS($1:56)),)))</f>
        <v/>
      </c>
      <c r="F67" s="961" t="str">
        <f ca="1">IF(ROWS($1:56)&gt;COUNT(Dong2),"",IF(AND(IF($M$9="Q4",LEFT(OFFSET(TH!G$1,SMALL(Dong2,ROWS($1:56)),),2)=$M$9,LEFT(OFFSET(TH!G$1,SMALL(Dong2,ROWS($1:56)),),3)=$M$9),OFFSET(TH!N$1,SMALL(Dong2,ROWS($1:56)),)=$I$6),IF($I$6="1121",OFFSET(TH!M$1,SMALL(Dong2,ROWS($1:56)),),OFFSET(TH!K$1,SMALL(Dong2,ROWS($1:56)),)),0))</f>
        <v/>
      </c>
      <c r="G67" s="961" t="str">
        <f ca="1">IF(ROWS($1:56)&gt;COUNT(Dong2),"",IF(AND(IF($M$9="Q4",RIGHT(OFFSET(TH!G$1,SMALL(Dong2,ROWS($1:56)),),2)=$M$9,RIGHT(OFFSET(TH!G$1,SMALL(Dong2,ROWS($1:56)),),3)=$M$9),OFFSET(TH!O$1,SMALL(Dong2,ROWS($1:56)),)=$I$6),IF($I$6="1121",OFFSET(TH!M$1,SMALL(Dong2,ROWS($1:56)),),OFFSET(TH!K$1,SMALL(Dong2,ROWS($1:56)),)),0))</f>
        <v/>
      </c>
      <c r="H67" s="958">
        <f t="shared" ca="1" si="1"/>
        <v>0</v>
      </c>
      <c r="I67" s="958"/>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9" t="str">
        <f ca="1">IF(ROWS($1:57)&gt;COUNT(Dong2),"",OFFSET(TH!F$1,SMALL(Dong2,ROWS($1:57)),))</f>
        <v/>
      </c>
      <c r="E68" s="203" t="str">
        <f ca="1">IF(ROWS($1:57)&gt;COUNT(Dong2),"",IF(OFFSET(TH!O$1,SMALL(Dong2,ROWS($1:57)),)=$I$6,OFFSET(TH!N$1,SMALL(Dong2,ROWS($1:57)),),OFFSET(TH!O$1,SMALL(Dong2,ROWS($1:57)),)))</f>
        <v/>
      </c>
      <c r="F68" s="961" t="str">
        <f ca="1">IF(ROWS($1:57)&gt;COUNT(Dong2),"",IF(AND(IF($M$9="Q4",LEFT(OFFSET(TH!G$1,SMALL(Dong2,ROWS($1:57)),),2)=$M$9,LEFT(OFFSET(TH!G$1,SMALL(Dong2,ROWS($1:57)),),3)=$M$9),OFFSET(TH!N$1,SMALL(Dong2,ROWS($1:57)),)=$I$6),IF($I$6="1121",OFFSET(TH!M$1,SMALL(Dong2,ROWS($1:57)),),OFFSET(TH!K$1,SMALL(Dong2,ROWS($1:57)),)),0))</f>
        <v/>
      </c>
      <c r="G68" s="961" t="str">
        <f ca="1">IF(ROWS($1:57)&gt;COUNT(Dong2),"",IF(AND(IF($M$9="Q4",RIGHT(OFFSET(TH!G$1,SMALL(Dong2,ROWS($1:57)),),2)=$M$9,RIGHT(OFFSET(TH!G$1,SMALL(Dong2,ROWS($1:57)),),3)=$M$9),OFFSET(TH!O$1,SMALL(Dong2,ROWS($1:57)),)=$I$6),IF($I$6="1121",OFFSET(TH!M$1,SMALL(Dong2,ROWS($1:57)),),OFFSET(TH!K$1,SMALL(Dong2,ROWS($1:57)),)),0))</f>
        <v/>
      </c>
      <c r="H68" s="958">
        <f t="shared" ca="1" si="1"/>
        <v>0</v>
      </c>
      <c r="I68" s="958"/>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9" t="str">
        <f ca="1">IF(ROWS($1:58)&gt;COUNT(Dong2),"",OFFSET(TH!F$1,SMALL(Dong2,ROWS($1:58)),))</f>
        <v/>
      </c>
      <c r="E69" s="203" t="str">
        <f ca="1">IF(ROWS($1:58)&gt;COUNT(Dong2),"",IF(OFFSET(TH!O$1,SMALL(Dong2,ROWS($1:58)),)=$I$6,OFFSET(TH!N$1,SMALL(Dong2,ROWS($1:58)),),OFFSET(TH!O$1,SMALL(Dong2,ROWS($1:58)),)))</f>
        <v/>
      </c>
      <c r="F69" s="961" t="str">
        <f ca="1">IF(ROWS($1:58)&gt;COUNT(Dong2),"",IF(AND(IF($M$9="Q4",LEFT(OFFSET(TH!G$1,SMALL(Dong2,ROWS($1:58)),),2)=$M$9,LEFT(OFFSET(TH!G$1,SMALL(Dong2,ROWS($1:58)),),3)=$M$9),OFFSET(TH!N$1,SMALL(Dong2,ROWS($1:58)),)=$I$6),IF($I$6="1121",OFFSET(TH!M$1,SMALL(Dong2,ROWS($1:58)),),OFFSET(TH!K$1,SMALL(Dong2,ROWS($1:58)),)),0))</f>
        <v/>
      </c>
      <c r="G69" s="961" t="str">
        <f ca="1">IF(ROWS($1:58)&gt;COUNT(Dong2),"",IF(AND(IF($M$9="Q4",RIGHT(OFFSET(TH!G$1,SMALL(Dong2,ROWS($1:58)),),2)=$M$9,RIGHT(OFFSET(TH!G$1,SMALL(Dong2,ROWS($1:58)),),3)=$M$9),OFFSET(TH!O$1,SMALL(Dong2,ROWS($1:58)),)=$I$6),IF($I$6="1121",OFFSET(TH!M$1,SMALL(Dong2,ROWS($1:58)),),OFFSET(TH!K$1,SMALL(Dong2,ROWS($1:58)),)),0))</f>
        <v/>
      </c>
      <c r="H69" s="958">
        <f t="shared" ca="1" si="1"/>
        <v>0</v>
      </c>
      <c r="I69" s="958"/>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9" t="str">
        <f ca="1">IF(ROWS($1:59)&gt;COUNT(Dong2),"",OFFSET(TH!F$1,SMALL(Dong2,ROWS($1:59)),))</f>
        <v/>
      </c>
      <c r="E70" s="203" t="str">
        <f ca="1">IF(ROWS($1:59)&gt;COUNT(Dong2),"",IF(OFFSET(TH!O$1,SMALL(Dong2,ROWS($1:59)),)=$I$6,OFFSET(TH!N$1,SMALL(Dong2,ROWS($1:59)),),OFFSET(TH!O$1,SMALL(Dong2,ROWS($1:59)),)))</f>
        <v/>
      </c>
      <c r="F70" s="961" t="str">
        <f ca="1">IF(ROWS($1:59)&gt;COUNT(Dong2),"",IF(AND(IF($M$9="Q4",LEFT(OFFSET(TH!G$1,SMALL(Dong2,ROWS($1:59)),),2)=$M$9,LEFT(OFFSET(TH!G$1,SMALL(Dong2,ROWS($1:59)),),3)=$M$9),OFFSET(TH!N$1,SMALL(Dong2,ROWS($1:59)),)=$I$6),IF($I$6="1121",OFFSET(TH!M$1,SMALL(Dong2,ROWS($1:59)),),OFFSET(TH!K$1,SMALL(Dong2,ROWS($1:59)),)),0))</f>
        <v/>
      </c>
      <c r="G70" s="961" t="str">
        <f ca="1">IF(ROWS($1:59)&gt;COUNT(Dong2),"",IF(AND(IF($M$9="Q4",RIGHT(OFFSET(TH!G$1,SMALL(Dong2,ROWS($1:59)),),2)=$M$9,RIGHT(OFFSET(TH!G$1,SMALL(Dong2,ROWS($1:59)),),3)=$M$9),OFFSET(TH!O$1,SMALL(Dong2,ROWS($1:59)),)=$I$6),IF($I$6="1121",OFFSET(TH!M$1,SMALL(Dong2,ROWS($1:59)),),OFFSET(TH!K$1,SMALL(Dong2,ROWS($1:59)),)),0))</f>
        <v/>
      </c>
      <c r="H70" s="958">
        <f t="shared" ca="1" si="1"/>
        <v>0</v>
      </c>
      <c r="I70" s="958"/>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9" t="str">
        <f ca="1">IF(ROWS($1:60)&gt;COUNT(Dong2),"",OFFSET(TH!F$1,SMALL(Dong2,ROWS($1:60)),))</f>
        <v/>
      </c>
      <c r="E71" s="203" t="str">
        <f ca="1">IF(ROWS($1:60)&gt;COUNT(Dong2),"",IF(OFFSET(TH!O$1,SMALL(Dong2,ROWS($1:60)),)=$I$6,OFFSET(TH!N$1,SMALL(Dong2,ROWS($1:60)),),OFFSET(TH!O$1,SMALL(Dong2,ROWS($1:60)),)))</f>
        <v/>
      </c>
      <c r="F71" s="961" t="str">
        <f ca="1">IF(ROWS($1:60)&gt;COUNT(Dong2),"",IF(AND(IF($M$9="Q4",LEFT(OFFSET(TH!G$1,SMALL(Dong2,ROWS($1:60)),),2)=$M$9,LEFT(OFFSET(TH!G$1,SMALL(Dong2,ROWS($1:60)),),3)=$M$9),OFFSET(TH!N$1,SMALL(Dong2,ROWS($1:60)),)=$I$6),IF($I$6="1121",OFFSET(TH!M$1,SMALL(Dong2,ROWS($1:60)),),OFFSET(TH!K$1,SMALL(Dong2,ROWS($1:60)),)),0))</f>
        <v/>
      </c>
      <c r="G71" s="961" t="str">
        <f ca="1">IF(ROWS($1:60)&gt;COUNT(Dong2),"",IF(AND(IF($M$9="Q4",RIGHT(OFFSET(TH!G$1,SMALL(Dong2,ROWS($1:60)),),2)=$M$9,RIGHT(OFFSET(TH!G$1,SMALL(Dong2,ROWS($1:60)),),3)=$M$9),OFFSET(TH!O$1,SMALL(Dong2,ROWS($1:60)),)=$I$6),IF($I$6="1121",OFFSET(TH!M$1,SMALL(Dong2,ROWS($1:60)),),OFFSET(TH!K$1,SMALL(Dong2,ROWS($1:60)),)),0))</f>
        <v/>
      </c>
      <c r="H71" s="958">
        <f t="shared" ca="1" si="1"/>
        <v>0</v>
      </c>
      <c r="I71" s="958"/>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9" t="str">
        <f ca="1">IF(ROWS($1:61)&gt;COUNT(Dong2),"",OFFSET(TH!F$1,SMALL(Dong2,ROWS($1:61)),))</f>
        <v/>
      </c>
      <c r="E72" s="203" t="str">
        <f ca="1">IF(ROWS($1:61)&gt;COUNT(Dong2),"",IF(OFFSET(TH!O$1,SMALL(Dong2,ROWS($1:61)),)=$I$6,OFFSET(TH!N$1,SMALL(Dong2,ROWS($1:61)),),OFFSET(TH!O$1,SMALL(Dong2,ROWS($1:61)),)))</f>
        <v/>
      </c>
      <c r="F72" s="961" t="str">
        <f ca="1">IF(ROWS($1:61)&gt;COUNT(Dong2),"",IF(AND(IF($M$9="Q4",LEFT(OFFSET(TH!G$1,SMALL(Dong2,ROWS($1:61)),),2)=$M$9,LEFT(OFFSET(TH!G$1,SMALL(Dong2,ROWS($1:61)),),3)=$M$9),OFFSET(TH!N$1,SMALL(Dong2,ROWS($1:61)),)=$I$6),IF($I$6="1121",OFFSET(TH!M$1,SMALL(Dong2,ROWS($1:61)),),OFFSET(TH!K$1,SMALL(Dong2,ROWS($1:61)),)),0))</f>
        <v/>
      </c>
      <c r="G72" s="961" t="str">
        <f ca="1">IF(ROWS($1:61)&gt;COUNT(Dong2),"",IF(AND(IF($M$9="Q4",RIGHT(OFFSET(TH!G$1,SMALL(Dong2,ROWS($1:61)),),2)=$M$9,RIGHT(OFFSET(TH!G$1,SMALL(Dong2,ROWS($1:61)),),3)=$M$9),OFFSET(TH!O$1,SMALL(Dong2,ROWS($1:61)),)=$I$6),IF($I$6="1121",OFFSET(TH!M$1,SMALL(Dong2,ROWS($1:61)),),OFFSET(TH!K$1,SMALL(Dong2,ROWS($1:61)),)),0))</f>
        <v/>
      </c>
      <c r="H72" s="958">
        <f t="shared" ca="1" si="1"/>
        <v>0</v>
      </c>
      <c r="I72" s="958"/>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9" t="str">
        <f ca="1">IF(ROWS($1:62)&gt;COUNT(Dong2),"",OFFSET(TH!F$1,SMALL(Dong2,ROWS($1:62)),))</f>
        <v/>
      </c>
      <c r="E73" s="203" t="str">
        <f ca="1">IF(ROWS($1:62)&gt;COUNT(Dong2),"",IF(OFFSET(TH!O$1,SMALL(Dong2,ROWS($1:62)),)=$I$6,OFFSET(TH!N$1,SMALL(Dong2,ROWS($1:62)),),OFFSET(TH!O$1,SMALL(Dong2,ROWS($1:62)),)))</f>
        <v/>
      </c>
      <c r="F73" s="961" t="str">
        <f ca="1">IF(ROWS($1:62)&gt;COUNT(Dong2),"",IF(AND(IF($M$9="Q4",LEFT(OFFSET(TH!G$1,SMALL(Dong2,ROWS($1:62)),),2)=$M$9,LEFT(OFFSET(TH!G$1,SMALL(Dong2,ROWS($1:62)),),3)=$M$9),OFFSET(TH!N$1,SMALL(Dong2,ROWS($1:62)),)=$I$6),IF($I$6="1121",OFFSET(TH!M$1,SMALL(Dong2,ROWS($1:62)),),OFFSET(TH!K$1,SMALL(Dong2,ROWS($1:62)),)),0))</f>
        <v/>
      </c>
      <c r="G73" s="961" t="str">
        <f ca="1">IF(ROWS($1:62)&gt;COUNT(Dong2),"",IF(AND(IF($M$9="Q4",RIGHT(OFFSET(TH!G$1,SMALL(Dong2,ROWS($1:62)),),2)=$M$9,RIGHT(OFFSET(TH!G$1,SMALL(Dong2,ROWS($1:62)),),3)=$M$9),OFFSET(TH!O$1,SMALL(Dong2,ROWS($1:62)),)=$I$6),IF($I$6="1121",OFFSET(TH!M$1,SMALL(Dong2,ROWS($1:62)),),OFFSET(TH!K$1,SMALL(Dong2,ROWS($1:62)),)),0))</f>
        <v/>
      </c>
      <c r="H73" s="958">
        <f t="shared" ca="1" si="1"/>
        <v>0</v>
      </c>
      <c r="I73" s="958"/>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9" t="str">
        <f ca="1">IF(ROWS($1:63)&gt;COUNT(Dong2),"",OFFSET(TH!F$1,SMALL(Dong2,ROWS($1:63)),))</f>
        <v/>
      </c>
      <c r="E74" s="203" t="str">
        <f ca="1">IF(ROWS($1:63)&gt;COUNT(Dong2),"",IF(OFFSET(TH!O$1,SMALL(Dong2,ROWS($1:63)),)=$I$6,OFFSET(TH!N$1,SMALL(Dong2,ROWS($1:63)),),OFFSET(TH!O$1,SMALL(Dong2,ROWS($1:63)),)))</f>
        <v/>
      </c>
      <c r="F74" s="961" t="str">
        <f ca="1">IF(ROWS($1:63)&gt;COUNT(Dong2),"",IF(AND(IF($M$9="Q4",LEFT(OFFSET(TH!G$1,SMALL(Dong2,ROWS($1:63)),),2)=$M$9,LEFT(OFFSET(TH!G$1,SMALL(Dong2,ROWS($1:63)),),3)=$M$9),OFFSET(TH!N$1,SMALL(Dong2,ROWS($1:63)),)=$I$6),IF($I$6="1121",OFFSET(TH!M$1,SMALL(Dong2,ROWS($1:63)),),OFFSET(TH!K$1,SMALL(Dong2,ROWS($1:63)),)),0))</f>
        <v/>
      </c>
      <c r="G74" s="961" t="str">
        <f ca="1">IF(ROWS($1:63)&gt;COUNT(Dong2),"",IF(AND(IF($M$9="Q4",RIGHT(OFFSET(TH!G$1,SMALL(Dong2,ROWS($1:63)),),2)=$M$9,RIGHT(OFFSET(TH!G$1,SMALL(Dong2,ROWS($1:63)),),3)=$M$9),OFFSET(TH!O$1,SMALL(Dong2,ROWS($1:63)),)=$I$6),IF($I$6="1121",OFFSET(TH!M$1,SMALL(Dong2,ROWS($1:63)),),OFFSET(TH!K$1,SMALL(Dong2,ROWS($1:63)),)),0))</f>
        <v/>
      </c>
      <c r="H74" s="958">
        <f t="shared" ca="1" si="1"/>
        <v>0</v>
      </c>
      <c r="I74" s="958"/>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9" t="str">
        <f ca="1">IF(ROWS($1:64)&gt;COUNT(Dong2),"",OFFSET(TH!F$1,SMALL(Dong2,ROWS($1:64)),))</f>
        <v/>
      </c>
      <c r="E75" s="203" t="str">
        <f ca="1">IF(ROWS($1:64)&gt;COUNT(Dong2),"",IF(OFFSET(TH!O$1,SMALL(Dong2,ROWS($1:64)),)=$I$6,OFFSET(TH!N$1,SMALL(Dong2,ROWS($1:64)),),OFFSET(TH!O$1,SMALL(Dong2,ROWS($1:64)),)))</f>
        <v/>
      </c>
      <c r="F75" s="961" t="str">
        <f ca="1">IF(ROWS($1:64)&gt;COUNT(Dong2),"",IF(AND(IF($M$9="Q4",LEFT(OFFSET(TH!G$1,SMALL(Dong2,ROWS($1:64)),),2)=$M$9,LEFT(OFFSET(TH!G$1,SMALL(Dong2,ROWS($1:64)),),3)=$M$9),OFFSET(TH!N$1,SMALL(Dong2,ROWS($1:64)),)=$I$6),IF($I$6="1121",OFFSET(TH!M$1,SMALL(Dong2,ROWS($1:64)),),OFFSET(TH!K$1,SMALL(Dong2,ROWS($1:64)),)),0))</f>
        <v/>
      </c>
      <c r="G75" s="961" t="str">
        <f ca="1">IF(ROWS($1:64)&gt;COUNT(Dong2),"",IF(AND(IF($M$9="Q4",RIGHT(OFFSET(TH!G$1,SMALL(Dong2,ROWS($1:64)),),2)=$M$9,RIGHT(OFFSET(TH!G$1,SMALL(Dong2,ROWS($1:64)),),3)=$M$9),OFFSET(TH!O$1,SMALL(Dong2,ROWS($1:64)),)=$I$6),IF($I$6="1121",OFFSET(TH!M$1,SMALL(Dong2,ROWS($1:64)),),OFFSET(TH!K$1,SMALL(Dong2,ROWS($1:64)),)),0))</f>
        <v/>
      </c>
      <c r="H75" s="958">
        <f t="shared" ca="1" si="1"/>
        <v>0</v>
      </c>
      <c r="I75" s="958"/>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9" t="str">
        <f ca="1">IF(ROWS($1:65)&gt;COUNT(Dong2),"",OFFSET(TH!F$1,SMALL(Dong2,ROWS($1:65)),))</f>
        <v/>
      </c>
      <c r="E76" s="203" t="str">
        <f ca="1">IF(ROWS($1:65)&gt;COUNT(Dong2),"",IF(OFFSET(TH!O$1,SMALL(Dong2,ROWS($1:65)),)=$I$6,OFFSET(TH!N$1,SMALL(Dong2,ROWS($1:65)),),OFFSET(TH!O$1,SMALL(Dong2,ROWS($1:65)),)))</f>
        <v/>
      </c>
      <c r="F76" s="961" t="str">
        <f ca="1">IF(ROWS($1:65)&gt;COUNT(Dong2),"",IF(AND(IF($M$9="Q4",LEFT(OFFSET(TH!G$1,SMALL(Dong2,ROWS($1:65)),),2)=$M$9,LEFT(OFFSET(TH!G$1,SMALL(Dong2,ROWS($1:65)),),3)=$M$9),OFFSET(TH!N$1,SMALL(Dong2,ROWS($1:65)),)=$I$6),IF($I$6="1121",OFFSET(TH!M$1,SMALL(Dong2,ROWS($1:65)),),OFFSET(TH!K$1,SMALL(Dong2,ROWS($1:65)),)),0))</f>
        <v/>
      </c>
      <c r="G76" s="961" t="str">
        <f ca="1">IF(ROWS($1:65)&gt;COUNT(Dong2),"",IF(AND(IF($M$9="Q4",RIGHT(OFFSET(TH!G$1,SMALL(Dong2,ROWS($1:65)),),2)=$M$9,RIGHT(OFFSET(TH!G$1,SMALL(Dong2,ROWS($1:65)),),3)=$M$9),OFFSET(TH!O$1,SMALL(Dong2,ROWS($1:65)),)=$I$6),IF($I$6="1121",OFFSET(TH!M$1,SMALL(Dong2,ROWS($1:65)),),OFFSET(TH!K$1,SMALL(Dong2,ROWS($1:65)),)),0))</f>
        <v/>
      </c>
      <c r="H76" s="958">
        <f t="shared" ca="1" si="1"/>
        <v>0</v>
      </c>
      <c r="I76" s="958"/>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9" t="str">
        <f ca="1">IF(ROWS($1:66)&gt;COUNT(Dong2),"",OFFSET(TH!F$1,SMALL(Dong2,ROWS($1:66)),))</f>
        <v/>
      </c>
      <c r="E77" s="203" t="str">
        <f ca="1">IF(ROWS($1:66)&gt;COUNT(Dong2),"",IF(OFFSET(TH!O$1,SMALL(Dong2,ROWS($1:66)),)=$I$6,OFFSET(TH!N$1,SMALL(Dong2,ROWS($1:66)),),OFFSET(TH!O$1,SMALL(Dong2,ROWS($1:66)),)))</f>
        <v/>
      </c>
      <c r="F77" s="961" t="str">
        <f ca="1">IF(ROWS($1:66)&gt;COUNT(Dong2),"",IF(AND(IF($M$9="Q4",LEFT(OFFSET(TH!G$1,SMALL(Dong2,ROWS($1:66)),),2)=$M$9,LEFT(OFFSET(TH!G$1,SMALL(Dong2,ROWS($1:66)),),3)=$M$9),OFFSET(TH!N$1,SMALL(Dong2,ROWS($1:66)),)=$I$6),IF($I$6="1121",OFFSET(TH!M$1,SMALL(Dong2,ROWS($1:66)),),OFFSET(TH!K$1,SMALL(Dong2,ROWS($1:66)),)),0))</f>
        <v/>
      </c>
      <c r="G77" s="961" t="str">
        <f ca="1">IF(ROWS($1:66)&gt;COUNT(Dong2),"",IF(AND(IF($M$9="Q4",RIGHT(OFFSET(TH!G$1,SMALL(Dong2,ROWS($1:66)),),2)=$M$9,RIGHT(OFFSET(TH!G$1,SMALL(Dong2,ROWS($1:66)),),3)=$M$9),OFFSET(TH!O$1,SMALL(Dong2,ROWS($1:66)),)=$I$6),IF($I$6="1121",OFFSET(TH!M$1,SMALL(Dong2,ROWS($1:66)),),OFFSET(TH!K$1,SMALL(Dong2,ROWS($1:66)),)),0))</f>
        <v/>
      </c>
      <c r="H77" s="958">
        <f t="shared" ca="1" si="1"/>
        <v>0</v>
      </c>
      <c r="I77" s="958"/>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9" t="str">
        <f ca="1">IF(ROWS($1:67)&gt;COUNT(Dong2),"",OFFSET(TH!F$1,SMALL(Dong2,ROWS($1:67)),))</f>
        <v/>
      </c>
      <c r="E78" s="203" t="str">
        <f ca="1">IF(ROWS($1:67)&gt;COUNT(Dong2),"",IF(OFFSET(TH!O$1,SMALL(Dong2,ROWS($1:67)),)=$I$6,OFFSET(TH!N$1,SMALL(Dong2,ROWS($1:67)),),OFFSET(TH!O$1,SMALL(Dong2,ROWS($1:67)),)))</f>
        <v/>
      </c>
      <c r="F78" s="961" t="str">
        <f ca="1">IF(ROWS($1:67)&gt;COUNT(Dong2),"",IF(AND(IF($M$9="Q4",LEFT(OFFSET(TH!G$1,SMALL(Dong2,ROWS($1:67)),),2)=$M$9,LEFT(OFFSET(TH!G$1,SMALL(Dong2,ROWS($1:67)),),3)=$M$9),OFFSET(TH!N$1,SMALL(Dong2,ROWS($1:67)),)=$I$6),IF($I$6="1121",OFFSET(TH!M$1,SMALL(Dong2,ROWS($1:67)),),OFFSET(TH!K$1,SMALL(Dong2,ROWS($1:67)),)),0))</f>
        <v/>
      </c>
      <c r="G78" s="961" t="str">
        <f ca="1">IF(ROWS($1:67)&gt;COUNT(Dong2),"",IF(AND(IF($M$9="Q4",RIGHT(OFFSET(TH!G$1,SMALL(Dong2,ROWS($1:67)),),2)=$M$9,RIGHT(OFFSET(TH!G$1,SMALL(Dong2,ROWS($1:67)),),3)=$M$9),OFFSET(TH!O$1,SMALL(Dong2,ROWS($1:67)),)=$I$6),IF($I$6="1121",OFFSET(TH!M$1,SMALL(Dong2,ROWS($1:67)),),OFFSET(TH!K$1,SMALL(Dong2,ROWS($1:67)),)),0))</f>
        <v/>
      </c>
      <c r="H78" s="958">
        <f t="shared" ca="1" si="1"/>
        <v>0</v>
      </c>
      <c r="I78" s="958"/>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9" t="str">
        <f ca="1">IF(ROWS($1:68)&gt;COUNT(Dong2),"",OFFSET(TH!F$1,SMALL(Dong2,ROWS($1:68)),))</f>
        <v/>
      </c>
      <c r="E79" s="203" t="str">
        <f ca="1">IF(ROWS($1:68)&gt;COUNT(Dong2),"",IF(OFFSET(TH!O$1,SMALL(Dong2,ROWS($1:68)),)=$I$6,OFFSET(TH!N$1,SMALL(Dong2,ROWS($1:68)),),OFFSET(TH!O$1,SMALL(Dong2,ROWS($1:68)),)))</f>
        <v/>
      </c>
      <c r="F79" s="961" t="str">
        <f ca="1">IF(ROWS($1:68)&gt;COUNT(Dong2),"",IF(AND(IF($M$9="Q4",LEFT(OFFSET(TH!G$1,SMALL(Dong2,ROWS($1:68)),),2)=$M$9,LEFT(OFFSET(TH!G$1,SMALL(Dong2,ROWS($1:68)),),3)=$M$9),OFFSET(TH!N$1,SMALL(Dong2,ROWS($1:68)),)=$I$6),IF($I$6="1121",OFFSET(TH!M$1,SMALL(Dong2,ROWS($1:68)),),OFFSET(TH!K$1,SMALL(Dong2,ROWS($1:68)),)),0))</f>
        <v/>
      </c>
      <c r="G79" s="961" t="str">
        <f ca="1">IF(ROWS($1:68)&gt;COUNT(Dong2),"",IF(AND(IF($M$9="Q4",RIGHT(OFFSET(TH!G$1,SMALL(Dong2,ROWS($1:68)),),2)=$M$9,RIGHT(OFFSET(TH!G$1,SMALL(Dong2,ROWS($1:68)),),3)=$M$9),OFFSET(TH!O$1,SMALL(Dong2,ROWS($1:68)),)=$I$6),IF($I$6="1121",OFFSET(TH!M$1,SMALL(Dong2,ROWS($1:68)),),OFFSET(TH!K$1,SMALL(Dong2,ROWS($1:68)),)),0))</f>
        <v/>
      </c>
      <c r="H79" s="958">
        <f t="shared" ca="1" si="1"/>
        <v>0</v>
      </c>
      <c r="I79" s="958"/>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9" t="str">
        <f ca="1">IF(ROWS($1:69)&gt;COUNT(Dong2),"",OFFSET(TH!F$1,SMALL(Dong2,ROWS($1:69)),))</f>
        <v/>
      </c>
      <c r="E80" s="203" t="str">
        <f ca="1">IF(ROWS($1:69)&gt;COUNT(Dong2),"",IF(OFFSET(TH!O$1,SMALL(Dong2,ROWS($1:69)),)=$I$6,OFFSET(TH!N$1,SMALL(Dong2,ROWS($1:69)),),OFFSET(TH!O$1,SMALL(Dong2,ROWS($1:69)),)))</f>
        <v/>
      </c>
      <c r="F80" s="961" t="str">
        <f ca="1">IF(ROWS($1:69)&gt;COUNT(Dong2),"",IF(AND(IF($M$9="Q4",LEFT(OFFSET(TH!G$1,SMALL(Dong2,ROWS($1:69)),),2)=$M$9,LEFT(OFFSET(TH!G$1,SMALL(Dong2,ROWS($1:69)),),3)=$M$9),OFFSET(TH!N$1,SMALL(Dong2,ROWS($1:69)),)=$I$6),IF($I$6="1121",OFFSET(TH!M$1,SMALL(Dong2,ROWS($1:69)),),OFFSET(TH!K$1,SMALL(Dong2,ROWS($1:69)),)),0))</f>
        <v/>
      </c>
      <c r="G80" s="961" t="str">
        <f ca="1">IF(ROWS($1:69)&gt;COUNT(Dong2),"",IF(AND(IF($M$9="Q4",RIGHT(OFFSET(TH!G$1,SMALL(Dong2,ROWS($1:69)),),2)=$M$9,RIGHT(OFFSET(TH!G$1,SMALL(Dong2,ROWS($1:69)),),3)=$M$9),OFFSET(TH!O$1,SMALL(Dong2,ROWS($1:69)),)=$I$6),IF($I$6="1121",OFFSET(TH!M$1,SMALL(Dong2,ROWS($1:69)),),OFFSET(TH!K$1,SMALL(Dong2,ROWS($1:69)),)),0))</f>
        <v/>
      </c>
      <c r="H80" s="958">
        <f t="shared" ca="1" si="1"/>
        <v>0</v>
      </c>
      <c r="I80" s="958"/>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9" t="str">
        <f ca="1">IF(ROWS($1:70)&gt;COUNT(Dong2),"",OFFSET(TH!F$1,SMALL(Dong2,ROWS($1:70)),))</f>
        <v/>
      </c>
      <c r="E81" s="203" t="str">
        <f ca="1">IF(ROWS($1:70)&gt;COUNT(Dong2),"",IF(OFFSET(TH!O$1,SMALL(Dong2,ROWS($1:70)),)=$I$6,OFFSET(TH!N$1,SMALL(Dong2,ROWS($1:70)),),OFFSET(TH!O$1,SMALL(Dong2,ROWS($1:70)),)))</f>
        <v/>
      </c>
      <c r="F81" s="961" t="str">
        <f ca="1">IF(ROWS($1:70)&gt;COUNT(Dong2),"",IF(AND(IF($M$9="Q4",LEFT(OFFSET(TH!G$1,SMALL(Dong2,ROWS($1:70)),),2)=$M$9,LEFT(OFFSET(TH!G$1,SMALL(Dong2,ROWS($1:70)),),3)=$M$9),OFFSET(TH!N$1,SMALL(Dong2,ROWS($1:70)),)=$I$6),IF($I$6="1121",OFFSET(TH!M$1,SMALL(Dong2,ROWS($1:70)),),OFFSET(TH!K$1,SMALL(Dong2,ROWS($1:70)),)),0))</f>
        <v/>
      </c>
      <c r="G81" s="961" t="str">
        <f ca="1">IF(ROWS($1:70)&gt;COUNT(Dong2),"",IF(AND(IF($M$9="Q4",RIGHT(OFFSET(TH!G$1,SMALL(Dong2,ROWS($1:70)),),2)=$M$9,RIGHT(OFFSET(TH!G$1,SMALL(Dong2,ROWS($1:70)),),3)=$M$9),OFFSET(TH!O$1,SMALL(Dong2,ROWS($1:70)),)=$I$6),IF($I$6="1121",OFFSET(TH!M$1,SMALL(Dong2,ROWS($1:70)),),OFFSET(TH!K$1,SMALL(Dong2,ROWS($1:70)),)),0))</f>
        <v/>
      </c>
      <c r="H81" s="958">
        <f t="shared" ca="1" si="1"/>
        <v>0</v>
      </c>
      <c r="I81" s="958"/>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9" t="str">
        <f ca="1">IF(ROWS($1:71)&gt;COUNT(Dong2),"",OFFSET(TH!F$1,SMALL(Dong2,ROWS($1:71)),))</f>
        <v/>
      </c>
      <c r="E82" s="203" t="str">
        <f ca="1">IF(ROWS($1:71)&gt;COUNT(Dong2),"",IF(OFFSET(TH!O$1,SMALL(Dong2,ROWS($1:71)),)=$I$6,OFFSET(TH!N$1,SMALL(Dong2,ROWS($1:71)),),OFFSET(TH!O$1,SMALL(Dong2,ROWS($1:71)),)))</f>
        <v/>
      </c>
      <c r="F82" s="961" t="str">
        <f ca="1">IF(ROWS($1:71)&gt;COUNT(Dong2),"",IF(AND(IF($M$9="Q4",LEFT(OFFSET(TH!G$1,SMALL(Dong2,ROWS($1:71)),),2)=$M$9,LEFT(OFFSET(TH!G$1,SMALL(Dong2,ROWS($1:71)),),3)=$M$9),OFFSET(TH!N$1,SMALL(Dong2,ROWS($1:71)),)=$I$6),IF($I$6="1121",OFFSET(TH!M$1,SMALL(Dong2,ROWS($1:71)),),OFFSET(TH!K$1,SMALL(Dong2,ROWS($1:71)),)),0))</f>
        <v/>
      </c>
      <c r="G82" s="961" t="str">
        <f ca="1">IF(ROWS($1:71)&gt;COUNT(Dong2),"",IF(AND(IF($M$9="Q4",RIGHT(OFFSET(TH!G$1,SMALL(Dong2,ROWS($1:71)),),2)=$M$9,RIGHT(OFFSET(TH!G$1,SMALL(Dong2,ROWS($1:71)),),3)=$M$9),OFFSET(TH!O$1,SMALL(Dong2,ROWS($1:71)),)=$I$6),IF($I$6="1121",OFFSET(TH!M$1,SMALL(Dong2,ROWS($1:71)),),OFFSET(TH!K$1,SMALL(Dong2,ROWS($1:71)),)),0))</f>
        <v/>
      </c>
      <c r="H82" s="958">
        <f t="shared" ca="1" si="1"/>
        <v>0</v>
      </c>
      <c r="I82" s="958"/>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9" t="str">
        <f ca="1">IF(ROWS($1:72)&gt;COUNT(Dong2),"",OFFSET(TH!F$1,SMALL(Dong2,ROWS($1:72)),))</f>
        <v/>
      </c>
      <c r="E83" s="203" t="str">
        <f ca="1">IF(ROWS($1:72)&gt;COUNT(Dong2),"",IF(OFFSET(TH!O$1,SMALL(Dong2,ROWS($1:72)),)=$I$6,OFFSET(TH!N$1,SMALL(Dong2,ROWS($1:72)),),OFFSET(TH!O$1,SMALL(Dong2,ROWS($1:72)),)))</f>
        <v/>
      </c>
      <c r="F83" s="961" t="str">
        <f ca="1">IF(ROWS($1:72)&gt;COUNT(Dong2),"",IF(AND(IF($M$9="Q4",LEFT(OFFSET(TH!G$1,SMALL(Dong2,ROWS($1:72)),),2)=$M$9,LEFT(OFFSET(TH!G$1,SMALL(Dong2,ROWS($1:72)),),3)=$M$9),OFFSET(TH!N$1,SMALL(Dong2,ROWS($1:72)),)=$I$6),IF($I$6="1121",OFFSET(TH!M$1,SMALL(Dong2,ROWS($1:72)),),OFFSET(TH!K$1,SMALL(Dong2,ROWS($1:72)),)),0))</f>
        <v/>
      </c>
      <c r="G83" s="961" t="str">
        <f ca="1">IF(ROWS($1:72)&gt;COUNT(Dong2),"",IF(AND(IF($M$9="Q4",RIGHT(OFFSET(TH!G$1,SMALL(Dong2,ROWS($1:72)),),2)=$M$9,RIGHT(OFFSET(TH!G$1,SMALL(Dong2,ROWS($1:72)),),3)=$M$9),OFFSET(TH!O$1,SMALL(Dong2,ROWS($1:72)),)=$I$6),IF($I$6="1121",OFFSET(TH!M$1,SMALL(Dong2,ROWS($1:72)),),OFFSET(TH!K$1,SMALL(Dong2,ROWS($1:72)),)),0))</f>
        <v/>
      </c>
      <c r="H83" s="958">
        <f ca="1">IF(A83&lt;&gt;"",H82+F83-G83,0)</f>
        <v>0</v>
      </c>
      <c r="I83" s="958"/>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9" t="str">
        <f ca="1">IF(ROWS($1:73)&gt;COUNT(Dong2),"",OFFSET(TH!F$1,SMALL(Dong2,ROWS($1:73)),))</f>
        <v/>
      </c>
      <c r="E84" s="203" t="str">
        <f ca="1">IF(ROWS($1:73)&gt;COUNT(Dong2),"",IF(OFFSET(TH!O$1,SMALL(Dong2,ROWS($1:73)),)=$I$6,OFFSET(TH!N$1,SMALL(Dong2,ROWS($1:73)),),OFFSET(TH!O$1,SMALL(Dong2,ROWS($1:73)),)))</f>
        <v/>
      </c>
      <c r="F84" s="961" t="str">
        <f ca="1">IF(ROWS($1:73)&gt;COUNT(Dong2),"",IF(AND(IF($M$9="Q4",LEFT(OFFSET(TH!G$1,SMALL(Dong2,ROWS($1:73)),),2)=$M$9,LEFT(OFFSET(TH!G$1,SMALL(Dong2,ROWS($1:73)),),3)=$M$9),OFFSET(TH!N$1,SMALL(Dong2,ROWS($1:73)),)=$I$6),IF($I$6="1121",OFFSET(TH!M$1,SMALL(Dong2,ROWS($1:73)),),OFFSET(TH!K$1,SMALL(Dong2,ROWS($1:73)),)),0))</f>
        <v/>
      </c>
      <c r="G84" s="961" t="str">
        <f ca="1">IF(ROWS($1:73)&gt;COUNT(Dong2),"",IF(AND(IF($M$9="Q4",RIGHT(OFFSET(TH!G$1,SMALL(Dong2,ROWS($1:73)),),2)=$M$9,RIGHT(OFFSET(TH!G$1,SMALL(Dong2,ROWS($1:73)),),3)=$M$9),OFFSET(TH!O$1,SMALL(Dong2,ROWS($1:73)),)=$I$6),IF($I$6="1121",OFFSET(TH!M$1,SMALL(Dong2,ROWS($1:73)),),OFFSET(TH!K$1,SMALL(Dong2,ROWS($1:73)),)),0))</f>
        <v/>
      </c>
      <c r="H84" s="958">
        <f ca="1">IF(A84&lt;&gt;"",H83+F84-G84,0)</f>
        <v>0</v>
      </c>
      <c r="I84" s="958"/>
    </row>
    <row r="85" spans="1:12" s="192" customFormat="1" ht="20.25" customHeight="1">
      <c r="A85" s="203"/>
      <c r="B85" s="203"/>
      <c r="C85" s="203"/>
      <c r="D85" s="389"/>
      <c r="E85" s="203"/>
      <c r="F85" s="961"/>
      <c r="G85" s="961"/>
      <c r="H85" s="958"/>
      <c r="I85" s="958"/>
    </row>
    <row r="86" spans="1:12" s="202" customFormat="1" ht="20.25" customHeight="1">
      <c r="A86" s="204"/>
      <c r="B86" s="205"/>
      <c r="C86" s="204"/>
      <c r="D86" s="201" t="s">
        <v>158</v>
      </c>
      <c r="E86" s="206"/>
      <c r="F86" s="960">
        <f ca="1">SUM(F12:F85)</f>
        <v>3520349404</v>
      </c>
      <c r="G86" s="960">
        <f ca="1">SUM(G12:G85)</f>
        <v>3431335998</v>
      </c>
      <c r="H86" s="957">
        <f ca="1">H11+F86-G86</f>
        <v>100772773</v>
      </c>
      <c r="I86" s="959"/>
    </row>
    <row r="87" spans="1:12" s="202" customFormat="1" ht="20.25" customHeight="1">
      <c r="A87" s="204"/>
      <c r="B87" s="205"/>
      <c r="C87" s="204"/>
      <c r="D87" s="201" t="s">
        <v>10</v>
      </c>
      <c r="E87" s="206"/>
      <c r="F87" s="207"/>
      <c r="G87" s="207"/>
      <c r="H87" s="957">
        <f ca="1">H86</f>
        <v>100772773</v>
      </c>
      <c r="I87" s="206"/>
    </row>
    <row r="88" spans="1:12" s="202" customFormat="1" ht="22.5" customHeight="1">
      <c r="A88" s="427" t="s">
        <v>235</v>
      </c>
      <c r="B88" s="208"/>
      <c r="F88" s="209"/>
      <c r="H88" s="1179"/>
      <c r="I88" s="210"/>
    </row>
    <row r="89" spans="1:12" s="202" customFormat="1" ht="12.75">
      <c r="A89" s="229" t="str">
        <f ca="1">"- Ngày mở sổ: "&amp;DAY($A$12)&amp;"/"&amp;MONTH($A$12)&amp;"/ 2015"</f>
        <v>- Ngày mở sổ: 21/4/ 2015</v>
      </c>
      <c r="B89" s="211"/>
      <c r="F89" s="209"/>
      <c r="H89" s="1179"/>
      <c r="I89" s="210"/>
    </row>
    <row r="90" spans="1:12" s="202" customFormat="1" ht="12.75">
      <c r="A90" s="212"/>
      <c r="B90" s="213"/>
      <c r="C90" s="214"/>
      <c r="F90" s="209"/>
      <c r="G90" s="319" t="str">
        <f>"Ngày "&amp;IF(OR($K$9=4,$K$9=6,$K$9=9,$K$9=11),"30",IF($K$9=2,"28","31"))&amp;" tháng "&amp;$K$9&amp;"  năm  2016 "</f>
        <v xml:space="preserve">Ngày 30 tháng 4  năm  2016 </v>
      </c>
      <c r="H90" s="1179"/>
    </row>
    <row r="91" spans="1:12" s="202" customFormat="1" ht="17.25" customHeight="1">
      <c r="B91" s="215" t="s">
        <v>11</v>
      </c>
      <c r="D91" s="215" t="s">
        <v>12</v>
      </c>
      <c r="F91" s="216"/>
      <c r="G91" s="369" t="s">
        <v>131</v>
      </c>
      <c r="H91" s="1180"/>
      <c r="I91" s="390"/>
      <c r="J91" s="217"/>
      <c r="K91" s="212"/>
      <c r="L91" s="212"/>
    </row>
    <row r="92" spans="1:12" s="202" customFormat="1" ht="12.75">
      <c r="B92" s="370" t="s">
        <v>13</v>
      </c>
      <c r="D92" s="218" t="s">
        <v>13</v>
      </c>
      <c r="F92" s="219"/>
      <c r="G92" s="371" t="s">
        <v>161</v>
      </c>
      <c r="H92" s="1179"/>
      <c r="K92" s="220"/>
      <c r="L92" s="220"/>
    </row>
    <row r="99" spans="2:7">
      <c r="B99" s="378" t="s">
        <v>230</v>
      </c>
      <c r="G99" s="391" t="s">
        <v>125</v>
      </c>
    </row>
  </sheetData>
  <autoFilter ref="A10:K89"/>
  <mergeCells count="13">
    <mergeCell ref="I8:I9"/>
    <mergeCell ref="E6:G6"/>
    <mergeCell ref="A8:A9"/>
    <mergeCell ref="B8:C8"/>
    <mergeCell ref="D8:D9"/>
    <mergeCell ref="E8:E9"/>
    <mergeCell ref="F8:H8"/>
    <mergeCell ref="O6:O7"/>
    <mergeCell ref="P6:P7"/>
    <mergeCell ref="Q6:Q7"/>
    <mergeCell ref="R6:R7"/>
    <mergeCell ref="A4:I4"/>
    <mergeCell ref="A5:I5"/>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D5" activePane="bottomRight" state="frozen"/>
      <selection activeCell="B5" sqref="B5"/>
      <selection pane="topRight" activeCell="B5" sqref="B5"/>
      <selection pane="bottomLeft" activeCell="B5" sqref="B5"/>
      <selection pane="bottomRight" sqref="A1:XFD1048576"/>
    </sheetView>
  </sheetViews>
  <sheetFormatPr defaultColWidth="8" defaultRowHeight="13.5"/>
  <cols>
    <col min="1" max="1" width="4.28515625" style="892" customWidth="1"/>
    <col min="2" max="2" width="32.28515625" style="892" customWidth="1"/>
    <col min="3" max="3" width="10.5703125" style="232" customWidth="1"/>
    <col min="4" max="4" width="14" style="893" customWidth="1"/>
    <col min="5" max="5" width="10.85546875" style="232" customWidth="1"/>
    <col min="6" max="6" width="12.140625" style="893" customWidth="1"/>
    <col min="7" max="7" width="12.7109375" style="232" customWidth="1"/>
    <col min="8" max="8" width="13" style="893" customWidth="1"/>
    <col min="9" max="9" width="14.42578125" style="232" customWidth="1"/>
    <col min="10" max="10" width="13.85546875" style="893" customWidth="1"/>
    <col min="11" max="11" width="11.140625" style="232" customWidth="1"/>
    <col min="12" max="12" width="12.5703125" style="893" customWidth="1"/>
    <col min="13" max="13" width="9.85546875" style="232" customWidth="1"/>
    <col min="14" max="14" width="11.140625" style="893" customWidth="1"/>
    <col min="15" max="16384" width="8" style="892"/>
  </cols>
  <sheetData>
    <row r="1" spans="1:14" ht="21" customHeight="1">
      <c r="A1" s="1273" t="s">
        <v>609</v>
      </c>
      <c r="B1" s="1273"/>
      <c r="C1" s="1273"/>
      <c r="D1" s="1273"/>
      <c r="E1" s="1273"/>
      <c r="F1" s="1273"/>
      <c r="G1" s="1273"/>
      <c r="H1" s="1273"/>
      <c r="I1" s="1273"/>
      <c r="J1" s="1273"/>
      <c r="K1" s="1273"/>
      <c r="L1" s="1273"/>
      <c r="M1" s="1273"/>
      <c r="N1" s="1273"/>
    </row>
    <row r="2" spans="1:14" s="10" customFormat="1" ht="15.75" customHeight="1">
      <c r="A2" s="1274" t="s">
        <v>37</v>
      </c>
      <c r="B2" s="1272" t="s">
        <v>38</v>
      </c>
      <c r="C2" s="905" t="s">
        <v>39</v>
      </c>
      <c r="D2" s="904"/>
      <c r="E2" s="905"/>
      <c r="F2" s="904"/>
      <c r="G2" s="905" t="s">
        <v>40</v>
      </c>
      <c r="H2" s="904"/>
      <c r="I2" s="905"/>
      <c r="J2" s="904"/>
      <c r="K2" s="905" t="s">
        <v>44</v>
      </c>
      <c r="L2" s="904"/>
      <c r="M2" s="905"/>
      <c r="N2" s="904"/>
    </row>
    <row r="3" spans="1:14" s="10" customFormat="1" ht="15.75" customHeight="1">
      <c r="A3" s="1274"/>
      <c r="B3" s="1272"/>
      <c r="C3" s="1293" t="s">
        <v>45</v>
      </c>
      <c r="D3" s="1294"/>
      <c r="E3" s="1272" t="s">
        <v>46</v>
      </c>
      <c r="F3" s="1272"/>
      <c r="G3" s="1272" t="s">
        <v>45</v>
      </c>
      <c r="H3" s="1272"/>
      <c r="I3" s="1272" t="s">
        <v>46</v>
      </c>
      <c r="J3" s="1272"/>
      <c r="K3" s="1272" t="s">
        <v>45</v>
      </c>
      <c r="L3" s="1272"/>
      <c r="M3" s="1272" t="s">
        <v>46</v>
      </c>
      <c r="N3" s="1272"/>
    </row>
    <row r="4" spans="1:14" s="10" customFormat="1" ht="15.75" customHeight="1">
      <c r="A4" s="1274"/>
      <c r="B4" s="1272"/>
      <c r="C4" s="1008" t="s">
        <v>247</v>
      </c>
      <c r="D4" s="903" t="s">
        <v>608</v>
      </c>
      <c r="E4" s="1008" t="s">
        <v>247</v>
      </c>
      <c r="F4" s="903" t="s">
        <v>608</v>
      </c>
      <c r="G4" s="1008" t="s">
        <v>247</v>
      </c>
      <c r="H4" s="903" t="s">
        <v>608</v>
      </c>
      <c r="I4" s="1008" t="s">
        <v>247</v>
      </c>
      <c r="J4" s="903" t="s">
        <v>608</v>
      </c>
      <c r="K4" s="1008" t="s">
        <v>247</v>
      </c>
      <c r="L4" s="903" t="s">
        <v>608</v>
      </c>
      <c r="M4" s="1008" t="s">
        <v>247</v>
      </c>
      <c r="N4" s="903" t="s">
        <v>608</v>
      </c>
    </row>
    <row r="5" spans="1:14" s="10" customFormat="1" ht="18" customHeight="1">
      <c r="A5" s="902">
        <f>IF(B5&lt;&gt;"",ROW()-4,"")</f>
        <v>1</v>
      </c>
      <c r="B5" s="1014" t="s">
        <v>607</v>
      </c>
      <c r="C5" s="1015">
        <v>0</v>
      </c>
      <c r="D5" s="1016">
        <v>0</v>
      </c>
      <c r="E5" s="1015">
        <v>0</v>
      </c>
      <c r="F5" s="1016">
        <v>0</v>
      </c>
      <c r="G5" s="1015">
        <f t="array" ref="G5">SUM(IF("131"&amp;B5=KHN&amp;KH,_TH))</f>
        <v>0</v>
      </c>
      <c r="H5" s="1016">
        <f t="array" ref="H5">SUM(IF("131"&amp;B5=KHN&amp;KH,TH))</f>
        <v>0</v>
      </c>
      <c r="I5" s="1015">
        <f t="array" ref="I5">SUM(IF("131"&amp;B5=KHC&amp;KH,_TH))</f>
        <v>0</v>
      </c>
      <c r="J5" s="1016">
        <f t="array" ref="J5">SUM(IF("131"&amp;B5=KHC&amp;KH,TH))</f>
        <v>0</v>
      </c>
      <c r="K5" s="901">
        <f t="shared" ref="K5:K11" si="0">ROUND(MAX(C5+G5-E5-I5,0),2)</f>
        <v>0</v>
      </c>
      <c r="L5" s="900">
        <f t="shared" ref="L5:L11" si="1">ROUND(MAX(D5+H5-F5-J5,0),0)</f>
        <v>0</v>
      </c>
      <c r="M5" s="901">
        <f t="shared" ref="M5:M11" si="2">ROUND(MAX(E5+I5-C5-G5,0),2)</f>
        <v>0</v>
      </c>
      <c r="N5" s="900">
        <f t="shared" ref="N5:N11" si="3">ROUND(MAX(F5+J5-D5-H5,0),0)</f>
        <v>0</v>
      </c>
    </row>
    <row r="6" spans="1:14" s="10" customFormat="1" ht="18" customHeight="1">
      <c r="A6" s="902">
        <f t="shared" ref="A6:A16" si="4">IF(B6&lt;&gt;"",ROW()-4,"")</f>
        <v>2</v>
      </c>
      <c r="B6" s="7" t="s">
        <v>606</v>
      </c>
      <c r="C6" s="898">
        <v>0</v>
      </c>
      <c r="D6" s="897">
        <v>0</v>
      </c>
      <c r="E6" s="898">
        <v>0</v>
      </c>
      <c r="F6" s="897">
        <v>0</v>
      </c>
      <c r="G6" s="898">
        <f t="array" ref="G6">SUM(IF("131"&amp;B6=KHN&amp;KH,_TH))</f>
        <v>0</v>
      </c>
      <c r="H6" s="897">
        <f t="array" ref="H6">SUM(IF("131"&amp;B6=KHN&amp;KH,TH))</f>
        <v>0</v>
      </c>
      <c r="I6" s="898">
        <f t="array" ref="I6">SUM(IF("131"&amp;B6=KHC&amp;KH,_TH))</f>
        <v>0</v>
      </c>
      <c r="J6" s="897">
        <f t="array" ref="J6">SUM(IF("131"&amp;B6=KHC&amp;KH,TH))</f>
        <v>0</v>
      </c>
      <c r="K6" s="896">
        <f t="shared" si="0"/>
        <v>0</v>
      </c>
      <c r="L6" s="422">
        <f t="shared" si="1"/>
        <v>0</v>
      </c>
      <c r="M6" s="896">
        <f t="shared" si="2"/>
        <v>0</v>
      </c>
      <c r="N6" s="422">
        <f t="shared" si="3"/>
        <v>0</v>
      </c>
    </row>
    <row r="7" spans="1:14" s="10" customFormat="1" ht="18" customHeight="1">
      <c r="A7" s="902">
        <f t="shared" si="4"/>
        <v>3</v>
      </c>
      <c r="B7" s="7" t="s">
        <v>605</v>
      </c>
      <c r="C7" s="898">
        <v>44066.42</v>
      </c>
      <c r="D7" s="897">
        <v>986296391</v>
      </c>
      <c r="E7" s="898">
        <v>0</v>
      </c>
      <c r="F7" s="897">
        <v>0</v>
      </c>
      <c r="G7" s="898">
        <f t="array" ref="G7">SUM(IF("131"&amp;B7=KHN&amp;KH,_TH))</f>
        <v>0</v>
      </c>
      <c r="H7" s="897">
        <f t="array" ref="H7">SUM(IF("131"&amp;B7=KHN&amp;KH,TH))</f>
        <v>0</v>
      </c>
      <c r="I7" s="898">
        <f t="array" ref="I7">SUM(IF("131"&amp;B7=KHC&amp;KH,_TH))</f>
        <v>0</v>
      </c>
      <c r="J7" s="897">
        <f t="array" ref="J7">SUM(IF("131"&amp;B7=KHC&amp;KH,TH))</f>
        <v>0</v>
      </c>
      <c r="K7" s="896">
        <f t="shared" si="0"/>
        <v>44066.42</v>
      </c>
      <c r="L7" s="422">
        <f t="shared" si="1"/>
        <v>986296391</v>
      </c>
      <c r="M7" s="896">
        <f t="shared" si="2"/>
        <v>0</v>
      </c>
      <c r="N7" s="422">
        <f t="shared" si="3"/>
        <v>0</v>
      </c>
    </row>
    <row r="8" spans="1:14" s="10" customFormat="1" ht="18" customHeight="1">
      <c r="A8" s="902">
        <f t="shared" si="4"/>
        <v>4</v>
      </c>
      <c r="B8" s="7" t="s">
        <v>604</v>
      </c>
      <c r="C8" s="898">
        <v>0</v>
      </c>
      <c r="D8" s="898">
        <v>0</v>
      </c>
      <c r="E8" s="898">
        <v>0</v>
      </c>
      <c r="F8" s="897">
        <v>0</v>
      </c>
      <c r="G8" s="898">
        <f t="array" ref="G8">SUM(IF("131"&amp;B8=KHN&amp;KH,_TH))</f>
        <v>79520</v>
      </c>
      <c r="H8" s="897">
        <f t="array" ref="H8">SUM(IF("131"&amp;B8=KHN&amp;KH,TH))</f>
        <v>1778464800</v>
      </c>
      <c r="I8" s="898">
        <f t="array" ref="I8">SUM(IF("131"&amp;B8=KHC&amp;KH,_TH))</f>
        <v>79520</v>
      </c>
      <c r="J8" s="897">
        <f t="array" ref="J8">SUM(IF("131"&amp;B8=KHC&amp;KH,TH))</f>
        <v>1778464800</v>
      </c>
      <c r="K8" s="896">
        <f t="shared" si="0"/>
        <v>0</v>
      </c>
      <c r="L8" s="422">
        <f t="shared" si="1"/>
        <v>0</v>
      </c>
      <c r="M8" s="896">
        <f t="shared" si="2"/>
        <v>0</v>
      </c>
      <c r="N8" s="422">
        <f t="shared" si="3"/>
        <v>0</v>
      </c>
    </row>
    <row r="9" spans="1:14" s="10" customFormat="1" ht="18" customHeight="1">
      <c r="A9" s="902">
        <f t="shared" si="4"/>
        <v>5</v>
      </c>
      <c r="B9" s="7" t="s">
        <v>603</v>
      </c>
      <c r="C9" s="898">
        <v>103545</v>
      </c>
      <c r="D9" s="897">
        <v>2233983375</v>
      </c>
      <c r="E9" s="898">
        <v>0</v>
      </c>
      <c r="F9" s="898">
        <v>0</v>
      </c>
      <c r="G9" s="898">
        <f t="array" ref="G9">SUM(IF("131"&amp;B9=KHN&amp;KH,_TH))</f>
        <v>0</v>
      </c>
      <c r="H9" s="897">
        <f t="array" ref="H9">SUM(IF("131"&amp;B9=KHN&amp;KH,TH))</f>
        <v>0</v>
      </c>
      <c r="I9" s="898">
        <f t="array" ref="I9">SUM(IF("131"&amp;B9=KHC&amp;KH,_TH))</f>
        <v>0</v>
      </c>
      <c r="J9" s="897">
        <f t="array" ref="J9">SUM(IF("131"&amp;B9=KHC&amp;KH,TH))</f>
        <v>0</v>
      </c>
      <c r="K9" s="896">
        <f t="shared" si="0"/>
        <v>103545</v>
      </c>
      <c r="L9" s="422">
        <f t="shared" si="1"/>
        <v>2233983375</v>
      </c>
      <c r="M9" s="896">
        <f t="shared" si="2"/>
        <v>0</v>
      </c>
      <c r="N9" s="422">
        <f t="shared" si="3"/>
        <v>0</v>
      </c>
    </row>
    <row r="10" spans="1:14" s="10" customFormat="1" ht="18" customHeight="1">
      <c r="A10" s="902">
        <f t="shared" si="4"/>
        <v>6</v>
      </c>
      <c r="B10" s="7" t="s">
        <v>602</v>
      </c>
      <c r="C10" s="898">
        <v>5219.6400000000003</v>
      </c>
      <c r="D10" s="897">
        <v>123101834</v>
      </c>
      <c r="E10" s="898">
        <v>0</v>
      </c>
      <c r="F10" s="898">
        <v>0</v>
      </c>
      <c r="G10" s="898">
        <f t="array" ref="G10">SUM(IF("131"&amp;B10=KHN&amp;KH,_TH))</f>
        <v>208335</v>
      </c>
      <c r="H10" s="897">
        <f t="array" ref="H10">SUM(IF("131"&amp;B10=KHN&amp;KH,TH))</f>
        <v>4640606700</v>
      </c>
      <c r="I10" s="898">
        <f t="array" ref="I10">SUM(IF("131"&amp;B10=KHC&amp;KH,_TH))</f>
        <v>213554.64</v>
      </c>
      <c r="J10" s="897">
        <f t="array" ref="J10">SUM(IF("131"&amp;B10=KHC&amp;KH,TH))</f>
        <v>4763708534</v>
      </c>
      <c r="K10" s="896">
        <f t="shared" si="0"/>
        <v>0</v>
      </c>
      <c r="L10" s="422">
        <f t="shared" si="1"/>
        <v>0</v>
      </c>
      <c r="M10" s="896">
        <f t="shared" si="2"/>
        <v>0</v>
      </c>
      <c r="N10" s="422">
        <f t="shared" si="3"/>
        <v>0</v>
      </c>
    </row>
    <row r="11" spans="1:14" s="10" customFormat="1" ht="18" customHeight="1">
      <c r="A11" s="902">
        <f t="shared" si="4"/>
        <v>7</v>
      </c>
      <c r="B11" s="899" t="s">
        <v>601</v>
      </c>
      <c r="C11" s="898">
        <v>0</v>
      </c>
      <c r="D11" s="898">
        <v>0</v>
      </c>
      <c r="E11" s="898">
        <v>0</v>
      </c>
      <c r="F11" s="898">
        <v>0</v>
      </c>
      <c r="G11" s="898">
        <f t="array" ref="G11">SUM(IF("131"&amp;B11=KHN&amp;KH,_TH))</f>
        <v>41760</v>
      </c>
      <c r="H11" s="897">
        <f t="array" ref="H11">SUM(IF("131"&amp;B11=KHN&amp;KH,TH))</f>
        <v>933962400</v>
      </c>
      <c r="I11" s="898">
        <f t="array" ref="I11">SUM(IF("131"&amp;B11=KHC&amp;KH,_TH))</f>
        <v>41760.000000000007</v>
      </c>
      <c r="J11" s="897">
        <f t="array" ref="J11">SUM(IF("131"&amp;B11=KHC&amp;KH,TH))</f>
        <v>933962400</v>
      </c>
      <c r="K11" s="896">
        <f t="shared" si="0"/>
        <v>0</v>
      </c>
      <c r="L11" s="422">
        <f t="shared" si="1"/>
        <v>0</v>
      </c>
      <c r="M11" s="896">
        <f t="shared" si="2"/>
        <v>0</v>
      </c>
      <c r="N11" s="422">
        <f t="shared" si="3"/>
        <v>0</v>
      </c>
    </row>
    <row r="12" spans="1:14" s="10" customFormat="1" ht="18" customHeight="1">
      <c r="A12" s="902">
        <f t="shared" si="4"/>
        <v>8</v>
      </c>
      <c r="B12" s="899" t="s">
        <v>1388</v>
      </c>
      <c r="C12" s="898">
        <v>0</v>
      </c>
      <c r="D12" s="898">
        <v>0</v>
      </c>
      <c r="E12" s="898">
        <v>0</v>
      </c>
      <c r="F12" s="898">
        <v>0</v>
      </c>
      <c r="G12" s="898">
        <f t="array" ref="G12">SUM(IF("131"&amp;B12=KHN&amp;KH,_TH))</f>
        <v>76560</v>
      </c>
      <c r="H12" s="897">
        <f t="array" ref="H12">SUM(IF("131"&amp;B12=KHN&amp;KH,TH))</f>
        <v>1704225600</v>
      </c>
      <c r="I12" s="898">
        <f t="array" ref="I12">SUM(IF("131"&amp;B12=KHC&amp;KH,_TH))</f>
        <v>76560.000000000015</v>
      </c>
      <c r="J12" s="897">
        <f t="array" ref="J12">SUM(IF("131"&amp;B12=KHC&amp;KH,TH))</f>
        <v>1704225600</v>
      </c>
      <c r="K12" s="896">
        <f>ROUND(MAX(C12+G12-E12-I12,0),2)</f>
        <v>0</v>
      </c>
      <c r="L12" s="422">
        <f>ROUND(MAX(D12+H12-F12-J12,0),0)</f>
        <v>0</v>
      </c>
      <c r="M12" s="896">
        <f>ROUND(MAX(E12+I12-C12-G12,0),2)</f>
        <v>0</v>
      </c>
      <c r="N12" s="422">
        <f>ROUND(MAX(F12+J12-D12-H12,0),0)</f>
        <v>0</v>
      </c>
    </row>
    <row r="13" spans="1:14" s="10" customFormat="1" ht="18" customHeight="1">
      <c r="A13" s="902" t="str">
        <f t="shared" si="4"/>
        <v/>
      </c>
      <c r="B13" s="899"/>
      <c r="C13" s="898">
        <v>0</v>
      </c>
      <c r="D13" s="898">
        <v>0</v>
      </c>
      <c r="E13" s="898">
        <v>0</v>
      </c>
      <c r="F13" s="898">
        <v>0</v>
      </c>
      <c r="G13" s="898">
        <f t="array" ref="G13">SUM(IF("131"&amp;B13=KHN&amp;KH,_TH))</f>
        <v>0</v>
      </c>
      <c r="H13" s="897">
        <f t="array" ref="H13">SUM(IF("131"&amp;B13=KHN&amp;KH,TH))</f>
        <v>0</v>
      </c>
      <c r="I13" s="898">
        <f t="array" ref="I13">SUM(IF("131"&amp;B13=KHC&amp;KH,_TH))</f>
        <v>0</v>
      </c>
      <c r="J13" s="897">
        <f t="array" ref="J13">SUM(IF("131"&amp;B13=KHC&amp;KH,TH))</f>
        <v>0</v>
      </c>
      <c r="K13" s="896">
        <f>ROUND(MAX(C13+G13-E13-I13,0),2)</f>
        <v>0</v>
      </c>
      <c r="L13" s="422">
        <f>ROUND(MAX(D13+H13-F13-J13,0),0)</f>
        <v>0</v>
      </c>
      <c r="M13" s="896">
        <f>ROUND(MAX(E13+I13-C13-G13,0),2)</f>
        <v>0</v>
      </c>
      <c r="N13" s="422">
        <f>ROUND(MAX(F13+J13-D13-H13,0),0)</f>
        <v>0</v>
      </c>
    </row>
    <row r="14" spans="1:14" s="10" customFormat="1" ht="18" customHeight="1">
      <c r="A14" s="902" t="str">
        <f t="shared" si="4"/>
        <v/>
      </c>
      <c r="B14" s="899"/>
      <c r="C14" s="898">
        <v>0</v>
      </c>
      <c r="D14" s="898">
        <v>0</v>
      </c>
      <c r="E14" s="898">
        <v>0</v>
      </c>
      <c r="F14" s="898">
        <v>0</v>
      </c>
      <c r="G14" s="898">
        <f t="array" ref="G14">SUM(IF("131"&amp;B14=KHN&amp;KH,_TH))</f>
        <v>0</v>
      </c>
      <c r="H14" s="897">
        <f t="array" ref="H14">SUM(IF("131"&amp;B14=KHN&amp;KH,TH))</f>
        <v>0</v>
      </c>
      <c r="I14" s="898">
        <f t="array" ref="I14">SUM(IF("131"&amp;B14=KHC&amp;KH,_TH))</f>
        <v>0</v>
      </c>
      <c r="J14" s="897">
        <f t="array" ref="J14">SUM(IF("131"&amp;B14=KHC&amp;KH,TH))</f>
        <v>0</v>
      </c>
      <c r="K14" s="896">
        <f>ROUND(MAX(C14+G14-E14-I14,0),2)</f>
        <v>0</v>
      </c>
      <c r="L14" s="422">
        <f>ROUND(MAX(D14+H14-F14-J14,0),0)</f>
        <v>0</v>
      </c>
      <c r="M14" s="896">
        <f>ROUND(MAX(E14+I14-C14-G14,0),2)</f>
        <v>0</v>
      </c>
      <c r="N14" s="422">
        <f>ROUND(MAX(F14+J14-D14-H14,0),0)</f>
        <v>0</v>
      </c>
    </row>
    <row r="15" spans="1:14" s="10" customFormat="1" ht="18" customHeight="1">
      <c r="A15" s="902" t="str">
        <f t="shared" si="4"/>
        <v/>
      </c>
      <c r="B15" s="899"/>
      <c r="C15" s="898">
        <v>0</v>
      </c>
      <c r="D15" s="898">
        <v>0</v>
      </c>
      <c r="E15" s="898">
        <v>0</v>
      </c>
      <c r="F15" s="898">
        <v>0</v>
      </c>
      <c r="G15" s="898">
        <f t="array" ref="G15">SUM(IF("131"&amp;B15=KHN&amp;KH,_TH))</f>
        <v>0</v>
      </c>
      <c r="H15" s="897">
        <f t="array" ref="H15">SUM(IF("131"&amp;B15=KHN&amp;KH,TH))</f>
        <v>0</v>
      </c>
      <c r="I15" s="898">
        <f t="array" ref="I15">SUM(IF("131"&amp;B15=KHC&amp;KH,_TH))</f>
        <v>0</v>
      </c>
      <c r="J15" s="897">
        <f t="array" ref="J15">SUM(IF("131"&amp;B15=KHC&amp;KH,TH))</f>
        <v>0</v>
      </c>
      <c r="K15" s="896">
        <f>ROUND(MAX(C15+G15-E15-I15,0),2)</f>
        <v>0</v>
      </c>
      <c r="L15" s="422">
        <f>ROUND(MAX(D15+H15-F15-J15,0),0)</f>
        <v>0</v>
      </c>
      <c r="M15" s="896">
        <f>ROUND(MAX(E15+I15-C15-G15,0),2)</f>
        <v>0</v>
      </c>
      <c r="N15" s="422">
        <f>ROUND(MAX(F15+J15-D15-H15,0),0)</f>
        <v>0</v>
      </c>
    </row>
    <row r="16" spans="1:14" s="10" customFormat="1" ht="18" customHeight="1">
      <c r="A16" s="902" t="str">
        <f t="shared" si="4"/>
        <v/>
      </c>
      <c r="B16" s="1009"/>
      <c r="C16" s="1010"/>
      <c r="D16" s="1010"/>
      <c r="E16" s="1010"/>
      <c r="F16" s="1010"/>
      <c r="G16" s="1010"/>
      <c r="H16" s="1011"/>
      <c r="I16" s="1010"/>
      <c r="J16" s="1011"/>
      <c r="K16" s="1012"/>
      <c r="L16" s="1013"/>
      <c r="M16" s="1012"/>
      <c r="N16" s="1013"/>
    </row>
    <row r="17" spans="1:14" ht="18" customHeight="1">
      <c r="A17" s="11"/>
      <c r="B17" s="12" t="s">
        <v>41</v>
      </c>
      <c r="C17" s="895">
        <f t="shared" ref="C17:N17" si="5">SUM(C5:C16)</f>
        <v>152831.06</v>
      </c>
      <c r="D17" s="894">
        <f t="shared" si="5"/>
        <v>3343381600</v>
      </c>
      <c r="E17" s="895">
        <f t="shared" si="5"/>
        <v>0</v>
      </c>
      <c r="F17" s="894">
        <f t="shared" si="5"/>
        <v>0</v>
      </c>
      <c r="G17" s="895">
        <f t="shared" si="5"/>
        <v>406175</v>
      </c>
      <c r="H17" s="894">
        <f t="shared" si="5"/>
        <v>9057259500</v>
      </c>
      <c r="I17" s="895">
        <f t="shared" si="5"/>
        <v>411394.64</v>
      </c>
      <c r="J17" s="894">
        <f t="shared" si="5"/>
        <v>9180361334</v>
      </c>
      <c r="K17" s="895">
        <f t="shared" si="5"/>
        <v>147611.41999999998</v>
      </c>
      <c r="L17" s="894">
        <f t="shared" si="5"/>
        <v>3220279766</v>
      </c>
      <c r="M17" s="895">
        <f t="shared" si="5"/>
        <v>0</v>
      </c>
      <c r="N17" s="894">
        <f t="shared" si="5"/>
        <v>0</v>
      </c>
    </row>
    <row r="21" spans="1:14">
      <c r="I21" s="893"/>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rintOptions horizontalCentered="1"/>
  <pageMargins left="0"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5" customFormat="1" ht="16.5" customHeight="1">
      <c r="A2" s="948" t="s">
        <v>317</v>
      </c>
      <c r="B2" s="947"/>
      <c r="C2" s="946"/>
      <c r="D2" s="493"/>
      <c r="E2" s="940"/>
      <c r="G2" s="939"/>
      <c r="H2" s="938"/>
      <c r="I2" s="945"/>
      <c r="J2" s="944"/>
      <c r="K2" s="2"/>
      <c r="L2" s="2"/>
      <c r="M2" s="874" t="s">
        <v>616</v>
      </c>
      <c r="N2" s="2"/>
      <c r="O2" s="2"/>
    </row>
    <row r="3" spans="1:15" s="875" customFormat="1" ht="16.5" customHeight="1">
      <c r="A3" s="1282" t="s">
        <v>615</v>
      </c>
      <c r="B3" s="1282"/>
      <c r="C3" s="1282"/>
      <c r="D3" s="1282"/>
      <c r="E3" s="940"/>
      <c r="G3" s="939"/>
      <c r="H3" s="938"/>
      <c r="I3" s="937"/>
      <c r="J3" s="936"/>
      <c r="K3" s="17"/>
      <c r="L3" s="17"/>
      <c r="M3" s="942" t="s">
        <v>320</v>
      </c>
      <c r="N3" s="17"/>
      <c r="O3" s="17"/>
    </row>
    <row r="4" spans="1:15" s="875" customFormat="1" ht="16.5" customHeight="1">
      <c r="A4" s="943"/>
      <c r="B4" s="943"/>
      <c r="C4" s="943"/>
      <c r="D4" s="943"/>
      <c r="E4" s="940"/>
      <c r="G4" s="939" t="s">
        <v>614</v>
      </c>
      <c r="H4" s="938"/>
      <c r="I4" s="937"/>
      <c r="J4" s="936"/>
      <c r="K4" s="17"/>
      <c r="L4" s="17"/>
      <c r="M4" s="942" t="s">
        <v>321</v>
      </c>
      <c r="N4" s="17"/>
      <c r="O4" s="17"/>
    </row>
    <row r="5" spans="1:15" s="875" customFormat="1" ht="6.75" customHeight="1">
      <c r="A5" s="941"/>
      <c r="B5" s="941"/>
      <c r="C5" s="941"/>
      <c r="E5" s="940"/>
      <c r="G5" s="939"/>
      <c r="H5" s="938"/>
      <c r="I5" s="937"/>
      <c r="J5" s="936"/>
      <c r="K5" s="935"/>
      <c r="L5" s="872"/>
      <c r="M5" s="872"/>
      <c r="N5" s="872"/>
      <c r="O5" s="872"/>
    </row>
    <row r="6" spans="1:15" s="5" customFormat="1" ht="23.25" customHeight="1">
      <c r="A6" s="1283" t="s">
        <v>613</v>
      </c>
      <c r="B6" s="1283"/>
      <c r="C6" s="1283"/>
      <c r="D6" s="1283"/>
      <c r="E6" s="1283"/>
      <c r="F6" s="1283"/>
      <c r="G6" s="1283"/>
      <c r="H6" s="1283"/>
      <c r="I6" s="1283"/>
      <c r="J6" s="1283"/>
      <c r="K6" s="1283"/>
      <c r="L6" s="1283"/>
      <c r="M6" s="1283"/>
      <c r="N6" s="1283"/>
      <c r="O6" s="1283"/>
    </row>
    <row r="7" spans="1:15" s="5" customFormat="1" ht="15">
      <c r="H7" s="873" t="s">
        <v>29</v>
      </c>
    </row>
    <row r="8" spans="1:15" s="5" customFormat="1" ht="15">
      <c r="H8" s="873" t="s">
        <v>612</v>
      </c>
    </row>
    <row r="9" spans="1:15" s="5" customFormat="1" ht="15">
      <c r="G9" s="249" t="s">
        <v>611</v>
      </c>
      <c r="H9" s="1284" t="s">
        <v>602</v>
      </c>
      <c r="I9" s="1284"/>
      <c r="J9" s="1284"/>
    </row>
    <row r="10" spans="1:15" s="5" customFormat="1" ht="15">
      <c r="H10" s="873" t="s">
        <v>245</v>
      </c>
    </row>
    <row r="11" spans="1:15" s="5" customFormat="1" ht="15">
      <c r="A11" s="4"/>
      <c r="B11" s="4"/>
      <c r="C11" s="934"/>
      <c r="D11" s="934"/>
      <c r="E11" s="934"/>
      <c r="F11" s="934"/>
      <c r="G11" s="934"/>
      <c r="H11" s="934"/>
      <c r="I11" s="934"/>
      <c r="J11" s="934"/>
      <c r="K11" s="934"/>
      <c r="L11" s="934"/>
      <c r="M11" s="934"/>
      <c r="N11" s="934"/>
      <c r="O11" s="934"/>
    </row>
    <row r="12" spans="1:15" s="873" customFormat="1" ht="15.75" customHeight="1">
      <c r="A12" s="1285" t="s">
        <v>22</v>
      </c>
      <c r="B12" s="1275" t="s">
        <v>1</v>
      </c>
      <c r="C12" s="1288"/>
      <c r="D12" s="1285" t="s">
        <v>0</v>
      </c>
      <c r="E12" s="1285" t="s">
        <v>16</v>
      </c>
      <c r="F12" s="1285" t="s">
        <v>246</v>
      </c>
      <c r="G12" s="1289" t="s">
        <v>610</v>
      </c>
      <c r="H12" s="1275" t="s">
        <v>23</v>
      </c>
      <c r="I12" s="1292"/>
      <c r="J12" s="1292"/>
      <c r="K12" s="1288"/>
      <c r="L12" s="1275" t="s">
        <v>33</v>
      </c>
      <c r="M12" s="1276"/>
      <c r="N12" s="1276"/>
      <c r="O12" s="1277"/>
    </row>
    <row r="13" spans="1:15" s="873" customFormat="1" ht="15.75" customHeight="1">
      <c r="A13" s="1286"/>
      <c r="B13" s="1278" t="s">
        <v>17</v>
      </c>
      <c r="C13" s="1278" t="s">
        <v>34</v>
      </c>
      <c r="D13" s="1286"/>
      <c r="E13" s="1286"/>
      <c r="F13" s="1286"/>
      <c r="G13" s="1290"/>
      <c r="H13" s="1280" t="s">
        <v>24</v>
      </c>
      <c r="I13" s="1281"/>
      <c r="J13" s="1280" t="s">
        <v>25</v>
      </c>
      <c r="K13" s="1281"/>
      <c r="L13" s="1280" t="s">
        <v>24</v>
      </c>
      <c r="M13" s="1277"/>
      <c r="N13" s="1280" t="s">
        <v>25</v>
      </c>
      <c r="O13" s="1277"/>
    </row>
    <row r="14" spans="1:15" s="873" customFormat="1" ht="27.75" customHeight="1">
      <c r="A14" s="1287"/>
      <c r="B14" s="1279"/>
      <c r="C14" s="1279"/>
      <c r="D14" s="1287"/>
      <c r="E14" s="1287"/>
      <c r="F14" s="1287"/>
      <c r="G14" s="1291"/>
      <c r="H14" s="933" t="s">
        <v>247</v>
      </c>
      <c r="I14" s="931" t="s">
        <v>248</v>
      </c>
      <c r="J14" s="932" t="s">
        <v>247</v>
      </c>
      <c r="K14" s="931" t="s">
        <v>248</v>
      </c>
      <c r="L14" s="930" t="s">
        <v>247</v>
      </c>
      <c r="M14" s="930" t="s">
        <v>248</v>
      </c>
      <c r="N14" s="930" t="s">
        <v>247</v>
      </c>
      <c r="O14" s="930" t="s">
        <v>248</v>
      </c>
    </row>
    <row r="15" spans="1:15" s="873" customFormat="1" ht="15">
      <c r="A15" s="912" t="s">
        <v>2</v>
      </c>
      <c r="B15" s="929" t="s">
        <v>3</v>
      </c>
      <c r="C15" s="912" t="s">
        <v>4</v>
      </c>
      <c r="D15" s="912" t="s">
        <v>5</v>
      </c>
      <c r="E15" s="912" t="s">
        <v>6</v>
      </c>
      <c r="F15" s="912">
        <v>1</v>
      </c>
      <c r="G15" s="912">
        <v>2</v>
      </c>
      <c r="H15" s="912">
        <v>3</v>
      </c>
      <c r="I15" s="912">
        <v>4</v>
      </c>
      <c r="J15" s="912">
        <v>5</v>
      </c>
      <c r="K15" s="912">
        <v>6</v>
      </c>
      <c r="L15" s="912">
        <v>7</v>
      </c>
      <c r="M15" s="912">
        <v>8</v>
      </c>
      <c r="N15" s="912">
        <v>9</v>
      </c>
      <c r="O15" s="912">
        <v>10</v>
      </c>
    </row>
    <row r="16" spans="1:15" s="5" customFormat="1" ht="16.5" customHeight="1">
      <c r="A16" s="914"/>
      <c r="B16" s="914"/>
      <c r="C16" s="914"/>
      <c r="D16" s="913" t="s">
        <v>7</v>
      </c>
      <c r="E16" s="914"/>
      <c r="F16" s="912"/>
      <c r="G16" s="927"/>
      <c r="H16" s="926"/>
      <c r="I16" s="927"/>
      <c r="J16" s="928"/>
      <c r="K16" s="927"/>
      <c r="L16" s="926">
        <f>VLOOKUP($H$9,'131'!$B$5:$F$11,2,0)</f>
        <v>5219.6400000000003</v>
      </c>
      <c r="M16" s="925">
        <f>VLOOKUP($H$9,'131'!$B$5:$F$11,3,0)</f>
        <v>123101834</v>
      </c>
      <c r="N16" s="926">
        <f>VLOOKUP($H$9,'131'!$B$5:$F$11,4,0)</f>
        <v>0</v>
      </c>
      <c r="O16" s="925">
        <f>VLOOKUP($H$9,'131'!$B$5:$F$11,5,0)</f>
        <v>0</v>
      </c>
    </row>
    <row r="17" spans="1:16" s="5" customFormat="1" ht="16.5" customHeight="1">
      <c r="A17" s="227">
        <f t="shared" ref="A17:A51" ca="1" si="0">IF(C17&lt;&gt;"",C17,"")</f>
        <v>42402</v>
      </c>
      <c r="B17" s="231" t="str">
        <f ca="1">IF(ROWS($1:1)&gt;COUNT(Dong14),"",OFFSET(TH!D$1,SMALL(Dong14,ROWS($1:1)),))</f>
        <v>X01/TP</v>
      </c>
      <c r="C17" s="227">
        <f ca="1">IF(ROWS($1:1)&gt;COUNT(Dong14),"",OFFSET(TH!E$1,SMALL(Dong14,ROWS($1:1)),))</f>
        <v>42402</v>
      </c>
      <c r="D17" s="924" t="str">
        <f ca="1">IF(ROWS($1:1)&gt;COUNT(Dong14),"",OFFSET(TH!F$1,SMALL(Dong14,ROWS($1:1)),))</f>
        <v>Cá bò khô tẩm B TP</v>
      </c>
      <c r="E17" s="922" t="str">
        <f ca="1">IF(ROWS($1:1)&gt;COUNT(Dong14),"",IF(OFFSET(TH!N$1,SMALL(Dong14,ROWS($1:1)),)="131",OFFSET(TH!O$1,SMALL(Dong14,ROWS($1:1)),),OFFSET(TH!N$1,SMALL(Dong14,ROWS($1:1)),)))</f>
        <v>5112X</v>
      </c>
      <c r="F17" s="922">
        <f ca="1">IF(ROWS($1:1)&gt;COUNT(Dong14),0,OFFSET(TH!L$1,SMALL(Dong14,ROWS($1:1)),))</f>
        <v>22215</v>
      </c>
      <c r="G17" s="922"/>
      <c r="H17" s="923">
        <f ca="1">IF(ROWS($1:1)&gt;COUNT(Dong14),0,IF(OFFSET(TH!N$1,SMALL(Dong14,ROWS($1:1)),)="131",OFFSET(TH!K$1,SMALL(Dong14,ROWS($1:1)),),0))</f>
        <v>102960</v>
      </c>
      <c r="I17" s="922">
        <f ca="1">IF(ROWS($1:1)&gt;COUNT(Dong14),0,IF(OFFSET(TH!N$1,SMALL(Dong14,ROWS($1:1)),)="131",OFFSET(TH!M$1,SMALL(Dong14,ROWS($1:1)),),0))</f>
        <v>2287256400</v>
      </c>
      <c r="J17" s="923">
        <f ca="1">IF(ROWS($1:1)&gt;COUNT(Dong14),0,IF(OFFSET(TH!O$1,SMALL(Dong14,ROWS($1:1)),)="131",OFFSET(TH!K$1,SMALL(Dong14,ROWS($1:1)),),0))</f>
        <v>0</v>
      </c>
      <c r="K17" s="922">
        <f ca="1">IF(ROWS($1:1)&gt;COUNT(Dong14),0,IF(OFFSET(TH!O$1,SMALL(Dong14,ROWS($1:1)),)="131",OFFSET(TH!M$1,SMALL(Dong14,ROWS($1:1)),),0))</f>
        <v>0</v>
      </c>
      <c r="L17" s="916">
        <f ca="1">IF(D17&lt;&gt;"",ROUND(MAX(L16+H17-J17-N16,0),2),0)</f>
        <v>108179.64</v>
      </c>
      <c r="M17" s="915">
        <f ca="1">IF(D17&lt;&gt;"",MAX(M16-O16+I17-K17,0),0)</f>
        <v>2410358234</v>
      </c>
      <c r="N17" s="916">
        <f ca="1">IF(D17&lt;&gt;"",ROUND(MAX(N16+J17-H17-L16,0),2),0)</f>
        <v>0</v>
      </c>
      <c r="O17" s="915">
        <f ca="1">IF(D17&lt;&gt;"",MAX(O16-M16+K17-I17,0),0)</f>
        <v>0</v>
      </c>
    </row>
    <row r="18" spans="1:16" s="5" customFormat="1" ht="16.5" customHeight="1">
      <c r="A18" s="227">
        <f t="shared" ca="1" si="0"/>
        <v>42443</v>
      </c>
      <c r="B18" s="231" t="str">
        <f ca="1">IF(ROWS($1:2)&gt;COUNT(Dong14),"",OFFSET(TH!D$1,SMALL(Dong14,ROWS($1:2)),))</f>
        <v>X01/TP</v>
      </c>
      <c r="C18" s="227">
        <f ca="1">IF(ROWS($1:2)&gt;COUNT(Dong14),"",OFFSET(TH!E$1,SMALL(Dong14,ROWS($1:2)),))</f>
        <v>42443</v>
      </c>
      <c r="D18" s="924" t="str">
        <f ca="1">IF(ROWS($1:2)&gt;COUNT(Dong14),"",OFFSET(TH!F$1,SMALL(Dong14,ROWS($1:2)),))</f>
        <v>Cá bò khô tẩm B TP</v>
      </c>
      <c r="E18" s="922" t="str">
        <f ca="1">IF(ROWS($1:2)&gt;COUNT(Dong14),"",IF(OFFSET(TH!N$1,SMALL(Dong14,ROWS($1:2)),)="131",OFFSET(TH!O$1,SMALL(Dong14,ROWS($1:2)),),OFFSET(TH!N$1,SMALL(Dong14,ROWS($1:2)),)))</f>
        <v>5112X</v>
      </c>
      <c r="F18" s="922">
        <f ca="1">IF(ROWS($1:2)&gt;COUNT(Dong14),0,OFFSET(TH!L$1,SMALL(Dong14,ROWS($1:2)),))</f>
        <v>22255</v>
      </c>
      <c r="G18" s="922"/>
      <c r="H18" s="923">
        <f ca="1">IF(ROWS($1:2)&gt;COUNT(Dong14),0,IF(OFFSET(TH!N$1,SMALL(Dong14,ROWS($1:2)),)="131",OFFSET(TH!K$1,SMALL(Dong14,ROWS($1:2)),),0))</f>
        <v>105375</v>
      </c>
      <c r="I18" s="922">
        <f ca="1">IF(ROWS($1:2)&gt;COUNT(Dong14),0,IF(OFFSET(TH!N$1,SMALL(Dong14,ROWS($1:2)),)="131",OFFSET(TH!M$1,SMALL(Dong14,ROWS($1:2)),),0))</f>
        <v>2345120625</v>
      </c>
      <c r="J18" s="923">
        <f ca="1">IF(ROWS($1:2)&gt;COUNT(Dong14),0,IF(OFFSET(TH!O$1,SMALL(Dong14,ROWS($1:2)),)="131",OFFSET(TH!K$1,SMALL(Dong14,ROWS($1:2)),),0))</f>
        <v>0</v>
      </c>
      <c r="K18" s="922">
        <f ca="1">IF(ROWS($1:2)&gt;COUNT(Dong14),0,IF(OFFSET(TH!O$1,SMALL(Dong14,ROWS($1:2)),)="131",OFFSET(TH!M$1,SMALL(Dong14,ROWS($1:2)),),0))</f>
        <v>0</v>
      </c>
      <c r="L18" s="916">
        <f t="shared" ref="L18:L50" ca="1" si="1">IF(D18&lt;&gt;"",ROUND(MAX(L17+H18-J18-N17,0),2),0)</f>
        <v>213554.64</v>
      </c>
      <c r="M18" s="915">
        <f t="shared" ref="M18:M50" ca="1" si="2">IF(D18&lt;&gt;"",MAX(M17-O17+I18-K18,0),0)</f>
        <v>4755478859</v>
      </c>
      <c r="N18" s="916">
        <f t="shared" ref="N18:N50" ca="1" si="3">IF(D18&lt;&gt;"",ROUND(MAX(N17+J18-H18-L17,0),2),0)</f>
        <v>0</v>
      </c>
      <c r="O18" s="915">
        <f t="shared" ref="O18:O50" ca="1" si="4">IF(D18&lt;&gt;"",MAX(O17-M17+K18-I18,0),0)</f>
        <v>0</v>
      </c>
    </row>
    <row r="19" spans="1:16" s="5" customFormat="1" ht="16.5" customHeight="1">
      <c r="A19" s="227">
        <f t="shared" ca="1" si="0"/>
        <v>42377</v>
      </c>
      <c r="B19" s="231" t="str">
        <f ca="1">IF(ROWS($1:3)&gt;COUNT(Dong14),"",OFFSET(TH!D$1,SMALL(Dong14,ROWS($1:3)),))</f>
        <v>GBC</v>
      </c>
      <c r="C19" s="227">
        <f ca="1">IF(ROWS($1:3)&gt;COUNT(Dong14),"",OFFSET(TH!E$1,SMALL(Dong14,ROWS($1:3)),))</f>
        <v>42377</v>
      </c>
      <c r="D19" s="924" t="str">
        <f ca="1">IF(ROWS($1:3)&gt;COUNT(Dong14),"",OFFSET(TH!F$1,SMALL(Dong14,ROWS($1:3)),))</f>
        <v>Q4 - Thu tiền hàng</v>
      </c>
      <c r="E19" s="922" t="str">
        <f ca="1">IF(ROWS($1:3)&gt;COUNT(Dong14),"",IF(OFFSET(TH!N$1,SMALL(Dong14,ROWS($1:3)),)="131",OFFSET(TH!O$1,SMALL(Dong14,ROWS($1:3)),),OFFSET(TH!N$1,SMALL(Dong14,ROWS($1:3)),)))</f>
        <v>1122</v>
      </c>
      <c r="F19" s="922">
        <f ca="1">IF(ROWS($1:3)&gt;COUNT(Dong14),0,OFFSET(TH!L$1,SMALL(Dong14,ROWS($1:3)),))</f>
        <v>22490</v>
      </c>
      <c r="G19" s="922"/>
      <c r="H19" s="923">
        <f ca="1">IF(ROWS($1:3)&gt;COUNT(Dong14),0,IF(OFFSET(TH!N$1,SMALL(Dong14,ROWS($1:3)),)="131",OFFSET(TH!K$1,SMALL(Dong14,ROWS($1:3)),),0))</f>
        <v>0</v>
      </c>
      <c r="I19" s="922">
        <f ca="1">IF(ROWS($1:3)&gt;COUNT(Dong14),0,IF(OFFSET(TH!N$1,SMALL(Dong14,ROWS($1:3)),)="131",OFFSET(TH!M$1,SMALL(Dong14,ROWS($1:3)),),0))</f>
        <v>0</v>
      </c>
      <c r="J19" s="923">
        <f ca="1">IF(ROWS($1:3)&gt;COUNT(Dong14),0,IF(OFFSET(TH!O$1,SMALL(Dong14,ROWS($1:3)),)="131",OFFSET(TH!K$1,SMALL(Dong14,ROWS($1:3)),),0))</f>
        <v>4819.12</v>
      </c>
      <c r="K19" s="922">
        <f ca="1">IF(ROWS($1:3)&gt;COUNT(Dong14),0,IF(OFFSET(TH!O$1,SMALL(Dong14,ROWS($1:3)),)="131",OFFSET(TH!M$1,SMALL(Dong14,ROWS($1:3)),),0))</f>
        <v>108382009</v>
      </c>
      <c r="L19" s="916">
        <f t="shared" ca="1" si="1"/>
        <v>208735.52</v>
      </c>
      <c r="M19" s="915">
        <f t="shared" ca="1" si="2"/>
        <v>4647096850</v>
      </c>
      <c r="N19" s="916">
        <f t="shared" ca="1" si="3"/>
        <v>0</v>
      </c>
      <c r="O19" s="915">
        <f t="shared" ca="1" si="4"/>
        <v>0</v>
      </c>
    </row>
    <row r="20" spans="1:16" s="5" customFormat="1" ht="16.5" customHeight="1">
      <c r="A20" s="227">
        <f t="shared" ca="1" si="0"/>
        <v>42377</v>
      </c>
      <c r="B20" s="231" t="str">
        <f ca="1">IF(ROWS($1:4)&gt;COUNT(Dong14),"",OFFSET(TH!D$1,SMALL(Dong14,ROWS($1:4)),))</f>
        <v>CTGS</v>
      </c>
      <c r="C20" s="227">
        <f ca="1">IF(ROWS($1:4)&gt;COUNT(Dong14),"",OFFSET(TH!E$1,SMALL(Dong14,ROWS($1:4)),))</f>
        <v>42377</v>
      </c>
      <c r="D20" s="924" t="str">
        <f ca="1">IF(ROWS($1:4)&gt;COUNT(Dong14),"",OFFSET(TH!F$1,SMALL(Dong14,ROWS($1:4)),))</f>
        <v>Dịch vụ thanh toán nước ngoài</v>
      </c>
      <c r="E20" s="922" t="str">
        <f ca="1">IF(ROWS($1:4)&gt;COUNT(Dong14),"",IF(OFFSET(TH!N$1,SMALL(Dong14,ROWS($1:4)),)="131",OFFSET(TH!O$1,SMALL(Dong14,ROWS($1:4)),),OFFSET(TH!N$1,SMALL(Dong14,ROWS($1:4)),)))</f>
        <v>642</v>
      </c>
      <c r="F20" s="922">
        <f ca="1">IF(ROWS($1:4)&gt;COUNT(Dong14),0,OFFSET(TH!L$1,SMALL(Dong14,ROWS($1:4)),))</f>
        <v>22490</v>
      </c>
      <c r="G20" s="922"/>
      <c r="H20" s="923">
        <f ca="1">IF(ROWS($1:4)&gt;COUNT(Dong14),0,IF(OFFSET(TH!N$1,SMALL(Dong14,ROWS($1:4)),)="131",OFFSET(TH!K$1,SMALL(Dong14,ROWS($1:4)),),0))</f>
        <v>0</v>
      </c>
      <c r="I20" s="922">
        <f ca="1">IF(ROWS($1:4)&gt;COUNT(Dong14),0,IF(OFFSET(TH!N$1,SMALL(Dong14,ROWS($1:4)),)="131",OFFSET(TH!M$1,SMALL(Dong14,ROWS($1:4)),),0))</f>
        <v>0</v>
      </c>
      <c r="J20" s="923">
        <f ca="1">IF(ROWS($1:4)&gt;COUNT(Dong14),0,IF(OFFSET(TH!O$1,SMALL(Dong14,ROWS($1:4)),)="131",OFFSET(TH!K$1,SMALL(Dong14,ROWS($1:4)),),0))</f>
        <v>169.88</v>
      </c>
      <c r="K20" s="922">
        <f ca="1">IF(ROWS($1:4)&gt;COUNT(Dong14),0,IF(OFFSET(TH!O$1,SMALL(Dong14,ROWS($1:4)),)="131",OFFSET(TH!M$1,SMALL(Dong14,ROWS($1:4)),),0))</f>
        <v>3820601</v>
      </c>
      <c r="L20" s="916">
        <f t="shared" ca="1" si="1"/>
        <v>208565.64</v>
      </c>
      <c r="M20" s="915">
        <f t="shared" ca="1" si="2"/>
        <v>4643276249</v>
      </c>
      <c r="N20" s="916">
        <f t="shared" ca="1" si="3"/>
        <v>0</v>
      </c>
      <c r="O20" s="915">
        <f t="shared" ca="1" si="4"/>
        <v>0</v>
      </c>
    </row>
    <row r="21" spans="1:16" s="5" customFormat="1" ht="16.5" customHeight="1">
      <c r="A21" s="227">
        <f t="shared" ca="1" si="0"/>
        <v>42377</v>
      </c>
      <c r="B21" s="231" t="str">
        <f ca="1">IF(ROWS($1:5)&gt;COUNT(Dong14),"",OFFSET(TH!D$1,SMALL(Dong14,ROWS($1:5)),))</f>
        <v>CTGS</v>
      </c>
      <c r="C21" s="227">
        <f ca="1">IF(ROWS($1:5)&gt;COUNT(Dong14),"",OFFSET(TH!E$1,SMALL(Dong14,ROWS($1:5)),))</f>
        <v>42377</v>
      </c>
      <c r="D21" s="924" t="str">
        <f ca="1">IF(ROWS($1:5)&gt;COUNT(Dong14),"",OFFSET(TH!F$1,SMALL(Dong14,ROWS($1:5)),))</f>
        <v>Phí thanh toán nước ngoài</v>
      </c>
      <c r="E21" s="922" t="str">
        <f ca="1">IF(ROWS($1:5)&gt;COUNT(Dong14),"",IF(OFFSET(TH!N$1,SMALL(Dong14,ROWS($1:5)),)="131",OFFSET(TH!O$1,SMALL(Dong14,ROWS($1:5)),),OFFSET(TH!N$1,SMALL(Dong14,ROWS($1:5)),)))</f>
        <v>642</v>
      </c>
      <c r="F21" s="922">
        <f ca="1">IF(ROWS($1:5)&gt;COUNT(Dong14),0,OFFSET(TH!L$1,SMALL(Dong14,ROWS($1:5)),))</f>
        <v>22490</v>
      </c>
      <c r="G21" s="922"/>
      <c r="H21" s="923">
        <f ca="1">IF(ROWS($1:5)&gt;COUNT(Dong14),0,IF(OFFSET(TH!N$1,SMALL(Dong14,ROWS($1:5)),)="131",OFFSET(TH!K$1,SMALL(Dong14,ROWS($1:5)),),0))</f>
        <v>0</v>
      </c>
      <c r="I21" s="922">
        <f ca="1">IF(ROWS($1:5)&gt;COUNT(Dong14),0,IF(OFFSET(TH!N$1,SMALL(Dong14,ROWS($1:5)),)="131",OFFSET(TH!M$1,SMALL(Dong14,ROWS($1:5)),),0))</f>
        <v>0</v>
      </c>
      <c r="J21" s="923">
        <f ca="1">IF(ROWS($1:5)&gt;COUNT(Dong14),0,IF(OFFSET(TH!O$1,SMALL(Dong14,ROWS($1:5)),)="131",OFFSET(TH!K$1,SMALL(Dong14,ROWS($1:5)),),0))</f>
        <v>230.64</v>
      </c>
      <c r="K21" s="922">
        <f ca="1">IF(ROWS($1:5)&gt;COUNT(Dong14),0,IF(OFFSET(TH!O$1,SMALL(Dong14,ROWS($1:5)),)="131",OFFSET(TH!M$1,SMALL(Dong14,ROWS($1:5)),),0))</f>
        <v>5187094</v>
      </c>
      <c r="L21" s="916">
        <f t="shared" ca="1" si="1"/>
        <v>208335</v>
      </c>
      <c r="M21" s="915">
        <f t="shared" ca="1" si="2"/>
        <v>4638089155</v>
      </c>
      <c r="N21" s="916">
        <f t="shared" ca="1" si="3"/>
        <v>0</v>
      </c>
      <c r="O21" s="915">
        <f t="shared" ca="1" si="4"/>
        <v>0</v>
      </c>
    </row>
    <row r="22" spans="1:16" s="5" customFormat="1" ht="16.5" customHeight="1">
      <c r="A22" s="227">
        <f t="shared" ca="1" si="0"/>
        <v>42377</v>
      </c>
      <c r="B22" s="231" t="str">
        <f ca="1">IF(ROWS($1:6)&gt;COUNT(Dong14),"",OFFSET(TH!D$1,SMALL(Dong14,ROWS($1:6)),))</f>
        <v>CTGS</v>
      </c>
      <c r="C22" s="227">
        <f ca="1">IF(ROWS($1:6)&gt;COUNT(Dong14),"",OFFSET(TH!E$1,SMALL(Dong14,ROWS($1:6)),))</f>
        <v>42377</v>
      </c>
      <c r="D22" s="924" t="str">
        <f ca="1">IF(ROWS($1:6)&gt;COUNT(Dong14),"",OFFSET(TH!F$1,SMALL(Dong14,ROWS($1:6)),))</f>
        <v>Chênh lệch tỷ giá</v>
      </c>
      <c r="E22" s="922" t="str">
        <f ca="1">IF(ROWS($1:6)&gt;COUNT(Dong14),"",IF(OFFSET(TH!N$1,SMALL(Dong14,ROWS($1:6)),)="131",OFFSET(TH!O$1,SMALL(Dong14,ROWS($1:6)),),OFFSET(TH!N$1,SMALL(Dong14,ROWS($1:6)),)))</f>
        <v>635</v>
      </c>
      <c r="F22" s="922">
        <f ca="1">IF(ROWS($1:6)&gt;COUNT(Dong14),0,OFFSET(TH!L$1,SMALL(Dong14,ROWS($1:6)),))</f>
        <v>0</v>
      </c>
      <c r="G22" s="922"/>
      <c r="H22" s="923">
        <f ca="1">IF(ROWS($1:6)&gt;COUNT(Dong14),0,IF(OFFSET(TH!N$1,SMALL(Dong14,ROWS($1:6)),)="131",OFFSET(TH!K$1,SMALL(Dong14,ROWS($1:6)),),0))</f>
        <v>0</v>
      </c>
      <c r="I22" s="922">
        <f ca="1">IF(ROWS($1:6)&gt;COUNT(Dong14),0,IF(OFFSET(TH!N$1,SMALL(Dong14,ROWS($1:6)),)="131",OFFSET(TH!M$1,SMALL(Dong14,ROWS($1:6)),),0))</f>
        <v>0</v>
      </c>
      <c r="J22" s="923">
        <f ca="1">IF(ROWS($1:6)&gt;COUNT(Dong14),0,IF(OFFSET(TH!O$1,SMALL(Dong14,ROWS($1:6)),)="131",OFFSET(TH!K$1,SMALL(Dong14,ROWS($1:6)),),0))</f>
        <v>0</v>
      </c>
      <c r="K22" s="922">
        <f ca="1">IF(ROWS($1:6)&gt;COUNT(Dong14),0,IF(OFFSET(TH!O$1,SMALL(Dong14,ROWS($1:6)),)="131",OFFSET(TH!M$1,SMALL(Dong14,ROWS($1:6)),),0))</f>
        <v>5712130</v>
      </c>
      <c r="L22" s="916">
        <f t="shared" ca="1" si="1"/>
        <v>208335</v>
      </c>
      <c r="M22" s="915">
        <f t="shared" ca="1" si="2"/>
        <v>4632377025</v>
      </c>
      <c r="N22" s="916">
        <f t="shared" ca="1" si="3"/>
        <v>0</v>
      </c>
      <c r="O22" s="915">
        <f t="shared" ca="1" si="4"/>
        <v>0</v>
      </c>
    </row>
    <row r="23" spans="1:16" s="5" customFormat="1" ht="16.5" customHeight="1">
      <c r="A23" s="227">
        <f t="shared" ca="1" si="0"/>
        <v>42403</v>
      </c>
      <c r="B23" s="231" t="str">
        <f ca="1">IF(ROWS($1:7)&gt;COUNT(Dong14),"",OFFSET(TH!D$1,SMALL(Dong14,ROWS($1:7)),))</f>
        <v>GBC</v>
      </c>
      <c r="C23" s="227">
        <f ca="1">IF(ROWS($1:7)&gt;COUNT(Dong14),"",OFFSET(TH!E$1,SMALL(Dong14,ROWS($1:7)),))</f>
        <v>42403</v>
      </c>
      <c r="D23" s="924" t="str">
        <f ca="1">IF(ROWS($1:7)&gt;COUNT(Dong14),"",OFFSET(TH!F$1,SMALL(Dong14,ROWS($1:7)),))</f>
        <v>Q4 - Thu tiền hàng - O.Cheon</v>
      </c>
      <c r="E23" s="922" t="str">
        <f ca="1">IF(ROWS($1:7)&gt;COUNT(Dong14),"",IF(OFFSET(TH!N$1,SMALL(Dong14,ROWS($1:7)),)="131",OFFSET(TH!O$1,SMALL(Dong14,ROWS($1:7)),),OFFSET(TH!N$1,SMALL(Dong14,ROWS($1:7)),)))</f>
        <v>1122</v>
      </c>
      <c r="F23" s="922">
        <f ca="1">IF(ROWS($1:7)&gt;COUNT(Dong14),0,OFFSET(TH!L$1,SMALL(Dong14,ROWS($1:7)),))</f>
        <v>22250</v>
      </c>
      <c r="G23" s="922"/>
      <c r="H23" s="923">
        <f ca="1">IF(ROWS($1:7)&gt;COUNT(Dong14),0,IF(OFFSET(TH!N$1,SMALL(Dong14,ROWS($1:7)),)="131",OFFSET(TH!K$1,SMALL(Dong14,ROWS($1:7)),),0))</f>
        <v>0</v>
      </c>
      <c r="I23" s="922">
        <f ca="1">IF(ROWS($1:7)&gt;COUNT(Dong14),0,IF(OFFSET(TH!N$1,SMALL(Dong14,ROWS($1:7)),)="131",OFFSET(TH!M$1,SMALL(Dong14,ROWS($1:7)),),0))</f>
        <v>0</v>
      </c>
      <c r="J23" s="923">
        <f ca="1">IF(ROWS($1:7)&gt;COUNT(Dong14),0,IF(OFFSET(TH!O$1,SMALL(Dong14,ROWS($1:7)),)="131",OFFSET(TH!K$1,SMALL(Dong14,ROWS($1:7)),),0))</f>
        <v>97740.36</v>
      </c>
      <c r="K23" s="922">
        <f ca="1">IF(ROWS($1:7)&gt;COUNT(Dong14),0,IF(OFFSET(TH!O$1,SMALL(Dong14,ROWS($1:7)),)="131",OFFSET(TH!M$1,SMALL(Dong14,ROWS($1:7)),),0))</f>
        <v>2174723010</v>
      </c>
      <c r="L23" s="916">
        <f t="shared" ca="1" si="1"/>
        <v>110594.64</v>
      </c>
      <c r="M23" s="915">
        <f t="shared" ca="1" si="2"/>
        <v>2457654015</v>
      </c>
      <c r="N23" s="916">
        <f t="shared" ca="1" si="3"/>
        <v>0</v>
      </c>
      <c r="O23" s="915">
        <f t="shared" ca="1" si="4"/>
        <v>0</v>
      </c>
    </row>
    <row r="24" spans="1:16" s="5" customFormat="1" ht="16.5" customHeight="1">
      <c r="A24" s="227">
        <f t="shared" ca="1" si="0"/>
        <v>42403</v>
      </c>
      <c r="B24" s="231" t="str">
        <f ca="1">IF(ROWS($1:8)&gt;COUNT(Dong14),"",OFFSET(TH!D$1,SMALL(Dong14,ROWS($1:8)),))</f>
        <v>CTGS</v>
      </c>
      <c r="C24" s="227">
        <f ca="1">IF(ROWS($1:8)&gt;COUNT(Dong14),"",OFFSET(TH!E$1,SMALL(Dong14,ROWS($1:8)),))</f>
        <v>42403</v>
      </c>
      <c r="D24" s="924" t="str">
        <f ca="1">IF(ROWS($1:8)&gt;COUNT(Dong14),"",OFFSET(TH!F$1,SMALL(Dong14,ROWS($1:8)),))</f>
        <v>Phí dịch vụ thanh toán, điện phí</v>
      </c>
      <c r="E24" s="922" t="str">
        <f ca="1">IF(ROWS($1:8)&gt;COUNT(Dong14),"",IF(OFFSET(TH!N$1,SMALL(Dong14,ROWS($1:8)),)="131",OFFSET(TH!O$1,SMALL(Dong14,ROWS($1:8)),),OFFSET(TH!N$1,SMALL(Dong14,ROWS($1:8)),)))</f>
        <v>642</v>
      </c>
      <c r="F24" s="922">
        <f ca="1">IF(ROWS($1:8)&gt;COUNT(Dong14),0,OFFSET(TH!L$1,SMALL(Dong14,ROWS($1:8)),))</f>
        <v>22250</v>
      </c>
      <c r="G24" s="922"/>
      <c r="H24" s="923">
        <f ca="1">IF(ROWS($1:8)&gt;COUNT(Dong14),0,IF(OFFSET(TH!N$1,SMALL(Dong14,ROWS($1:8)),)="131",OFFSET(TH!K$1,SMALL(Dong14,ROWS($1:8)),),0))</f>
        <v>0</v>
      </c>
      <c r="I24" s="922">
        <f ca="1">IF(ROWS($1:8)&gt;COUNT(Dong14),0,IF(OFFSET(TH!N$1,SMALL(Dong14,ROWS($1:8)),)="131",OFFSET(TH!M$1,SMALL(Dong14,ROWS($1:8)),),0))</f>
        <v>0</v>
      </c>
      <c r="J24" s="923">
        <f ca="1">IF(ROWS($1:8)&gt;COUNT(Dong14),0,IF(OFFSET(TH!O$1,SMALL(Dong14,ROWS($1:8)),)="131",OFFSET(TH!K$1,SMALL(Dong14,ROWS($1:8)),),0))</f>
        <v>54.22</v>
      </c>
      <c r="K24" s="922">
        <f ca="1">IF(ROWS($1:8)&gt;COUNT(Dong14),0,IF(OFFSET(TH!O$1,SMALL(Dong14,ROWS($1:8)),)="131",OFFSET(TH!M$1,SMALL(Dong14,ROWS($1:8)),),0))</f>
        <v>1206395</v>
      </c>
      <c r="L24" s="916">
        <f t="shared" ca="1" si="1"/>
        <v>110540.42</v>
      </c>
      <c r="M24" s="915">
        <f t="shared" ca="1" si="2"/>
        <v>2456447620</v>
      </c>
      <c r="N24" s="916">
        <f t="shared" ca="1" si="3"/>
        <v>0</v>
      </c>
      <c r="O24" s="915">
        <f t="shared" ca="1" si="4"/>
        <v>0</v>
      </c>
    </row>
    <row r="25" spans="1:16" s="5" customFormat="1" ht="16.5" customHeight="1">
      <c r="A25" s="227">
        <f t="shared" ca="1" si="0"/>
        <v>42403</v>
      </c>
      <c r="B25" s="231" t="str">
        <f ca="1">IF(ROWS($1:9)&gt;COUNT(Dong14),"",OFFSET(TH!D$1,SMALL(Dong14,ROWS($1:9)),))</f>
        <v>CTGS</v>
      </c>
      <c r="C25" s="227">
        <f ca="1">IF(ROWS($1:9)&gt;COUNT(Dong14),"",OFFSET(TH!E$1,SMALL(Dong14,ROWS($1:9)),))</f>
        <v>42403</v>
      </c>
      <c r="D25" s="924" t="str">
        <f ca="1">IF(ROWS($1:9)&gt;COUNT(Dong14),"",OFFSET(TH!F$1,SMALL(Dong14,ROWS($1:9)),))</f>
        <v>VAT Phí dịch vụ thanh toán, điện phí</v>
      </c>
      <c r="E25" s="922" t="str">
        <f ca="1">IF(ROWS($1:9)&gt;COUNT(Dong14),"",IF(OFFSET(TH!N$1,SMALL(Dong14,ROWS($1:9)),)="131",OFFSET(TH!O$1,SMALL(Dong14,ROWS($1:9)),),OFFSET(TH!N$1,SMALL(Dong14,ROWS($1:9)),)))</f>
        <v>1331</v>
      </c>
      <c r="F25" s="922">
        <f ca="1">IF(ROWS($1:9)&gt;COUNT(Dong14),0,OFFSET(TH!L$1,SMALL(Dong14,ROWS($1:9)),))</f>
        <v>22250</v>
      </c>
      <c r="G25" s="922"/>
      <c r="H25" s="923">
        <f ca="1">IF(ROWS($1:9)&gt;COUNT(Dong14),0,IF(OFFSET(TH!N$1,SMALL(Dong14,ROWS($1:9)),)="131",OFFSET(TH!K$1,SMALL(Dong14,ROWS($1:9)),),0))</f>
        <v>0</v>
      </c>
      <c r="I25" s="922">
        <f ca="1">IF(ROWS($1:9)&gt;COUNT(Dong14),0,IF(OFFSET(TH!N$1,SMALL(Dong14,ROWS($1:9)),)="131",OFFSET(TH!M$1,SMALL(Dong14,ROWS($1:9)),),0))</f>
        <v>0</v>
      </c>
      <c r="J25" s="923">
        <f ca="1">IF(ROWS($1:9)&gt;COUNT(Dong14),0,IF(OFFSET(TH!O$1,SMALL(Dong14,ROWS($1:9)),)="131",OFFSET(TH!K$1,SMALL(Dong14,ROWS($1:9)),),0))</f>
        <v>5.42</v>
      </c>
      <c r="K25" s="922">
        <f ca="1">IF(ROWS($1:9)&gt;COUNT(Dong14),0,IF(OFFSET(TH!O$1,SMALL(Dong14,ROWS($1:9)),)="131",OFFSET(TH!M$1,SMALL(Dong14,ROWS($1:9)),),0))</f>
        <v>120595</v>
      </c>
      <c r="L25" s="916">
        <f t="shared" ca="1" si="1"/>
        <v>110535</v>
      </c>
      <c r="M25" s="915">
        <f t="shared" ca="1" si="2"/>
        <v>2456327025</v>
      </c>
      <c r="N25" s="916">
        <f t="shared" ca="1" si="3"/>
        <v>0</v>
      </c>
      <c r="O25" s="915">
        <f t="shared" ca="1" si="4"/>
        <v>0</v>
      </c>
    </row>
    <row r="26" spans="1:16" s="5" customFormat="1" ht="16.5" customHeight="1">
      <c r="A26" s="227">
        <f t="shared" ca="1" si="0"/>
        <v>42420</v>
      </c>
      <c r="B26" s="231" t="str">
        <f ca="1">IF(ROWS($1:10)&gt;COUNT(Dong14),"",OFFSET(TH!D$1,SMALL(Dong14,ROWS($1:10)),))</f>
        <v>GBC</v>
      </c>
      <c r="C26" s="227">
        <f ca="1">IF(ROWS($1:10)&gt;COUNT(Dong14),"",OFFSET(TH!E$1,SMALL(Dong14,ROWS($1:10)),))</f>
        <v>42420</v>
      </c>
      <c r="D26" s="924" t="str">
        <f ca="1">IF(ROWS($1:10)&gt;COUNT(Dong14),"",OFFSET(TH!F$1,SMALL(Dong14,ROWS($1:10)),))</f>
        <v>Q4 - Thu tiền hàng - O.Cheon</v>
      </c>
      <c r="E26" s="922" t="str">
        <f ca="1">IF(ROWS($1:10)&gt;COUNT(Dong14),"",IF(OFFSET(TH!N$1,SMALL(Dong14,ROWS($1:10)),)="131",OFFSET(TH!O$1,SMALL(Dong14,ROWS($1:10)),),OFFSET(TH!N$1,SMALL(Dong14,ROWS($1:10)),)))</f>
        <v>1122</v>
      </c>
      <c r="F26" s="922">
        <f ca="1">IF(ROWS($1:10)&gt;COUNT(Dong14),0,OFFSET(TH!L$1,SMALL(Dong14,ROWS($1:10)),))</f>
        <v>22345</v>
      </c>
      <c r="G26" s="922"/>
      <c r="H26" s="923">
        <f ca="1">IF(ROWS($1:10)&gt;COUNT(Dong14),0,IF(OFFSET(TH!N$1,SMALL(Dong14,ROWS($1:10)),)="131",OFFSET(TH!K$1,SMALL(Dong14,ROWS($1:10)),),0))</f>
        <v>0</v>
      </c>
      <c r="I26" s="922">
        <f ca="1">IF(ROWS($1:10)&gt;COUNT(Dong14),0,IF(OFFSET(TH!N$1,SMALL(Dong14,ROWS($1:10)),)="131",OFFSET(TH!M$1,SMALL(Dong14,ROWS($1:10)),),0))</f>
        <v>0</v>
      </c>
      <c r="J26" s="923">
        <f ca="1">IF(ROWS($1:10)&gt;COUNT(Dong14),0,IF(OFFSET(TH!O$1,SMALL(Dong14,ROWS($1:10)),)="131",OFFSET(TH!K$1,SMALL(Dong14,ROWS($1:10)),),0))</f>
        <v>4819.12</v>
      </c>
      <c r="K26" s="922">
        <f ca="1">IF(ROWS($1:10)&gt;COUNT(Dong14),0,IF(OFFSET(TH!O$1,SMALL(Dong14,ROWS($1:10)),)="131",OFFSET(TH!M$1,SMALL(Dong14,ROWS($1:10)),),0))</f>
        <v>107683236</v>
      </c>
      <c r="L26" s="916">
        <f t="shared" ca="1" si="1"/>
        <v>105715.88</v>
      </c>
      <c r="M26" s="915">
        <f t="shared" ca="1" si="2"/>
        <v>2348643789</v>
      </c>
      <c r="N26" s="916">
        <f t="shared" ca="1" si="3"/>
        <v>0</v>
      </c>
      <c r="O26" s="915">
        <f t="shared" ca="1" si="4"/>
        <v>0</v>
      </c>
    </row>
    <row r="27" spans="1:16" s="5" customFormat="1" ht="16.5" customHeight="1">
      <c r="A27" s="227">
        <f t="shared" ca="1" si="0"/>
        <v>42420</v>
      </c>
      <c r="B27" s="231" t="str">
        <f ca="1">IF(ROWS($1:11)&gt;COUNT(Dong14),"",OFFSET(TH!D$1,SMALL(Dong14,ROWS($1:11)),))</f>
        <v>CTGS</v>
      </c>
      <c r="C27" s="227">
        <f ca="1">IF(ROWS($1:11)&gt;COUNT(Dong14),"",OFFSET(TH!E$1,SMALL(Dong14,ROWS($1:11)),))</f>
        <v>42420</v>
      </c>
      <c r="D27" s="924" t="str">
        <f ca="1">IF(ROWS($1:11)&gt;COUNT(Dong14),"",OFFSET(TH!F$1,SMALL(Dong14,ROWS($1:11)),))</f>
        <v>Phí dịch vụ thanh toán ngoài nước</v>
      </c>
      <c r="E27" s="922" t="str">
        <f ca="1">IF(ROWS($1:11)&gt;COUNT(Dong14),"",IF(OFFSET(TH!N$1,SMALL(Dong14,ROWS($1:11)),)="131",OFFSET(TH!O$1,SMALL(Dong14,ROWS($1:11)),),OFFSET(TH!N$1,SMALL(Dong14,ROWS($1:11)),)))</f>
        <v>642</v>
      </c>
      <c r="F27" s="922">
        <f ca="1">IF(ROWS($1:11)&gt;COUNT(Dong14),0,OFFSET(TH!L$1,SMALL(Dong14,ROWS($1:11)),))</f>
        <v>22345</v>
      </c>
      <c r="G27" s="922"/>
      <c r="H27" s="923">
        <f ca="1">IF(ROWS($1:11)&gt;COUNT(Dong14),0,IF(OFFSET(TH!N$1,SMALL(Dong14,ROWS($1:11)),)="131",OFFSET(TH!K$1,SMALL(Dong14,ROWS($1:11)),),0))</f>
        <v>0</v>
      </c>
      <c r="I27" s="922">
        <f ca="1">IF(ROWS($1:11)&gt;COUNT(Dong14),0,IF(OFFSET(TH!N$1,SMALL(Dong14,ROWS($1:11)),)="131",OFFSET(TH!M$1,SMALL(Dong14,ROWS($1:11)),),0))</f>
        <v>0</v>
      </c>
      <c r="J27" s="923">
        <f ca="1">IF(ROWS($1:11)&gt;COUNT(Dong14),0,IF(OFFSET(TH!O$1,SMALL(Dong14,ROWS($1:11)),)="131",OFFSET(TH!K$1,SMALL(Dong14,ROWS($1:11)),),0))</f>
        <v>154.44</v>
      </c>
      <c r="K27" s="922">
        <f ca="1">IF(ROWS($1:11)&gt;COUNT(Dong14),0,IF(OFFSET(TH!O$1,SMALL(Dong14,ROWS($1:11)),)="131",OFFSET(TH!M$1,SMALL(Dong14,ROWS($1:11)),),0))</f>
        <v>3450962</v>
      </c>
      <c r="L27" s="916">
        <f t="shared" ca="1" si="1"/>
        <v>105561.44</v>
      </c>
      <c r="M27" s="915">
        <f t="shared" ca="1" si="2"/>
        <v>2345192827</v>
      </c>
      <c r="N27" s="916">
        <f t="shared" ca="1" si="3"/>
        <v>0</v>
      </c>
      <c r="O27" s="915">
        <f t="shared" ca="1" si="4"/>
        <v>0</v>
      </c>
    </row>
    <row r="28" spans="1:16" s="5" customFormat="1" ht="16.5" customHeight="1">
      <c r="A28" s="227">
        <f t="shared" ca="1" si="0"/>
        <v>42420</v>
      </c>
      <c r="B28" s="231" t="str">
        <f ca="1">IF(ROWS($1:12)&gt;COUNT(Dong14),"",OFFSET(TH!D$1,SMALL(Dong14,ROWS($1:12)),))</f>
        <v>CTGS</v>
      </c>
      <c r="C28" s="227">
        <f ca="1">IF(ROWS($1:12)&gt;COUNT(Dong14),"",OFFSET(TH!E$1,SMALL(Dong14,ROWS($1:12)),))</f>
        <v>42420</v>
      </c>
      <c r="D28" s="924" t="str">
        <f ca="1">IF(ROWS($1:12)&gt;COUNT(Dong14),"",OFFSET(TH!F$1,SMALL(Dong14,ROWS($1:12)),))</f>
        <v>VAT Phí dịch vụ thanh toán ngoài nước</v>
      </c>
      <c r="E28" s="922" t="str">
        <f ca="1">IF(ROWS($1:12)&gt;COUNT(Dong14),"",IF(OFFSET(TH!N$1,SMALL(Dong14,ROWS($1:12)),)="131",OFFSET(TH!O$1,SMALL(Dong14,ROWS($1:12)),),OFFSET(TH!N$1,SMALL(Dong14,ROWS($1:12)),)))</f>
        <v>1331</v>
      </c>
      <c r="F28" s="922">
        <f ca="1">IF(ROWS($1:12)&gt;COUNT(Dong14),0,OFFSET(TH!L$1,SMALL(Dong14,ROWS($1:12)),))</f>
        <v>22345</v>
      </c>
      <c r="G28" s="922"/>
      <c r="H28" s="923">
        <f ca="1">IF(ROWS($1:12)&gt;COUNT(Dong14),0,IF(OFFSET(TH!N$1,SMALL(Dong14,ROWS($1:12)),)="131",OFFSET(TH!K$1,SMALL(Dong14,ROWS($1:12)),),0))</f>
        <v>0</v>
      </c>
      <c r="I28" s="922">
        <f ca="1">IF(ROWS($1:12)&gt;COUNT(Dong14),0,IF(OFFSET(TH!N$1,SMALL(Dong14,ROWS($1:12)),)="131",OFFSET(TH!M$1,SMALL(Dong14,ROWS($1:12)),),0))</f>
        <v>0</v>
      </c>
      <c r="J28" s="923">
        <f ca="1">IF(ROWS($1:12)&gt;COUNT(Dong14),0,IF(OFFSET(TH!O$1,SMALL(Dong14,ROWS($1:12)),)="131",OFFSET(TH!K$1,SMALL(Dong14,ROWS($1:12)),),0))</f>
        <v>15.44</v>
      </c>
      <c r="K28" s="922">
        <f ca="1">IF(ROWS($1:12)&gt;COUNT(Dong14),0,IF(OFFSET(TH!O$1,SMALL(Dong14,ROWS($1:12)),)="131",OFFSET(TH!M$1,SMALL(Dong14,ROWS($1:12)),),0))</f>
        <v>345007</v>
      </c>
      <c r="L28" s="916">
        <f t="shared" ca="1" si="1"/>
        <v>105546</v>
      </c>
      <c r="M28" s="915">
        <f t="shared" ca="1" si="2"/>
        <v>2344847820</v>
      </c>
      <c r="N28" s="916">
        <f t="shared" ca="1" si="3"/>
        <v>0</v>
      </c>
      <c r="O28" s="915">
        <f t="shared" ca="1" si="4"/>
        <v>0</v>
      </c>
    </row>
    <row r="29" spans="1:16" s="5" customFormat="1" ht="16.5" customHeight="1">
      <c r="A29" s="227">
        <f t="shared" ca="1" si="0"/>
        <v>42420</v>
      </c>
      <c r="B29" s="231" t="str">
        <f ca="1">IF(ROWS($1:13)&gt;COUNT(Dong14),"",OFFSET(TH!D$1,SMALL(Dong14,ROWS($1:13)),))</f>
        <v>CTGS</v>
      </c>
      <c r="C29" s="227">
        <f ca="1">IF(ROWS($1:13)&gt;COUNT(Dong14),"",OFFSET(TH!E$1,SMALL(Dong14,ROWS($1:13)),))</f>
        <v>42420</v>
      </c>
      <c r="D29" s="924" t="str">
        <f ca="1">IF(ROWS($1:13)&gt;COUNT(Dong14),"",OFFSET(TH!F$1,SMALL(Dong14,ROWS($1:13)),))</f>
        <v>Phí thanh toán nước ngoài</v>
      </c>
      <c r="E29" s="922" t="str">
        <f ca="1">IF(ROWS($1:13)&gt;COUNT(Dong14),"",IF(OFFSET(TH!N$1,SMALL(Dong14,ROWS($1:13)),)="131",OFFSET(TH!O$1,SMALL(Dong14,ROWS($1:13)),),OFFSET(TH!N$1,SMALL(Dong14,ROWS($1:13)),)))</f>
        <v>642</v>
      </c>
      <c r="F29" s="922">
        <f ca="1">IF(ROWS($1:13)&gt;COUNT(Dong14),0,OFFSET(TH!L$1,SMALL(Dong14,ROWS($1:13)),))</f>
        <v>22345</v>
      </c>
      <c r="G29" s="922"/>
      <c r="H29" s="923">
        <f ca="1">IF(ROWS($1:13)&gt;COUNT(Dong14),0,IF(OFFSET(TH!N$1,SMALL(Dong14,ROWS($1:13)),)="131",OFFSET(TH!K$1,SMALL(Dong14,ROWS($1:13)),),0))</f>
        <v>0</v>
      </c>
      <c r="I29" s="922">
        <f ca="1">IF(ROWS($1:13)&gt;COUNT(Dong14),0,IF(OFFSET(TH!N$1,SMALL(Dong14,ROWS($1:13)),)="131",OFFSET(TH!M$1,SMALL(Dong14,ROWS($1:13)),),0))</f>
        <v>0</v>
      </c>
      <c r="J29" s="923">
        <f ca="1">IF(ROWS($1:13)&gt;COUNT(Dong14),0,IF(OFFSET(TH!O$1,SMALL(Dong14,ROWS($1:13)),)="131",OFFSET(TH!K$1,SMALL(Dong14,ROWS($1:13)),),0))</f>
        <v>171</v>
      </c>
      <c r="K29" s="922">
        <f ca="1">IF(ROWS($1:13)&gt;COUNT(Dong14),0,IF(OFFSET(TH!O$1,SMALL(Dong14,ROWS($1:13)),)="131",OFFSET(TH!M$1,SMALL(Dong14,ROWS($1:13)),),0))</f>
        <v>3820995</v>
      </c>
      <c r="L29" s="916">
        <f t="shared" ca="1" si="1"/>
        <v>105375</v>
      </c>
      <c r="M29" s="915">
        <f t="shared" ca="1" si="2"/>
        <v>2341026825</v>
      </c>
      <c r="N29" s="916">
        <f t="shared" ca="1" si="3"/>
        <v>0</v>
      </c>
      <c r="O29" s="915">
        <f t="shared" ca="1" si="4"/>
        <v>0</v>
      </c>
    </row>
    <row r="30" spans="1:16" s="5" customFormat="1" ht="16.5" customHeight="1">
      <c r="A30" s="227">
        <f t="shared" ca="1" si="0"/>
        <v>42420</v>
      </c>
      <c r="B30" s="231" t="str">
        <f ca="1">IF(ROWS($1:14)&gt;COUNT(Dong14),"",OFFSET(TH!D$1,SMALL(Dong14,ROWS($1:14)),))</f>
        <v>CTGS</v>
      </c>
      <c r="C30" s="227">
        <f ca="1">IF(ROWS($1:14)&gt;COUNT(Dong14),"",OFFSET(TH!E$1,SMALL(Dong14,ROWS($1:14)),))</f>
        <v>42420</v>
      </c>
      <c r="D30" s="924" t="str">
        <f ca="1">IF(ROWS($1:14)&gt;COUNT(Dong14),"",OFFSET(TH!F$1,SMALL(Dong14,ROWS($1:14)),))</f>
        <v>Chênh lệch tỷ giá</v>
      </c>
      <c r="E30" s="922" t="str">
        <f ca="1">IF(ROWS($1:14)&gt;COUNT(Dong14),"",IF(OFFSET(TH!N$1,SMALL(Dong14,ROWS($1:14)),)="131",OFFSET(TH!O$1,SMALL(Dong14,ROWS($1:14)),),OFFSET(TH!N$1,SMALL(Dong14,ROWS($1:14)),)))</f>
        <v>515</v>
      </c>
      <c r="F30" s="922">
        <f ca="1">IF(ROWS($1:14)&gt;COUNT(Dong14),0,OFFSET(TH!L$1,SMALL(Dong14,ROWS($1:14)),))</f>
        <v>0</v>
      </c>
      <c r="G30" s="922"/>
      <c r="H30" s="923">
        <f ca="1">IF(ROWS($1:14)&gt;COUNT(Dong14),0,IF(OFFSET(TH!N$1,SMALL(Dong14,ROWS($1:14)),)="131",OFFSET(TH!K$1,SMALL(Dong14,ROWS($1:14)),),0))</f>
        <v>0</v>
      </c>
      <c r="I30" s="922">
        <f ca="1">IF(ROWS($1:14)&gt;COUNT(Dong14),0,IF(OFFSET(TH!N$1,SMALL(Dong14,ROWS($1:14)),)="131",OFFSET(TH!M$1,SMALL(Dong14,ROWS($1:14)),),0))</f>
        <v>4093800</v>
      </c>
      <c r="J30" s="923">
        <f ca="1">IF(ROWS($1:14)&gt;COUNT(Dong14),0,IF(OFFSET(TH!O$1,SMALL(Dong14,ROWS($1:14)),)="131",OFFSET(TH!K$1,SMALL(Dong14,ROWS($1:14)),),0))</f>
        <v>0</v>
      </c>
      <c r="K30" s="922">
        <f ca="1">IF(ROWS($1:14)&gt;COUNT(Dong14),0,IF(OFFSET(TH!O$1,SMALL(Dong14,ROWS($1:14)),)="131",OFFSET(TH!M$1,SMALL(Dong14,ROWS($1:14)),),0))</f>
        <v>0</v>
      </c>
      <c r="L30" s="916">
        <f t="shared" ca="1" si="1"/>
        <v>105375</v>
      </c>
      <c r="M30" s="915">
        <f t="shared" ca="1" si="2"/>
        <v>2345120625</v>
      </c>
      <c r="N30" s="916">
        <f t="shared" ca="1" si="3"/>
        <v>0</v>
      </c>
      <c r="O30" s="915">
        <f t="shared" ca="1" si="4"/>
        <v>0</v>
      </c>
    </row>
    <row r="31" spans="1:16" s="5" customFormat="1" ht="16.5" customHeight="1">
      <c r="A31" s="227">
        <f t="shared" ca="1" si="0"/>
        <v>42444</v>
      </c>
      <c r="B31" s="231" t="str">
        <f ca="1">IF(ROWS($1:15)&gt;COUNT(Dong14),"",OFFSET(TH!D$1,SMALL(Dong14,ROWS($1:15)),))</f>
        <v>GBC</v>
      </c>
      <c r="C31" s="227">
        <f ca="1">IF(ROWS($1:15)&gt;COUNT(Dong14),"",OFFSET(TH!E$1,SMALL(Dong14,ROWS($1:15)),))</f>
        <v>42444</v>
      </c>
      <c r="D31" s="924" t="str">
        <f ca="1">IF(ROWS($1:15)&gt;COUNT(Dong14),"",OFFSET(TH!F$1,SMALL(Dong14,ROWS($1:15)),))</f>
        <v>Chiết khấu LC</v>
      </c>
      <c r="E31" s="922" t="str">
        <f ca="1">IF(ROWS($1:15)&gt;COUNT(Dong14),"",IF(OFFSET(TH!N$1,SMALL(Dong14,ROWS($1:15)),)="131",OFFSET(TH!O$1,SMALL(Dong14,ROWS($1:15)),),OFFSET(TH!N$1,SMALL(Dong14,ROWS($1:15)),)))</f>
        <v>1122</v>
      </c>
      <c r="F31" s="922">
        <f ca="1">IF(ROWS($1:15)&gt;COUNT(Dong14),0,OFFSET(TH!L$1,SMALL(Dong14,ROWS($1:15)),))</f>
        <v>22295</v>
      </c>
      <c r="G31" s="922"/>
      <c r="H31" s="923">
        <f ca="1">IF(ROWS($1:15)&gt;COUNT(Dong14),0,IF(OFFSET(TH!N$1,SMALL(Dong14,ROWS($1:15)),)="131",OFFSET(TH!K$1,SMALL(Dong14,ROWS($1:15)),),0))</f>
        <v>0</v>
      </c>
      <c r="I31" s="922">
        <f ca="1">IF(ROWS($1:15)&gt;COUNT(Dong14),0,IF(OFFSET(TH!N$1,SMALL(Dong14,ROWS($1:15)),)="131",OFFSET(TH!M$1,SMALL(Dong14,ROWS($1:15)),),0))</f>
        <v>0</v>
      </c>
      <c r="J31" s="923">
        <f ca="1">IF(ROWS($1:15)&gt;COUNT(Dong14),0,IF(OFFSET(TH!O$1,SMALL(Dong14,ROWS($1:15)),)="131",OFFSET(TH!K$1,SMALL(Dong14,ROWS($1:15)),),0))</f>
        <v>100100</v>
      </c>
      <c r="K31" s="922">
        <f ca="1">IF(ROWS($1:15)&gt;COUNT(Dong14),0,IF(OFFSET(TH!O$1,SMALL(Dong14,ROWS($1:15)),)="131",OFFSET(TH!M$1,SMALL(Dong14,ROWS($1:15)),),0))</f>
        <v>2231729500</v>
      </c>
      <c r="L31" s="916">
        <f t="shared" ca="1" si="1"/>
        <v>5275</v>
      </c>
      <c r="M31" s="915">
        <f t="shared" ca="1" si="2"/>
        <v>113391125</v>
      </c>
      <c r="N31" s="916">
        <f t="shared" ca="1" si="3"/>
        <v>0</v>
      </c>
      <c r="O31" s="915">
        <f t="shared" ca="1" si="4"/>
        <v>0</v>
      </c>
      <c r="P31" s="252"/>
    </row>
    <row r="32" spans="1:16" s="5" customFormat="1" ht="16.5" customHeight="1">
      <c r="A32" s="227">
        <f t="shared" ca="1" si="0"/>
        <v>42458</v>
      </c>
      <c r="B32" s="231" t="str">
        <f ca="1">IF(ROWS($1:16)&gt;COUNT(Dong14),"",OFFSET(TH!D$1,SMALL(Dong14,ROWS($1:16)),))</f>
        <v>GBC</v>
      </c>
      <c r="C32" s="227">
        <f ca="1">IF(ROWS($1:16)&gt;COUNT(Dong14),"",OFFSET(TH!E$1,SMALL(Dong14,ROWS($1:16)),))</f>
        <v>42458</v>
      </c>
      <c r="D32" s="924" t="str">
        <f ca="1">IF(ROWS($1:16)&gt;COUNT(Dong14),"",OFFSET(TH!F$1,SMALL(Dong14,ROWS($1:16)),))</f>
        <v>Tiền hàng</v>
      </c>
      <c r="E32" s="922" t="str">
        <f ca="1">IF(ROWS($1:16)&gt;COUNT(Dong14),"",IF(OFFSET(TH!N$1,SMALL(Dong14,ROWS($1:16)),)="131",OFFSET(TH!O$1,SMALL(Dong14,ROWS($1:16)),),OFFSET(TH!N$1,SMALL(Dong14,ROWS($1:16)),)))</f>
        <v>1122</v>
      </c>
      <c r="F32" s="922">
        <f ca="1">IF(ROWS($1:16)&gt;COUNT(Dong14),0,OFFSET(TH!L$1,SMALL(Dong14,ROWS($1:16)),))</f>
        <v>22280</v>
      </c>
      <c r="G32" s="922"/>
      <c r="H32" s="923">
        <f ca="1">IF(ROWS($1:16)&gt;COUNT(Dong14),0,IF(OFFSET(TH!N$1,SMALL(Dong14,ROWS($1:16)),)="131",OFFSET(TH!K$1,SMALL(Dong14,ROWS($1:16)),),0))</f>
        <v>0</v>
      </c>
      <c r="I32" s="922">
        <f ca="1">IF(ROWS($1:16)&gt;COUNT(Dong14),0,IF(OFFSET(TH!N$1,SMALL(Dong14,ROWS($1:16)),)="131",OFFSET(TH!M$1,SMALL(Dong14,ROWS($1:16)),),0))</f>
        <v>0</v>
      </c>
      <c r="J32" s="923">
        <f ca="1">IF(ROWS($1:16)&gt;COUNT(Dong14),0,IF(OFFSET(TH!O$1,SMALL(Dong14,ROWS($1:16)),)="131",OFFSET(TH!K$1,SMALL(Dong14,ROWS($1:16)),),0))</f>
        <v>4930.13</v>
      </c>
      <c r="K32" s="922">
        <f ca="1">IF(ROWS($1:16)&gt;COUNT(Dong14),0,IF(OFFSET(TH!O$1,SMALL(Dong14,ROWS($1:16)),)="131",OFFSET(TH!M$1,SMALL(Dong14,ROWS($1:16)),),0))</f>
        <v>109843296</v>
      </c>
      <c r="L32" s="916">
        <f t="shared" ca="1" si="1"/>
        <v>344.87</v>
      </c>
      <c r="M32" s="915">
        <f t="shared" ca="1" si="2"/>
        <v>3547829</v>
      </c>
      <c r="N32" s="916">
        <f t="shared" ca="1" si="3"/>
        <v>0</v>
      </c>
      <c r="O32" s="915">
        <f t="shared" ca="1" si="4"/>
        <v>0</v>
      </c>
    </row>
    <row r="33" spans="1:15" s="5" customFormat="1" ht="16.5" customHeight="1">
      <c r="A33" s="227">
        <f t="shared" ca="1" si="0"/>
        <v>42458</v>
      </c>
      <c r="B33" s="231" t="str">
        <f ca="1">IF(ROWS($1:17)&gt;COUNT(Dong14),"",OFFSET(TH!D$1,SMALL(Dong14,ROWS($1:17)),))</f>
        <v>CTGS</v>
      </c>
      <c r="C33" s="227">
        <f ca="1">IF(ROWS($1:17)&gt;COUNT(Dong14),"",OFFSET(TH!E$1,SMALL(Dong14,ROWS($1:17)),))</f>
        <v>42458</v>
      </c>
      <c r="D33" s="924" t="str">
        <f ca="1">IF(ROWS($1:17)&gt;COUNT(Dong14),"",OFFSET(TH!F$1,SMALL(Dong14,ROWS($1:17)),))</f>
        <v>Phí dịch vụ thanh toán ngoài nước</v>
      </c>
      <c r="E33" s="922" t="str">
        <f ca="1">IF(ROWS($1:17)&gt;COUNT(Dong14),"",IF(OFFSET(TH!N$1,SMALL(Dong14,ROWS($1:17)),)="131",OFFSET(TH!O$1,SMALL(Dong14,ROWS($1:17)),),OFFSET(TH!N$1,SMALL(Dong14,ROWS($1:17)),)))</f>
        <v>642</v>
      </c>
      <c r="F33" s="922">
        <f ca="1">IF(ROWS($1:17)&gt;COUNT(Dong14),0,OFFSET(TH!L$1,SMALL(Dong14,ROWS($1:17)),))</f>
        <v>22280</v>
      </c>
      <c r="G33" s="922"/>
      <c r="H33" s="923">
        <f ca="1">IF(ROWS($1:17)&gt;COUNT(Dong14),0,IF(OFFSET(TH!N$1,SMALL(Dong14,ROWS($1:17)),)="131",OFFSET(TH!K$1,SMALL(Dong14,ROWS($1:17)),),0))</f>
        <v>0</v>
      </c>
      <c r="I33" s="922">
        <f ca="1">IF(ROWS($1:17)&gt;COUNT(Dong14),0,IF(OFFSET(TH!N$1,SMALL(Dong14,ROWS($1:17)),)="131",OFFSET(TH!M$1,SMALL(Dong14,ROWS($1:17)),),0))</f>
        <v>0</v>
      </c>
      <c r="J33" s="923">
        <f ca="1">IF(ROWS($1:17)&gt;COUNT(Dong14),0,IF(OFFSET(TH!O$1,SMALL(Dong14,ROWS($1:17)),)="131",OFFSET(TH!K$1,SMALL(Dong14,ROWS($1:17)),),0))</f>
        <v>158.06</v>
      </c>
      <c r="K33" s="922">
        <f ca="1">IF(ROWS($1:17)&gt;COUNT(Dong14),0,IF(OFFSET(TH!O$1,SMALL(Dong14,ROWS($1:17)),)="131",OFFSET(TH!M$1,SMALL(Dong14,ROWS($1:17)),),0))</f>
        <v>3521577</v>
      </c>
      <c r="L33" s="916">
        <f t="shared" ca="1" si="1"/>
        <v>186.81</v>
      </c>
      <c r="M33" s="915">
        <f t="shared" ca="1" si="2"/>
        <v>26252</v>
      </c>
      <c r="N33" s="916">
        <f t="shared" ca="1" si="3"/>
        <v>0</v>
      </c>
      <c r="O33" s="915">
        <f t="shared" ca="1" si="4"/>
        <v>0</v>
      </c>
    </row>
    <row r="34" spans="1:15" s="5" customFormat="1" ht="16.5" customHeight="1">
      <c r="A34" s="227">
        <f t="shared" ca="1" si="0"/>
        <v>42458</v>
      </c>
      <c r="B34" s="231" t="str">
        <f ca="1">IF(ROWS($1:18)&gt;COUNT(Dong14),"",OFFSET(TH!D$1,SMALL(Dong14,ROWS($1:18)),))</f>
        <v>CTGS</v>
      </c>
      <c r="C34" s="227">
        <f ca="1">IF(ROWS($1:18)&gt;COUNT(Dong14),"",OFFSET(TH!E$1,SMALL(Dong14,ROWS($1:18)),))</f>
        <v>42458</v>
      </c>
      <c r="D34" s="924" t="str">
        <f ca="1">IF(ROWS($1:18)&gt;COUNT(Dong14),"",OFFSET(TH!F$1,SMALL(Dong14,ROWS($1:18)),))</f>
        <v>VAT Phí dịch vụ thanh toán ngoài nước</v>
      </c>
      <c r="E34" s="922" t="str">
        <f ca="1">IF(ROWS($1:18)&gt;COUNT(Dong14),"",IF(OFFSET(TH!N$1,SMALL(Dong14,ROWS($1:18)),)="131",OFFSET(TH!O$1,SMALL(Dong14,ROWS($1:18)),),OFFSET(TH!N$1,SMALL(Dong14,ROWS($1:18)),)))</f>
        <v>1331</v>
      </c>
      <c r="F34" s="922">
        <f ca="1">IF(ROWS($1:18)&gt;COUNT(Dong14),0,OFFSET(TH!L$1,SMALL(Dong14,ROWS($1:18)),))</f>
        <v>22280</v>
      </c>
      <c r="G34" s="922"/>
      <c r="H34" s="923">
        <f ca="1">IF(ROWS($1:18)&gt;COUNT(Dong14),0,IF(OFFSET(TH!N$1,SMALL(Dong14,ROWS($1:18)),)="131",OFFSET(TH!K$1,SMALL(Dong14,ROWS($1:18)),),0))</f>
        <v>0</v>
      </c>
      <c r="I34" s="922">
        <f ca="1">IF(ROWS($1:18)&gt;COUNT(Dong14),0,IF(OFFSET(TH!N$1,SMALL(Dong14,ROWS($1:18)),)="131",OFFSET(TH!M$1,SMALL(Dong14,ROWS($1:18)),),0))</f>
        <v>0</v>
      </c>
      <c r="J34" s="923">
        <f ca="1">IF(ROWS($1:18)&gt;COUNT(Dong14),0,IF(OFFSET(TH!O$1,SMALL(Dong14,ROWS($1:18)),)="131",OFFSET(TH!K$1,SMALL(Dong14,ROWS($1:18)),),0))</f>
        <v>15.81</v>
      </c>
      <c r="K34" s="922">
        <f ca="1">IF(ROWS($1:18)&gt;COUNT(Dong14),0,IF(OFFSET(TH!O$1,SMALL(Dong14,ROWS($1:18)),)="131",OFFSET(TH!M$1,SMALL(Dong14,ROWS($1:18)),),0))</f>
        <v>352247</v>
      </c>
      <c r="L34" s="916">
        <f t="shared" ca="1" si="1"/>
        <v>171</v>
      </c>
      <c r="M34" s="915">
        <f t="shared" ca="1" si="2"/>
        <v>0</v>
      </c>
      <c r="N34" s="916">
        <f t="shared" ca="1" si="3"/>
        <v>0</v>
      </c>
      <c r="O34" s="915">
        <f t="shared" ca="1" si="4"/>
        <v>325995</v>
      </c>
    </row>
    <row r="35" spans="1:15" s="5" customFormat="1" ht="16.5" customHeight="1">
      <c r="A35" s="227">
        <f ca="1">IF(C35&lt;&gt;"",C35,"")</f>
        <v>42458</v>
      </c>
      <c r="B35" s="231" t="str">
        <f ca="1">IF(ROWS($1:19)&gt;COUNT(Dong14),"",OFFSET(TH!D$1,SMALL(Dong14,ROWS($1:19)),))</f>
        <v>CTGS</v>
      </c>
      <c r="C35" s="227">
        <f ca="1">IF(ROWS($1:19)&gt;COUNT(Dong14),"",OFFSET(TH!E$1,SMALL(Dong14,ROWS($1:19)),))</f>
        <v>42458</v>
      </c>
      <c r="D35" s="924" t="str">
        <f ca="1">IF(ROWS($1:19)&gt;COUNT(Dong14),"",OFFSET(TH!F$1,SMALL(Dong14,ROWS($1:19)),))</f>
        <v>Chênh lệch tỷ giá</v>
      </c>
      <c r="E35" s="922" t="str">
        <f ca="1">IF(ROWS($1:19)&gt;COUNT(Dong14),"",IF(OFFSET(TH!N$1,SMALL(Dong14,ROWS($1:19)),)="131",OFFSET(TH!O$1,SMALL(Dong14,ROWS($1:19)),),OFFSET(TH!N$1,SMALL(Dong14,ROWS($1:19)),)))</f>
        <v>515</v>
      </c>
      <c r="F35" s="922">
        <f ca="1">IF(ROWS($1:19)&gt;COUNT(Dong14),0,OFFSET(TH!L$1,SMALL(Dong14,ROWS($1:19)),))</f>
        <v>0</v>
      </c>
      <c r="G35" s="922"/>
      <c r="H35" s="923">
        <f ca="1">IF(ROWS($1:19)&gt;COUNT(Dong14),0,IF(OFFSET(TH!N$1,SMALL(Dong14,ROWS($1:19)),)="131",OFFSET(TH!K$1,SMALL(Dong14,ROWS($1:19)),),0))</f>
        <v>0</v>
      </c>
      <c r="I35" s="922">
        <f ca="1">IF(ROWS($1:19)&gt;COUNT(Dong14),0,IF(OFFSET(TH!N$1,SMALL(Dong14,ROWS($1:19)),)="131",OFFSET(TH!M$1,SMALL(Dong14,ROWS($1:19)),),0))</f>
        <v>4135875</v>
      </c>
      <c r="J35" s="923">
        <f ca="1">IF(ROWS($1:19)&gt;COUNT(Dong14),0,IF(OFFSET(TH!O$1,SMALL(Dong14,ROWS($1:19)),)="131",OFFSET(TH!K$1,SMALL(Dong14,ROWS($1:19)),),0))</f>
        <v>0</v>
      </c>
      <c r="K35" s="922">
        <f ca="1">IF(ROWS($1:19)&gt;COUNT(Dong14),0,IF(OFFSET(TH!O$1,SMALL(Dong14,ROWS($1:19)),)="131",OFFSET(TH!M$1,SMALL(Dong14,ROWS($1:19)),),0))</f>
        <v>0</v>
      </c>
      <c r="L35" s="916">
        <f ca="1">IF(D35&lt;&gt;"",ROUND(MAX(L34+H35-J35-N34,0),2),0)</f>
        <v>171</v>
      </c>
      <c r="M35" s="915">
        <f ca="1">IF(D35&lt;&gt;"",MAX(M34-O34+I35-K35,0),0)</f>
        <v>3809880</v>
      </c>
      <c r="N35" s="916">
        <f ca="1">IF(D35&lt;&gt;"",ROUND(MAX(N34+J35-H35-L34,0),2),0)</f>
        <v>0</v>
      </c>
      <c r="O35" s="915">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4" t="str">
        <f ca="1">IF(ROWS($1:20)&gt;COUNT(Dong14),"",OFFSET(TH!F$1,SMALL(Dong14,ROWS($1:20)),))</f>
        <v/>
      </c>
      <c r="E36" s="922" t="str">
        <f ca="1">IF(ROWS($1:20)&gt;COUNT(Dong14),"",IF(OFFSET(TH!N$1,SMALL(Dong14,ROWS($1:20)),)="131",OFFSET(TH!O$1,SMALL(Dong14,ROWS($1:20)),),OFFSET(TH!N$1,SMALL(Dong14,ROWS($1:20)),)))</f>
        <v/>
      </c>
      <c r="F36" s="922">
        <f ca="1">IF(ROWS($1:20)&gt;COUNT(Dong14),0,OFFSET(TH!L$1,SMALL(Dong14,ROWS($1:20)),))</f>
        <v>0</v>
      </c>
      <c r="G36" s="922"/>
      <c r="H36" s="923">
        <f ca="1">IF(ROWS($1:20)&gt;COUNT(Dong14),0,IF(OFFSET(TH!N$1,SMALL(Dong14,ROWS($1:20)),)="131",OFFSET(TH!K$1,SMALL(Dong14,ROWS($1:20)),),0))</f>
        <v>0</v>
      </c>
      <c r="I36" s="922">
        <f ca="1">IF(ROWS($1:20)&gt;COUNT(Dong14),0,IF(OFFSET(TH!N$1,SMALL(Dong14,ROWS($1:20)),)="131",OFFSET(TH!M$1,SMALL(Dong14,ROWS($1:20)),),0))</f>
        <v>0</v>
      </c>
      <c r="J36" s="923">
        <f ca="1">IF(ROWS($1:20)&gt;COUNT(Dong14),0,IF(OFFSET(TH!O$1,SMALL(Dong14,ROWS($1:20)),)="131",OFFSET(TH!K$1,SMALL(Dong14,ROWS($1:20)),),0))</f>
        <v>0</v>
      </c>
      <c r="K36" s="922">
        <f ca="1">IF(ROWS($1:20)&gt;COUNT(Dong14),0,IF(OFFSET(TH!O$1,SMALL(Dong14,ROWS($1:20)),)="131",OFFSET(TH!M$1,SMALL(Dong14,ROWS($1:20)),),0))</f>
        <v>0</v>
      </c>
      <c r="L36" s="916">
        <f ca="1">IF(D36&lt;&gt;"",ROUND(MAX(L35+H36-J36-N35,0),2),0)</f>
        <v>0</v>
      </c>
      <c r="M36" s="915">
        <f ca="1">IF(D36&lt;&gt;"",MAX(M35-O35+I36-K36,0),0)</f>
        <v>0</v>
      </c>
      <c r="N36" s="916">
        <f ca="1">IF(D36&lt;&gt;"",ROUND(MAX(N35+J36-H36-L35,0),2),0)</f>
        <v>0</v>
      </c>
      <c r="O36" s="915">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4" t="str">
        <f ca="1">IF(ROWS($1:21)&gt;COUNT(Dong14),"",OFFSET(TH!F$1,SMALL(Dong14,ROWS($1:21)),))</f>
        <v/>
      </c>
      <c r="E37" s="922" t="str">
        <f ca="1">IF(ROWS($1:21)&gt;COUNT(Dong14),"",IF(OFFSET(TH!N$1,SMALL(Dong14,ROWS($1:21)),)="131",OFFSET(TH!O$1,SMALL(Dong14,ROWS($1:21)),),OFFSET(TH!N$1,SMALL(Dong14,ROWS($1:21)),)))</f>
        <v/>
      </c>
      <c r="F37" s="922">
        <f ca="1">IF(ROWS($1:21)&gt;COUNT(Dong14),0,OFFSET(TH!L$1,SMALL(Dong14,ROWS($1:21)),))</f>
        <v>0</v>
      </c>
      <c r="G37" s="922"/>
      <c r="H37" s="923">
        <f ca="1">IF(ROWS($1:21)&gt;COUNT(Dong14),0,IF(OFFSET(TH!N$1,SMALL(Dong14,ROWS($1:21)),)="131",OFFSET(TH!K$1,SMALL(Dong14,ROWS($1:21)),),0))</f>
        <v>0</v>
      </c>
      <c r="I37" s="922">
        <f ca="1">IF(ROWS($1:21)&gt;COUNT(Dong14),0,IF(OFFSET(TH!N$1,SMALL(Dong14,ROWS($1:21)),)="131",OFFSET(TH!M$1,SMALL(Dong14,ROWS($1:21)),),0))</f>
        <v>0</v>
      </c>
      <c r="J37" s="923">
        <f ca="1">IF(ROWS($1:21)&gt;COUNT(Dong14),0,IF(OFFSET(TH!O$1,SMALL(Dong14,ROWS($1:21)),)="131",OFFSET(TH!K$1,SMALL(Dong14,ROWS($1:21)),),0))</f>
        <v>0</v>
      </c>
      <c r="K37" s="922">
        <f ca="1">IF(ROWS($1:21)&gt;COUNT(Dong14),0,IF(OFFSET(TH!O$1,SMALL(Dong14,ROWS($1:21)),)="131",OFFSET(TH!M$1,SMALL(Dong14,ROWS($1:21)),),0))</f>
        <v>0</v>
      </c>
      <c r="L37" s="916">
        <f ca="1">IF(D37&lt;&gt;"",ROUND(MAX(L36+H37-J37-N36,0),2),0)</f>
        <v>0</v>
      </c>
      <c r="M37" s="915">
        <f ca="1">IF(D37&lt;&gt;"",MAX(M36-O36+I37-K37,0),0)</f>
        <v>0</v>
      </c>
      <c r="N37" s="916">
        <f ca="1">IF(D37&lt;&gt;"",ROUND(MAX(N36+J37-H37-L36,0),2),0)</f>
        <v>0</v>
      </c>
      <c r="O37" s="915">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4" t="str">
        <f ca="1">IF(ROWS($1:22)&gt;COUNT(Dong14),"",OFFSET(TH!F$1,SMALL(Dong14,ROWS($1:22)),))</f>
        <v/>
      </c>
      <c r="E38" s="922" t="str">
        <f ca="1">IF(ROWS($1:22)&gt;COUNT(Dong14),"",IF(OFFSET(TH!N$1,SMALL(Dong14,ROWS($1:22)),)="131",OFFSET(TH!O$1,SMALL(Dong14,ROWS($1:22)),),OFFSET(TH!N$1,SMALL(Dong14,ROWS($1:22)),)))</f>
        <v/>
      </c>
      <c r="F38" s="922">
        <f ca="1">IF(ROWS($1:22)&gt;COUNT(Dong14),0,OFFSET(TH!L$1,SMALL(Dong14,ROWS($1:22)),))</f>
        <v>0</v>
      </c>
      <c r="G38" s="922"/>
      <c r="H38" s="923">
        <f ca="1">IF(ROWS($1:22)&gt;COUNT(Dong14),0,IF(OFFSET(TH!N$1,SMALL(Dong14,ROWS($1:22)),)="131",OFFSET(TH!K$1,SMALL(Dong14,ROWS($1:22)),),0))</f>
        <v>0</v>
      </c>
      <c r="I38" s="922">
        <f ca="1">IF(ROWS($1:22)&gt;COUNT(Dong14),0,IF(OFFSET(TH!N$1,SMALL(Dong14,ROWS($1:22)),)="131",OFFSET(TH!M$1,SMALL(Dong14,ROWS($1:22)),),0))</f>
        <v>0</v>
      </c>
      <c r="J38" s="923">
        <f ca="1">IF(ROWS($1:22)&gt;COUNT(Dong14),0,IF(OFFSET(TH!O$1,SMALL(Dong14,ROWS($1:22)),)="131",OFFSET(TH!K$1,SMALL(Dong14,ROWS($1:22)),),0))</f>
        <v>0</v>
      </c>
      <c r="K38" s="922">
        <f ca="1">IF(ROWS($1:22)&gt;COUNT(Dong14),0,IF(OFFSET(TH!O$1,SMALL(Dong14,ROWS($1:22)),)="131",OFFSET(TH!M$1,SMALL(Dong14,ROWS($1:22)),),0))</f>
        <v>0</v>
      </c>
      <c r="L38" s="916">
        <f ca="1">IF(D38&lt;&gt;"",ROUND(MAX(L37+H38-J38-N37,0),2),0)</f>
        <v>0</v>
      </c>
      <c r="M38" s="915">
        <f ca="1">IF(D38&lt;&gt;"",MAX(M37-O37+I38-K38,0),0)</f>
        <v>0</v>
      </c>
      <c r="N38" s="916">
        <f ca="1">IF(D38&lt;&gt;"",ROUND(MAX(N37+J38-H38-L37,0),2),0)</f>
        <v>0</v>
      </c>
      <c r="O38" s="915">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4" t="str">
        <f ca="1">IF(ROWS($1:23)&gt;COUNT(Dong14),"",OFFSET(TH!F$1,SMALL(Dong14,ROWS($1:23)),))</f>
        <v/>
      </c>
      <c r="E39" s="922" t="str">
        <f ca="1">IF(ROWS($1:23)&gt;COUNT(Dong14),"",IF(OFFSET(TH!N$1,SMALL(Dong14,ROWS($1:23)),)="131",OFFSET(TH!O$1,SMALL(Dong14,ROWS($1:23)),),OFFSET(TH!N$1,SMALL(Dong14,ROWS($1:23)),)))</f>
        <v/>
      </c>
      <c r="F39" s="922">
        <f ca="1">IF(ROWS($1:23)&gt;COUNT(Dong14),0,OFFSET(TH!L$1,SMALL(Dong14,ROWS($1:23)),))</f>
        <v>0</v>
      </c>
      <c r="G39" s="922"/>
      <c r="H39" s="923">
        <f ca="1">IF(ROWS($1:23)&gt;COUNT(Dong14),0,IF(OFFSET(TH!N$1,SMALL(Dong14,ROWS($1:23)),)="131",OFFSET(TH!K$1,SMALL(Dong14,ROWS($1:23)),),0))</f>
        <v>0</v>
      </c>
      <c r="I39" s="922">
        <f ca="1">IF(ROWS($1:23)&gt;COUNT(Dong14),0,IF(OFFSET(TH!N$1,SMALL(Dong14,ROWS($1:23)),)="131",OFFSET(TH!M$1,SMALL(Dong14,ROWS($1:23)),),0))</f>
        <v>0</v>
      </c>
      <c r="J39" s="923">
        <f ca="1">IF(ROWS($1:23)&gt;COUNT(Dong14),0,IF(OFFSET(TH!O$1,SMALL(Dong14,ROWS($1:23)),)="131",OFFSET(TH!K$1,SMALL(Dong14,ROWS($1:23)),),0))</f>
        <v>0</v>
      </c>
      <c r="K39" s="922">
        <f ca="1">IF(ROWS($1:23)&gt;COUNT(Dong14),0,IF(OFFSET(TH!O$1,SMALL(Dong14,ROWS($1:23)),)="131",OFFSET(TH!M$1,SMALL(Dong14,ROWS($1:23)),),0))</f>
        <v>0</v>
      </c>
      <c r="L39" s="916">
        <f t="shared" ca="1" si="1"/>
        <v>0</v>
      </c>
      <c r="M39" s="915">
        <f t="shared" ca="1" si="2"/>
        <v>0</v>
      </c>
      <c r="N39" s="916">
        <f t="shared" ca="1" si="3"/>
        <v>0</v>
      </c>
      <c r="O39" s="915">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4" t="str">
        <f ca="1">IF(ROWS($1:24)&gt;COUNT(Dong14),"",OFFSET(TH!F$1,SMALL(Dong14,ROWS($1:24)),))</f>
        <v/>
      </c>
      <c r="E40" s="922" t="str">
        <f ca="1">IF(ROWS($1:24)&gt;COUNT(Dong14),"",IF(OFFSET(TH!N$1,SMALL(Dong14,ROWS($1:24)),)="131",OFFSET(TH!O$1,SMALL(Dong14,ROWS($1:24)),),OFFSET(TH!N$1,SMALL(Dong14,ROWS($1:24)),)))</f>
        <v/>
      </c>
      <c r="F40" s="922">
        <f ca="1">IF(ROWS($1:24)&gt;COUNT(Dong14),0,OFFSET(TH!L$1,SMALL(Dong14,ROWS($1:24)),))</f>
        <v>0</v>
      </c>
      <c r="G40" s="922"/>
      <c r="H40" s="923">
        <f ca="1">IF(ROWS($1:24)&gt;COUNT(Dong14),0,IF(OFFSET(TH!N$1,SMALL(Dong14,ROWS($1:24)),)="131",OFFSET(TH!K$1,SMALL(Dong14,ROWS($1:24)),),0))</f>
        <v>0</v>
      </c>
      <c r="I40" s="922">
        <f ca="1">IF(ROWS($1:24)&gt;COUNT(Dong14),0,IF(OFFSET(TH!N$1,SMALL(Dong14,ROWS($1:24)),)="131",OFFSET(TH!M$1,SMALL(Dong14,ROWS($1:24)),),0))</f>
        <v>0</v>
      </c>
      <c r="J40" s="923">
        <f ca="1">IF(ROWS($1:24)&gt;COUNT(Dong14),0,IF(OFFSET(TH!O$1,SMALL(Dong14,ROWS($1:24)),)="131",OFFSET(TH!K$1,SMALL(Dong14,ROWS($1:24)),),0))</f>
        <v>0</v>
      </c>
      <c r="K40" s="922">
        <f ca="1">IF(ROWS($1:24)&gt;COUNT(Dong14),0,IF(OFFSET(TH!O$1,SMALL(Dong14,ROWS($1:24)),)="131",OFFSET(TH!M$1,SMALL(Dong14,ROWS($1:24)),),0))</f>
        <v>0</v>
      </c>
      <c r="L40" s="916">
        <f t="shared" ca="1" si="1"/>
        <v>0</v>
      </c>
      <c r="M40" s="915">
        <f t="shared" ca="1" si="2"/>
        <v>0</v>
      </c>
      <c r="N40" s="916">
        <f t="shared" ca="1" si="3"/>
        <v>0</v>
      </c>
      <c r="O40" s="915">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4" t="str">
        <f ca="1">IF(ROWS($1:25)&gt;COUNT(Dong14),"",OFFSET(TH!F$1,SMALL(Dong14,ROWS($1:25)),))</f>
        <v/>
      </c>
      <c r="E41" s="922" t="str">
        <f ca="1">IF(ROWS($1:25)&gt;COUNT(Dong14),"",IF(OFFSET(TH!N$1,SMALL(Dong14,ROWS($1:25)),)="131",OFFSET(TH!O$1,SMALL(Dong14,ROWS($1:25)),),OFFSET(TH!N$1,SMALL(Dong14,ROWS($1:25)),)))</f>
        <v/>
      </c>
      <c r="F41" s="922">
        <f ca="1">IF(ROWS($1:25)&gt;COUNT(Dong14),0,OFFSET(TH!L$1,SMALL(Dong14,ROWS($1:25)),))</f>
        <v>0</v>
      </c>
      <c r="G41" s="922"/>
      <c r="H41" s="923">
        <f ca="1">IF(ROWS($1:25)&gt;COUNT(Dong14),0,IF(OFFSET(TH!N$1,SMALL(Dong14,ROWS($1:25)),)="131",OFFSET(TH!K$1,SMALL(Dong14,ROWS($1:25)),),0))</f>
        <v>0</v>
      </c>
      <c r="I41" s="922">
        <f ca="1">IF(ROWS($1:25)&gt;COUNT(Dong14),0,IF(OFFSET(TH!N$1,SMALL(Dong14,ROWS($1:25)),)="131",OFFSET(TH!M$1,SMALL(Dong14,ROWS($1:25)),),0))</f>
        <v>0</v>
      </c>
      <c r="J41" s="923">
        <f ca="1">IF(ROWS($1:25)&gt;COUNT(Dong14),0,IF(OFFSET(TH!O$1,SMALL(Dong14,ROWS($1:25)),)="131",OFFSET(TH!K$1,SMALL(Dong14,ROWS($1:25)),),0))</f>
        <v>0</v>
      </c>
      <c r="K41" s="922">
        <f ca="1">IF(ROWS($1:25)&gt;COUNT(Dong14),0,IF(OFFSET(TH!O$1,SMALL(Dong14,ROWS($1:25)),)="131",OFFSET(TH!M$1,SMALL(Dong14,ROWS($1:25)),),0))</f>
        <v>0</v>
      </c>
      <c r="L41" s="916">
        <f t="shared" ca="1" si="1"/>
        <v>0</v>
      </c>
      <c r="M41" s="915">
        <f t="shared" ca="1" si="2"/>
        <v>0</v>
      </c>
      <c r="N41" s="916">
        <f t="shared" ca="1" si="3"/>
        <v>0</v>
      </c>
      <c r="O41" s="915">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4" t="str">
        <f ca="1">IF(ROWS($1:26)&gt;COUNT(Dong14),"",OFFSET(TH!F$1,SMALL(Dong14,ROWS($1:26)),))</f>
        <v/>
      </c>
      <c r="E42" s="922" t="str">
        <f ca="1">IF(ROWS($1:26)&gt;COUNT(Dong14),"",IF(OFFSET(TH!N$1,SMALL(Dong14,ROWS($1:26)),)="131",OFFSET(TH!O$1,SMALL(Dong14,ROWS($1:26)),),OFFSET(TH!N$1,SMALL(Dong14,ROWS($1:26)),)))</f>
        <v/>
      </c>
      <c r="F42" s="922">
        <f ca="1">IF(ROWS($1:26)&gt;COUNT(Dong14),0,OFFSET(TH!L$1,SMALL(Dong14,ROWS($1:26)),))</f>
        <v>0</v>
      </c>
      <c r="G42" s="922"/>
      <c r="H42" s="923">
        <f ca="1">IF(ROWS($1:26)&gt;COUNT(Dong14),0,IF(OFFSET(TH!N$1,SMALL(Dong14,ROWS($1:26)),)="131",OFFSET(TH!K$1,SMALL(Dong14,ROWS($1:26)),),0))</f>
        <v>0</v>
      </c>
      <c r="I42" s="922">
        <f ca="1">IF(ROWS($1:26)&gt;COUNT(Dong14),0,IF(OFFSET(TH!N$1,SMALL(Dong14,ROWS($1:26)),)="131",OFFSET(TH!M$1,SMALL(Dong14,ROWS($1:26)),),0))</f>
        <v>0</v>
      </c>
      <c r="J42" s="923">
        <f ca="1">IF(ROWS($1:26)&gt;COUNT(Dong14),0,IF(OFFSET(TH!O$1,SMALL(Dong14,ROWS($1:26)),)="131",OFFSET(TH!K$1,SMALL(Dong14,ROWS($1:26)),),0))</f>
        <v>0</v>
      </c>
      <c r="K42" s="922">
        <f ca="1">IF(ROWS($1:26)&gt;COUNT(Dong14),0,IF(OFFSET(TH!O$1,SMALL(Dong14,ROWS($1:26)),)="131",OFFSET(TH!M$1,SMALL(Dong14,ROWS($1:26)),),0))</f>
        <v>0</v>
      </c>
      <c r="L42" s="916">
        <f t="shared" ca="1" si="1"/>
        <v>0</v>
      </c>
      <c r="M42" s="915">
        <f t="shared" ca="1" si="2"/>
        <v>0</v>
      </c>
      <c r="N42" s="916">
        <f t="shared" ca="1" si="3"/>
        <v>0</v>
      </c>
      <c r="O42" s="915">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4" t="str">
        <f ca="1">IF(ROWS($1:27)&gt;COUNT(Dong14),"",OFFSET(TH!F$1,SMALL(Dong14,ROWS($1:27)),))</f>
        <v/>
      </c>
      <c r="E43" s="922" t="str">
        <f ca="1">IF(ROWS($1:27)&gt;COUNT(Dong14),"",IF(OFFSET(TH!N$1,SMALL(Dong14,ROWS($1:27)),)="131",OFFSET(TH!O$1,SMALL(Dong14,ROWS($1:27)),),OFFSET(TH!N$1,SMALL(Dong14,ROWS($1:27)),)))</f>
        <v/>
      </c>
      <c r="F43" s="922">
        <f ca="1">IF(ROWS($1:27)&gt;COUNT(Dong14),0,OFFSET(TH!L$1,SMALL(Dong14,ROWS($1:27)),))</f>
        <v>0</v>
      </c>
      <c r="G43" s="922"/>
      <c r="H43" s="923">
        <f ca="1">IF(ROWS($1:27)&gt;COUNT(Dong14),0,IF(OFFSET(TH!N$1,SMALL(Dong14,ROWS($1:27)),)="131",OFFSET(TH!K$1,SMALL(Dong14,ROWS($1:27)),),0))</f>
        <v>0</v>
      </c>
      <c r="I43" s="922">
        <f ca="1">IF(ROWS($1:27)&gt;COUNT(Dong14),0,IF(OFFSET(TH!N$1,SMALL(Dong14,ROWS($1:27)),)="131",OFFSET(TH!M$1,SMALL(Dong14,ROWS($1:27)),),0))</f>
        <v>0</v>
      </c>
      <c r="J43" s="923">
        <f ca="1">IF(ROWS($1:27)&gt;COUNT(Dong14),0,IF(OFFSET(TH!O$1,SMALL(Dong14,ROWS($1:27)),)="131",OFFSET(TH!K$1,SMALL(Dong14,ROWS($1:27)),),0))</f>
        <v>0</v>
      </c>
      <c r="K43" s="922">
        <f ca="1">IF(ROWS($1:27)&gt;COUNT(Dong14),0,IF(OFFSET(TH!O$1,SMALL(Dong14,ROWS($1:27)),)="131",OFFSET(TH!M$1,SMALL(Dong14,ROWS($1:27)),),0))</f>
        <v>0</v>
      </c>
      <c r="L43" s="916">
        <f t="shared" ca="1" si="1"/>
        <v>0</v>
      </c>
      <c r="M43" s="915">
        <f t="shared" ca="1" si="2"/>
        <v>0</v>
      </c>
      <c r="N43" s="916">
        <f t="shared" ca="1" si="3"/>
        <v>0</v>
      </c>
      <c r="O43" s="915">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4" t="str">
        <f ca="1">IF(ROWS($1:28)&gt;COUNT(Dong14),"",OFFSET(TH!F$1,SMALL(Dong14,ROWS($1:28)),))</f>
        <v/>
      </c>
      <c r="E44" s="922" t="str">
        <f ca="1">IF(ROWS($1:28)&gt;COUNT(Dong14),"",IF(OFFSET(TH!N$1,SMALL(Dong14,ROWS($1:28)),)="131",OFFSET(TH!O$1,SMALL(Dong14,ROWS($1:28)),),OFFSET(TH!N$1,SMALL(Dong14,ROWS($1:28)),)))</f>
        <v/>
      </c>
      <c r="F44" s="922">
        <f ca="1">IF(ROWS($1:28)&gt;COUNT(Dong14),0,OFFSET(TH!L$1,SMALL(Dong14,ROWS($1:28)),))</f>
        <v>0</v>
      </c>
      <c r="G44" s="922"/>
      <c r="H44" s="923">
        <f ca="1">IF(ROWS($1:28)&gt;COUNT(Dong14),0,IF(OFFSET(TH!N$1,SMALL(Dong14,ROWS($1:28)),)="131",OFFSET(TH!K$1,SMALL(Dong14,ROWS($1:28)),),0))</f>
        <v>0</v>
      </c>
      <c r="I44" s="922">
        <f ca="1">IF(ROWS($1:28)&gt;COUNT(Dong14),0,IF(OFFSET(TH!N$1,SMALL(Dong14,ROWS($1:28)),)="131",OFFSET(TH!M$1,SMALL(Dong14,ROWS($1:28)),),0))</f>
        <v>0</v>
      </c>
      <c r="J44" s="923">
        <f ca="1">IF(ROWS($1:28)&gt;COUNT(Dong14),0,IF(OFFSET(TH!O$1,SMALL(Dong14,ROWS($1:28)),)="131",OFFSET(TH!K$1,SMALL(Dong14,ROWS($1:28)),),0))</f>
        <v>0</v>
      </c>
      <c r="K44" s="922">
        <f ca="1">IF(ROWS($1:28)&gt;COUNT(Dong14),0,IF(OFFSET(TH!O$1,SMALL(Dong14,ROWS($1:28)),)="131",OFFSET(TH!M$1,SMALL(Dong14,ROWS($1:28)),),0))</f>
        <v>0</v>
      </c>
      <c r="L44" s="916">
        <f t="shared" ca="1" si="1"/>
        <v>0</v>
      </c>
      <c r="M44" s="915">
        <f t="shared" ca="1" si="2"/>
        <v>0</v>
      </c>
      <c r="N44" s="916">
        <f t="shared" ca="1" si="3"/>
        <v>0</v>
      </c>
      <c r="O44" s="915">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4" t="str">
        <f ca="1">IF(ROWS($1:29)&gt;COUNT(Dong14),"",OFFSET(TH!F$1,SMALL(Dong14,ROWS($1:29)),))</f>
        <v/>
      </c>
      <c r="E45" s="922" t="str">
        <f ca="1">IF(ROWS($1:29)&gt;COUNT(Dong14),"",IF(OFFSET(TH!N$1,SMALL(Dong14,ROWS($1:29)),)="131",OFFSET(TH!O$1,SMALL(Dong14,ROWS($1:29)),),OFFSET(TH!N$1,SMALL(Dong14,ROWS($1:29)),)))</f>
        <v/>
      </c>
      <c r="F45" s="922">
        <f ca="1">IF(ROWS($1:29)&gt;COUNT(Dong14),0,OFFSET(TH!L$1,SMALL(Dong14,ROWS($1:29)),))</f>
        <v>0</v>
      </c>
      <c r="G45" s="922"/>
      <c r="H45" s="923">
        <f ca="1">IF(ROWS($1:29)&gt;COUNT(Dong14),0,IF(OFFSET(TH!N$1,SMALL(Dong14,ROWS($1:29)),)="131",OFFSET(TH!K$1,SMALL(Dong14,ROWS($1:29)),),0))</f>
        <v>0</v>
      </c>
      <c r="I45" s="922">
        <f ca="1">IF(ROWS($1:29)&gt;COUNT(Dong14),0,IF(OFFSET(TH!N$1,SMALL(Dong14,ROWS($1:29)),)="131",OFFSET(TH!M$1,SMALL(Dong14,ROWS($1:29)),),0))</f>
        <v>0</v>
      </c>
      <c r="J45" s="923">
        <f ca="1">IF(ROWS($1:29)&gt;COUNT(Dong14),0,IF(OFFSET(TH!O$1,SMALL(Dong14,ROWS($1:29)),)="131",OFFSET(TH!K$1,SMALL(Dong14,ROWS($1:29)),),0))</f>
        <v>0</v>
      </c>
      <c r="K45" s="922">
        <f ca="1">IF(ROWS($1:29)&gt;COUNT(Dong14),0,IF(OFFSET(TH!O$1,SMALL(Dong14,ROWS($1:29)),)="131",OFFSET(TH!M$1,SMALL(Dong14,ROWS($1:29)),),0))</f>
        <v>0</v>
      </c>
      <c r="L45" s="916">
        <f t="shared" ca="1" si="1"/>
        <v>0</v>
      </c>
      <c r="M45" s="915">
        <f t="shared" ca="1" si="2"/>
        <v>0</v>
      </c>
      <c r="N45" s="916">
        <f t="shared" ca="1" si="3"/>
        <v>0</v>
      </c>
      <c r="O45" s="915">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4" t="str">
        <f ca="1">IF(ROWS($1:30)&gt;COUNT(Dong14),"",OFFSET(TH!F$1,SMALL(Dong14,ROWS($1:30)),))</f>
        <v/>
      </c>
      <c r="E46" s="922" t="str">
        <f ca="1">IF(ROWS($1:30)&gt;COUNT(Dong14),"",IF(OFFSET(TH!N$1,SMALL(Dong14,ROWS($1:30)),)="131",OFFSET(TH!O$1,SMALL(Dong14,ROWS($1:30)),),OFFSET(TH!N$1,SMALL(Dong14,ROWS($1:30)),)))</f>
        <v/>
      </c>
      <c r="F46" s="922">
        <f ca="1">IF(ROWS($1:30)&gt;COUNT(Dong14),0,OFFSET(TH!L$1,SMALL(Dong14,ROWS($1:30)),))</f>
        <v>0</v>
      </c>
      <c r="G46" s="922"/>
      <c r="H46" s="923">
        <f ca="1">IF(ROWS($1:30)&gt;COUNT(Dong14),0,IF(OFFSET(TH!N$1,SMALL(Dong14,ROWS($1:30)),)="131",OFFSET(TH!K$1,SMALL(Dong14,ROWS($1:30)),),0))</f>
        <v>0</v>
      </c>
      <c r="I46" s="922">
        <f ca="1">IF(ROWS($1:30)&gt;COUNT(Dong14),0,IF(OFFSET(TH!N$1,SMALL(Dong14,ROWS($1:30)),)="131",OFFSET(TH!M$1,SMALL(Dong14,ROWS($1:30)),),0))</f>
        <v>0</v>
      </c>
      <c r="J46" s="923">
        <f ca="1">IF(ROWS($1:30)&gt;COUNT(Dong14),0,IF(OFFSET(TH!O$1,SMALL(Dong14,ROWS($1:30)),)="131",OFFSET(TH!K$1,SMALL(Dong14,ROWS($1:30)),),0))</f>
        <v>0</v>
      </c>
      <c r="K46" s="922">
        <f ca="1">IF(ROWS($1:30)&gt;COUNT(Dong14),0,IF(OFFSET(TH!O$1,SMALL(Dong14,ROWS($1:30)),)="131",OFFSET(TH!M$1,SMALL(Dong14,ROWS($1:30)),),0))</f>
        <v>0</v>
      </c>
      <c r="L46" s="916">
        <f t="shared" ca="1" si="1"/>
        <v>0</v>
      </c>
      <c r="M46" s="915">
        <f t="shared" ca="1" si="2"/>
        <v>0</v>
      </c>
      <c r="N46" s="916">
        <f t="shared" ca="1" si="3"/>
        <v>0</v>
      </c>
      <c r="O46" s="915">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4" t="str">
        <f ca="1">IF(ROWS($1:31)&gt;COUNT(Dong14),"",OFFSET(TH!F$1,SMALL(Dong14,ROWS($1:31)),))</f>
        <v/>
      </c>
      <c r="E47" s="922" t="str">
        <f ca="1">IF(ROWS($1:31)&gt;COUNT(Dong14),"",IF(OFFSET(TH!N$1,SMALL(Dong14,ROWS($1:31)),)="131",OFFSET(TH!O$1,SMALL(Dong14,ROWS($1:31)),),OFFSET(TH!N$1,SMALL(Dong14,ROWS($1:31)),)))</f>
        <v/>
      </c>
      <c r="F47" s="922">
        <f ca="1">IF(ROWS($1:31)&gt;COUNT(Dong14),0,OFFSET(TH!L$1,SMALL(Dong14,ROWS($1:31)),))</f>
        <v>0</v>
      </c>
      <c r="G47" s="922"/>
      <c r="H47" s="923">
        <f ca="1">IF(ROWS($1:31)&gt;COUNT(Dong14),0,IF(OFFSET(TH!N$1,SMALL(Dong14,ROWS($1:31)),)="131",OFFSET(TH!K$1,SMALL(Dong14,ROWS($1:31)),),0))</f>
        <v>0</v>
      </c>
      <c r="I47" s="922">
        <f ca="1">IF(ROWS($1:31)&gt;COUNT(Dong14),0,IF(OFFSET(TH!N$1,SMALL(Dong14,ROWS($1:31)),)="131",OFFSET(TH!M$1,SMALL(Dong14,ROWS($1:31)),),0))</f>
        <v>0</v>
      </c>
      <c r="J47" s="923">
        <f ca="1">IF(ROWS($1:31)&gt;COUNT(Dong14),0,IF(OFFSET(TH!O$1,SMALL(Dong14,ROWS($1:31)),)="131",OFFSET(TH!K$1,SMALL(Dong14,ROWS($1:31)),),0))</f>
        <v>0</v>
      </c>
      <c r="K47" s="922">
        <f ca="1">IF(ROWS($1:31)&gt;COUNT(Dong14),0,IF(OFFSET(TH!O$1,SMALL(Dong14,ROWS($1:31)),)="131",OFFSET(TH!M$1,SMALL(Dong14,ROWS($1:31)),),0))</f>
        <v>0</v>
      </c>
      <c r="L47" s="916">
        <f t="shared" ca="1" si="1"/>
        <v>0</v>
      </c>
      <c r="M47" s="915">
        <f t="shared" ca="1" si="2"/>
        <v>0</v>
      </c>
      <c r="N47" s="916">
        <f t="shared" ca="1" si="3"/>
        <v>0</v>
      </c>
      <c r="O47" s="915">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4" t="str">
        <f ca="1">IF(ROWS($1:32)&gt;COUNT(Dong14),"",OFFSET(TH!F$1,SMALL(Dong14,ROWS($1:32)),))</f>
        <v/>
      </c>
      <c r="E48" s="922" t="str">
        <f ca="1">IF(ROWS($1:32)&gt;COUNT(Dong14),"",IF(OFFSET(TH!N$1,SMALL(Dong14,ROWS($1:32)),)="131",OFFSET(TH!O$1,SMALL(Dong14,ROWS($1:32)),),OFFSET(TH!N$1,SMALL(Dong14,ROWS($1:32)),)))</f>
        <v/>
      </c>
      <c r="F48" s="922">
        <f ca="1">IF(ROWS($1:32)&gt;COUNT(Dong14),0,OFFSET(TH!L$1,SMALL(Dong14,ROWS($1:32)),))</f>
        <v>0</v>
      </c>
      <c r="G48" s="922"/>
      <c r="H48" s="923">
        <f ca="1">IF(ROWS($1:32)&gt;COUNT(Dong14),0,IF(OFFSET(TH!N$1,SMALL(Dong14,ROWS($1:32)),)="131",OFFSET(TH!K$1,SMALL(Dong14,ROWS($1:32)),),0))</f>
        <v>0</v>
      </c>
      <c r="I48" s="922">
        <f ca="1">IF(ROWS($1:32)&gt;COUNT(Dong14),0,IF(OFFSET(TH!N$1,SMALL(Dong14,ROWS($1:32)),)="131",OFFSET(TH!M$1,SMALL(Dong14,ROWS($1:32)),),0))</f>
        <v>0</v>
      </c>
      <c r="J48" s="923">
        <f ca="1">IF(ROWS($1:32)&gt;COUNT(Dong14),0,IF(OFFSET(TH!O$1,SMALL(Dong14,ROWS($1:32)),)="131",OFFSET(TH!K$1,SMALL(Dong14,ROWS($1:32)),),0))</f>
        <v>0</v>
      </c>
      <c r="K48" s="922">
        <f ca="1">IF(ROWS($1:32)&gt;COUNT(Dong14),0,IF(OFFSET(TH!O$1,SMALL(Dong14,ROWS($1:32)),)="131",OFFSET(TH!M$1,SMALL(Dong14,ROWS($1:32)),),0))</f>
        <v>0</v>
      </c>
      <c r="L48" s="916">
        <f t="shared" ca="1" si="1"/>
        <v>0</v>
      </c>
      <c r="M48" s="915">
        <f t="shared" ca="1" si="2"/>
        <v>0</v>
      </c>
      <c r="N48" s="916">
        <f t="shared" ca="1" si="3"/>
        <v>0</v>
      </c>
      <c r="O48" s="915">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4" t="str">
        <f ca="1">IF(ROWS($1:33)&gt;COUNT(Dong14),"",OFFSET(TH!F$1,SMALL(Dong14,ROWS($1:33)),))</f>
        <v/>
      </c>
      <c r="E49" s="922" t="str">
        <f ca="1">IF(ROWS($1:33)&gt;COUNT(Dong14),"",IF(OFFSET(TH!N$1,SMALL(Dong14,ROWS($1:33)),)="131",OFFSET(TH!O$1,SMALL(Dong14,ROWS($1:33)),),OFFSET(TH!N$1,SMALL(Dong14,ROWS($1:33)),)))</f>
        <v/>
      </c>
      <c r="F49" s="922">
        <f ca="1">IF(ROWS($1:33)&gt;COUNT(Dong14),0,OFFSET(TH!L$1,SMALL(Dong14,ROWS($1:33)),))</f>
        <v>0</v>
      </c>
      <c r="G49" s="922"/>
      <c r="H49" s="923">
        <f ca="1">IF(ROWS($1:33)&gt;COUNT(Dong14),0,IF(OFFSET(TH!N$1,SMALL(Dong14,ROWS($1:33)),)="131",OFFSET(TH!K$1,SMALL(Dong14,ROWS($1:33)),),0))</f>
        <v>0</v>
      </c>
      <c r="I49" s="922">
        <f ca="1">IF(ROWS($1:33)&gt;COUNT(Dong14),0,IF(OFFSET(TH!N$1,SMALL(Dong14,ROWS($1:33)),)="131",OFFSET(TH!M$1,SMALL(Dong14,ROWS($1:33)),),0))</f>
        <v>0</v>
      </c>
      <c r="J49" s="923">
        <f ca="1">IF(ROWS($1:33)&gt;COUNT(Dong14),0,IF(OFFSET(TH!O$1,SMALL(Dong14,ROWS($1:33)),)="131",OFFSET(TH!K$1,SMALL(Dong14,ROWS($1:33)),),0))</f>
        <v>0</v>
      </c>
      <c r="K49" s="922">
        <f ca="1">IF(ROWS($1:33)&gt;COUNT(Dong14),0,IF(OFFSET(TH!O$1,SMALL(Dong14,ROWS($1:33)),)="131",OFFSET(TH!M$1,SMALL(Dong14,ROWS($1:33)),),0))</f>
        <v>0</v>
      </c>
      <c r="L49" s="916">
        <f t="shared" ca="1" si="1"/>
        <v>0</v>
      </c>
      <c r="M49" s="915">
        <f t="shared" ca="1" si="2"/>
        <v>0</v>
      </c>
      <c r="N49" s="916">
        <f t="shared" ca="1" si="3"/>
        <v>0</v>
      </c>
      <c r="O49" s="915">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4" t="str">
        <f ca="1">IF(ROWS($1:34)&gt;COUNT(Dong14),"",OFFSET(TH!F$1,SMALL(Dong14,ROWS($1:34)),))</f>
        <v/>
      </c>
      <c r="E50" s="922" t="str">
        <f ca="1">IF(ROWS($1:34)&gt;COUNT(Dong14),"",IF(OFFSET(TH!N$1,SMALL(Dong14,ROWS($1:34)),)="131",OFFSET(TH!O$1,SMALL(Dong14,ROWS($1:34)),),OFFSET(TH!N$1,SMALL(Dong14,ROWS($1:34)),)))</f>
        <v/>
      </c>
      <c r="F50" s="922">
        <f ca="1">IF(ROWS($1:34)&gt;COUNT(Dong14),0,OFFSET(TH!L$1,SMALL(Dong14,ROWS($1:34)),))</f>
        <v>0</v>
      </c>
      <c r="G50" s="922"/>
      <c r="H50" s="923">
        <f ca="1">IF(ROWS($1:34)&gt;COUNT(Dong14),0,IF(OFFSET(TH!N$1,SMALL(Dong14,ROWS($1:34)),)="131",OFFSET(TH!K$1,SMALL(Dong14,ROWS($1:34)),),0))</f>
        <v>0</v>
      </c>
      <c r="I50" s="922">
        <f ca="1">IF(ROWS($1:34)&gt;COUNT(Dong14),0,IF(OFFSET(TH!N$1,SMALL(Dong14,ROWS($1:34)),)="131",OFFSET(TH!M$1,SMALL(Dong14,ROWS($1:34)),),0))</f>
        <v>0</v>
      </c>
      <c r="J50" s="923">
        <f ca="1">IF(ROWS($1:34)&gt;COUNT(Dong14),0,IF(OFFSET(TH!O$1,SMALL(Dong14,ROWS($1:34)),)="131",OFFSET(TH!K$1,SMALL(Dong14,ROWS($1:34)),),0))</f>
        <v>0</v>
      </c>
      <c r="K50" s="922">
        <f ca="1">IF(ROWS($1:34)&gt;COUNT(Dong14),0,IF(OFFSET(TH!O$1,SMALL(Dong14,ROWS($1:34)),)="131",OFFSET(TH!M$1,SMALL(Dong14,ROWS($1:34)),),0))</f>
        <v>0</v>
      </c>
      <c r="L50" s="916">
        <f t="shared" ca="1" si="1"/>
        <v>0</v>
      </c>
      <c r="M50" s="915">
        <f t="shared" ca="1" si="2"/>
        <v>0</v>
      </c>
      <c r="N50" s="916">
        <f t="shared" ca="1" si="3"/>
        <v>0</v>
      </c>
      <c r="O50" s="915">
        <f t="shared" ca="1" si="4"/>
        <v>0</v>
      </c>
    </row>
    <row r="51" spans="1:15" s="5" customFormat="1" ht="16.5" customHeight="1">
      <c r="A51" s="227" t="str">
        <f t="shared" si="0"/>
        <v/>
      </c>
      <c r="B51" s="920"/>
      <c r="C51" s="920"/>
      <c r="D51" s="921"/>
      <c r="E51" s="920"/>
      <c r="F51" s="919"/>
      <c r="G51" s="917"/>
      <c r="H51" s="918"/>
      <c r="I51" s="915"/>
      <c r="J51" s="918"/>
      <c r="K51" s="917"/>
      <c r="L51" s="916"/>
      <c r="M51" s="915"/>
      <c r="N51" s="916"/>
      <c r="O51" s="915"/>
    </row>
    <row r="52" spans="1:15" s="5" customFormat="1" ht="16.5" customHeight="1">
      <c r="A52" s="914"/>
      <c r="B52" s="914"/>
      <c r="C52" s="914"/>
      <c r="D52" s="913" t="s">
        <v>35</v>
      </c>
      <c r="E52" s="912" t="s">
        <v>21</v>
      </c>
      <c r="F52" s="912"/>
      <c r="G52" s="909" t="s">
        <v>21</v>
      </c>
      <c r="H52" s="910">
        <f ca="1">SUM(H17:H51)</f>
        <v>208335</v>
      </c>
      <c r="I52" s="909">
        <f ca="1">SUM(I17:I51)</f>
        <v>4640606700</v>
      </c>
      <c r="J52" s="911">
        <f ca="1">SUM(J17:J51)</f>
        <v>213383.64</v>
      </c>
      <c r="K52" s="909">
        <f ca="1">ROUND(SUM(K17:K51),0)</f>
        <v>4759898654</v>
      </c>
      <c r="L52" s="910" t="s">
        <v>21</v>
      </c>
      <c r="M52" s="909" t="s">
        <v>21</v>
      </c>
      <c r="N52" s="909" t="s">
        <v>21</v>
      </c>
      <c r="O52" s="909" t="s">
        <v>21</v>
      </c>
    </row>
    <row r="53" spans="1:15" s="5" customFormat="1" ht="16.5" customHeight="1">
      <c r="A53" s="914"/>
      <c r="B53" s="914"/>
      <c r="C53" s="914"/>
      <c r="D53" s="913" t="s">
        <v>10</v>
      </c>
      <c r="E53" s="912" t="s">
        <v>21</v>
      </c>
      <c r="F53" s="912"/>
      <c r="G53" s="909" t="s">
        <v>21</v>
      </c>
      <c r="H53" s="910" t="s">
        <v>21</v>
      </c>
      <c r="I53" s="909" t="s">
        <v>21</v>
      </c>
      <c r="J53" s="911" t="s">
        <v>21</v>
      </c>
      <c r="K53" s="909" t="s">
        <v>21</v>
      </c>
      <c r="L53" s="910">
        <f ca="1">ROUND(MAX(L16+H52-N16-J52,0),2)</f>
        <v>171</v>
      </c>
      <c r="M53" s="909">
        <f ca="1">ROUND(MAX(M16+I52-O16-K52,0),0)</f>
        <v>3809880</v>
      </c>
      <c r="N53" s="909">
        <f ca="1">ROUND(MAX(N16+J52-L16-H52,0),2)</f>
        <v>0</v>
      </c>
      <c r="O53" s="909">
        <f ca="1">ROUND(MAX(O16+K52-M16-I52,0),-1)</f>
        <v>0</v>
      </c>
    </row>
    <row r="54" spans="1:15" s="5" customFormat="1" ht="15">
      <c r="A54" s="228" t="s">
        <v>494</v>
      </c>
      <c r="B54" s="4"/>
      <c r="C54" s="4"/>
      <c r="E54" s="4"/>
      <c r="F54" s="873"/>
      <c r="G54" s="906"/>
      <c r="H54" s="908"/>
      <c r="I54" s="906"/>
      <c r="J54" s="251"/>
      <c r="K54" s="906"/>
    </row>
    <row r="55" spans="1:15" s="5" customFormat="1" ht="15">
      <c r="A55" s="228" t="s">
        <v>189</v>
      </c>
      <c r="B55" s="4"/>
      <c r="C55" s="4"/>
      <c r="E55" s="4"/>
      <c r="F55" s="873"/>
      <c r="G55" s="906"/>
      <c r="H55" s="908"/>
      <c r="I55" s="906"/>
      <c r="J55" s="251"/>
      <c r="K55" s="906"/>
    </row>
    <row r="56" spans="1:15" s="5" customFormat="1" ht="15">
      <c r="A56" s="4"/>
      <c r="B56" s="4"/>
      <c r="C56" s="4"/>
      <c r="E56" s="4"/>
      <c r="F56" s="873"/>
      <c r="G56" s="906"/>
      <c r="H56" s="907"/>
      <c r="I56" s="906"/>
      <c r="J56" s="1248" t="s">
        <v>176</v>
      </c>
      <c r="K56" s="1248"/>
      <c r="L56" s="1248"/>
      <c r="M56" s="1248"/>
      <c r="N56" s="1248"/>
      <c r="O56" s="1248"/>
    </row>
    <row r="57" spans="1:15" s="5" customFormat="1" ht="15">
      <c r="A57" s="4"/>
      <c r="C57" s="4"/>
      <c r="D57" s="1103" t="s">
        <v>11</v>
      </c>
      <c r="E57" s="4"/>
      <c r="F57" s="873"/>
      <c r="G57" s="906"/>
      <c r="H57" s="907"/>
      <c r="I57" s="906"/>
      <c r="J57" s="251"/>
      <c r="K57" s="906"/>
      <c r="L57" s="1248" t="s">
        <v>12</v>
      </c>
      <c r="M57" s="1248"/>
    </row>
    <row r="58" spans="1:15" s="5" customFormat="1" ht="15">
      <c r="A58" s="4"/>
      <c r="C58" s="4"/>
      <c r="D58" s="1103" t="s">
        <v>13</v>
      </c>
      <c r="E58" s="4"/>
      <c r="F58" s="873"/>
      <c r="G58" s="906"/>
      <c r="H58" s="907"/>
      <c r="I58" s="906"/>
      <c r="J58" s="251"/>
      <c r="K58" s="906"/>
      <c r="L58" s="1248" t="s">
        <v>13</v>
      </c>
      <c r="M58" s="1248"/>
    </row>
    <row r="59" spans="1:15">
      <c r="D59" s="1137"/>
    </row>
    <row r="60" spans="1:15">
      <c r="D60" s="1137"/>
    </row>
    <row r="61" spans="1:15">
      <c r="D61" s="1137"/>
    </row>
    <row r="62" spans="1:15">
      <c r="D62" s="1137"/>
    </row>
    <row r="63" spans="1:15">
      <c r="D63" s="1137"/>
    </row>
    <row r="64" spans="1:15">
      <c r="D64" s="1137"/>
    </row>
    <row r="65" spans="3:4">
      <c r="D65" s="1137"/>
    </row>
    <row r="66" spans="3:4">
      <c r="C66" s="1106"/>
      <c r="D66" s="1106" t="s">
        <v>230</v>
      </c>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enableFormatConditionsCalculation="0">
    <tabColor rgb="FFFF0000"/>
  </sheetPr>
  <dimension ref="A1:I46"/>
  <sheetViews>
    <sheetView showZeros="0" workbookViewId="0">
      <pane ySplit="3" topLeftCell="A4" activePane="bottomLeft" state="frozen"/>
      <selection pane="bottomLeft" activeCell="E13" sqref="E13:F13"/>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73" t="s">
        <v>124</v>
      </c>
      <c r="B1" s="1273"/>
      <c r="C1" s="1273"/>
      <c r="D1" s="1273"/>
      <c r="E1" s="1273"/>
      <c r="F1" s="1273"/>
      <c r="G1" s="1273"/>
      <c r="H1" s="1273"/>
    </row>
    <row r="2" spans="1:8" s="10" customFormat="1" ht="14.25" customHeight="1">
      <c r="A2" s="1295" t="s">
        <v>37</v>
      </c>
      <c r="B2" s="1297" t="s">
        <v>38</v>
      </c>
      <c r="C2" s="1293" t="s">
        <v>39</v>
      </c>
      <c r="D2" s="1294"/>
      <c r="E2" s="1293" t="s">
        <v>40</v>
      </c>
      <c r="F2" s="1294"/>
      <c r="G2" s="1293" t="s">
        <v>44</v>
      </c>
      <c r="H2" s="1294"/>
    </row>
    <row r="3" spans="1:8" s="10" customFormat="1" ht="14.25" customHeight="1">
      <c r="A3" s="1296"/>
      <c r="B3" s="1298"/>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624</v>
      </c>
      <c r="C5" s="8">
        <v>0</v>
      </c>
      <c r="D5" s="8">
        <v>0</v>
      </c>
      <c r="E5" s="8">
        <f t="array" ref="E5">SUM(IF("331"&amp;B5=KHN&amp;KH,TH))</f>
        <v>9114999</v>
      </c>
      <c r="F5" s="8">
        <f t="array" ref="F5">SUM(IF("331"&amp;B5=KHC&amp;KH,TH))</f>
        <v>9114999</v>
      </c>
      <c r="G5" s="91">
        <f t="shared" si="0"/>
        <v>0</v>
      </c>
      <c r="H5" s="91">
        <f t="shared" si="1"/>
        <v>0</v>
      </c>
    </row>
    <row r="6" spans="1:8" s="10" customFormat="1" ht="16.5" customHeight="1">
      <c r="A6" s="6">
        <f t="shared" si="2"/>
        <v>3</v>
      </c>
      <c r="B6" s="7" t="s">
        <v>625</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4" t="s">
        <v>1441</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626</v>
      </c>
      <c r="C8" s="8">
        <v>0</v>
      </c>
      <c r="D8" s="8">
        <v>0</v>
      </c>
      <c r="E8" s="8">
        <f t="array" ref="E8">SUM(IF("331"&amp;B8=KHN&amp;KH,TH))</f>
        <v>0</v>
      </c>
      <c r="F8" s="8">
        <f t="array" ref="F8">SUM(IF("331"&amp;B8=KHC&amp;KH,TH))</f>
        <v>53511150</v>
      </c>
      <c r="G8" s="91">
        <f t="shared" si="0"/>
        <v>0</v>
      </c>
      <c r="H8" s="91">
        <f t="shared" si="1"/>
        <v>53511150</v>
      </c>
    </row>
    <row r="9" spans="1:8" s="10" customFormat="1" ht="16.5" customHeight="1">
      <c r="A9" s="6">
        <f t="shared" si="2"/>
        <v>6</v>
      </c>
      <c r="B9" s="77" t="s">
        <v>627</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628</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678</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679</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629</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1429</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1452</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630</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631</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1448</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632</v>
      </c>
      <c r="C19" s="8">
        <v>0</v>
      </c>
      <c r="D19" s="8">
        <v>0</v>
      </c>
      <c r="E19" s="8">
        <f t="array" ref="E19">SUM(IF("331"&amp;B19=KHN&amp;KH,TH))</f>
        <v>15147000</v>
      </c>
      <c r="F19" s="8">
        <f t="array" ref="F19">SUM(IF("331"&amp;B19=KHC&amp;KH,TH))</f>
        <v>15147000</v>
      </c>
      <c r="G19" s="91">
        <f t="shared" ref="G19:G24" si="5">ROUND(MAX(C19+E19-D19-F19,0),2)</f>
        <v>0</v>
      </c>
      <c r="H19" s="91">
        <f t="shared" ref="H19:H24" si="6">ROUND(MAX(D19+F19-C19-E19,0),2)</f>
        <v>0</v>
      </c>
    </row>
    <row r="20" spans="1:9" s="10" customFormat="1" ht="16.5" customHeight="1">
      <c r="A20" s="6">
        <f t="shared" ref="A20:A25" si="7">IF(B20&lt;&gt;"",ROW()-3,"")</f>
        <v>17</v>
      </c>
      <c r="B20" s="7" t="s">
        <v>633</v>
      </c>
      <c r="C20" s="8">
        <v>0</v>
      </c>
      <c r="D20" s="8">
        <v>124797985</v>
      </c>
      <c r="E20" s="8">
        <f t="array" ref="E20">SUM(IF("331"&amp;B20=KHN&amp;KH,TH))</f>
        <v>0</v>
      </c>
      <c r="F20" s="8">
        <f t="array" ref="F20">SUM(IF("331"&amp;B20=KHC&amp;KH,TH))</f>
        <v>13000000</v>
      </c>
      <c r="G20" s="91">
        <f t="shared" si="5"/>
        <v>0</v>
      </c>
      <c r="H20" s="91">
        <f t="shared" si="6"/>
        <v>137797985</v>
      </c>
    </row>
    <row r="21" spans="1:9" s="10" customFormat="1" ht="16.5" customHeight="1">
      <c r="A21" s="6">
        <f t="shared" si="7"/>
        <v>18</v>
      </c>
      <c r="B21" s="7" t="s">
        <v>634</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635</v>
      </c>
      <c r="C22" s="8">
        <v>0</v>
      </c>
      <c r="D22" s="8">
        <v>39198830</v>
      </c>
      <c r="E22" s="8">
        <f t="array" ref="E22">SUM(IF("331"&amp;B22=KHN&amp;KH,TH))</f>
        <v>280884616</v>
      </c>
      <c r="F22" s="8">
        <f t="array" ref="F22">SUM(IF("331"&amp;B22=KHC&amp;KH,TH))</f>
        <v>299676246</v>
      </c>
      <c r="G22" s="91">
        <f t="shared" si="5"/>
        <v>0</v>
      </c>
      <c r="H22" s="91">
        <f t="shared" si="6"/>
        <v>57990460</v>
      </c>
    </row>
    <row r="23" spans="1:9" s="10" customFormat="1" ht="16.5" customHeight="1">
      <c r="A23" s="6">
        <f t="shared" si="7"/>
        <v>20</v>
      </c>
      <c r="B23" s="7" t="s">
        <v>636</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637</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1186</v>
      </c>
      <c r="C25" s="8">
        <v>0</v>
      </c>
      <c r="D25" s="8">
        <v>0</v>
      </c>
      <c r="E25" s="8">
        <f t="array" ref="E25">SUM(IF("331"&amp;B25=KHN&amp;KH,TH))</f>
        <v>36900000</v>
      </c>
      <c r="F25" s="8">
        <f t="array" ref="F25">SUM(IF("331"&amp;B25=KHC&amp;KH,TH))</f>
        <v>36900000</v>
      </c>
      <c r="G25" s="91">
        <f>ROUND(MAX(C25+E25-D25-F25,0),2)</f>
        <v>0</v>
      </c>
      <c r="H25" s="91">
        <f>ROUND(MAX(D25+F25-C25-E25,0),2)</f>
        <v>0</v>
      </c>
    </row>
    <row r="26" spans="1:9" s="978" customFormat="1" ht="16.5" customHeight="1">
      <c r="A26" s="6">
        <f t="shared" ref="A26:A41" si="8">IF(B26&lt;&gt;"",ROW()-3,"")</f>
        <v>23</v>
      </c>
      <c r="B26" s="322" t="s">
        <v>1150</v>
      </c>
      <c r="C26" s="8"/>
      <c r="D26" s="8"/>
      <c r="E26" s="8">
        <f t="array" ref="E26">SUM(IF("331"&amp;B26=KHN&amp;KH,TH))</f>
        <v>0</v>
      </c>
      <c r="F26" s="8">
        <f t="array" ref="F26">SUM(IF("331"&amp;B26=KHC&amp;KH,TH))</f>
        <v>16269120</v>
      </c>
      <c r="G26" s="91">
        <f>ROUND(MAX(C26+E26-D26-F26,0),2)</f>
        <v>0</v>
      </c>
      <c r="H26" s="91">
        <f>ROUND(MAX(D26+F26-C26-E26,0),2)</f>
        <v>16269120</v>
      </c>
      <c r="I26" s="978" t="str">
        <f>IF(ISNA(VLOOKUP(B26,DSNL,6,0)),"",VLOOKUP(B26,DSNL,6,0))</f>
        <v/>
      </c>
    </row>
    <row r="27" spans="1:9" s="978" customFormat="1" ht="16.5" customHeight="1">
      <c r="A27" s="6">
        <f t="shared" si="8"/>
        <v>24</v>
      </c>
      <c r="B27" s="976" t="s">
        <v>429</v>
      </c>
      <c r="C27" s="972"/>
      <c r="D27" s="972"/>
      <c r="E27" s="972">
        <f t="array" ref="E27">SUM(IF("331"&amp;B27=KHN&amp;KH,TH))</f>
        <v>307423600</v>
      </c>
      <c r="F27" s="972">
        <f t="array" ref="F27">SUM(IF("331"&amp;B27=KHC&amp;KH,TH))</f>
        <v>307423600</v>
      </c>
      <c r="G27" s="977">
        <f t="shared" ref="G27:G41" si="9">ROUND(MAX(C27+E27-D27-F27,0),2)</f>
        <v>0</v>
      </c>
      <c r="H27" s="977">
        <f t="shared" ref="H27:H41" si="10">ROUND(MAX(D27+F27-C27-E27,0),2)</f>
        <v>0</v>
      </c>
      <c r="I27" s="978" t="str">
        <f t="shared" ref="I27:I41" si="11">IF(ISNA(VLOOKUP(B27,DSNL,6,0)),"",VLOOKUP(B27,DSNL,6,0))</f>
        <v>Hai</v>
      </c>
    </row>
    <row r="28" spans="1:9" s="978" customFormat="1" ht="16.5" customHeight="1">
      <c r="A28" s="6">
        <f t="shared" si="8"/>
        <v>25</v>
      </c>
      <c r="B28" s="976" t="s">
        <v>432</v>
      </c>
      <c r="C28" s="972"/>
      <c r="D28" s="972"/>
      <c r="E28" s="972">
        <f t="array" ref="E28">SUM(IF("331"&amp;B28=KHN&amp;KH,TH))</f>
        <v>416013200</v>
      </c>
      <c r="F28" s="972">
        <f t="array" ref="F28">SUM(IF("331"&amp;B28=KHC&amp;KH,TH))</f>
        <v>416013200</v>
      </c>
      <c r="G28" s="977">
        <f t="shared" si="9"/>
        <v>0</v>
      </c>
      <c r="H28" s="977">
        <f t="shared" si="10"/>
        <v>0</v>
      </c>
      <c r="I28" s="978" t="str">
        <f t="shared" si="11"/>
        <v>Hai</v>
      </c>
    </row>
    <row r="29" spans="1:9" s="978" customFormat="1" ht="16.5" customHeight="1">
      <c r="A29" s="6">
        <f t="shared" si="8"/>
        <v>26</v>
      </c>
      <c r="B29" s="976" t="s">
        <v>434</v>
      </c>
      <c r="C29" s="972"/>
      <c r="D29" s="972"/>
      <c r="E29" s="972">
        <f t="array" ref="E29">SUM(IF("331"&amp;B29=KHN&amp;KH,TH))</f>
        <v>519129200</v>
      </c>
      <c r="F29" s="972">
        <f t="array" ref="F29">SUM(IF("331"&amp;B29=KHC&amp;KH,TH))</f>
        <v>519129200</v>
      </c>
      <c r="G29" s="977">
        <f t="shared" si="9"/>
        <v>0</v>
      </c>
      <c r="H29" s="977">
        <f t="shared" si="10"/>
        <v>0</v>
      </c>
      <c r="I29" s="978" t="str">
        <f t="shared" si="11"/>
        <v>Hai</v>
      </c>
    </row>
    <row r="30" spans="1:9" s="978" customFormat="1" ht="16.5" customHeight="1">
      <c r="A30" s="6">
        <f t="shared" si="8"/>
        <v>27</v>
      </c>
      <c r="B30" s="976" t="s">
        <v>436</v>
      </c>
      <c r="C30" s="972"/>
      <c r="D30" s="972"/>
      <c r="E30" s="972">
        <f t="array" ref="E30">SUM(IF("331"&amp;B30=KHN&amp;KH,TH))</f>
        <v>519751200</v>
      </c>
      <c r="F30" s="972">
        <f t="array" ref="F30">SUM(IF("331"&amp;B30=KHC&amp;KH,TH))</f>
        <v>519751200</v>
      </c>
      <c r="G30" s="977">
        <f t="shared" si="9"/>
        <v>0</v>
      </c>
      <c r="H30" s="977">
        <f t="shared" si="10"/>
        <v>0</v>
      </c>
      <c r="I30" s="978" t="str">
        <f t="shared" si="11"/>
        <v>Hai</v>
      </c>
    </row>
    <row r="31" spans="1:9" s="978" customFormat="1" ht="16.5" customHeight="1">
      <c r="A31" s="6">
        <f t="shared" si="8"/>
        <v>28</v>
      </c>
      <c r="B31" s="976" t="s">
        <v>438</v>
      </c>
      <c r="C31" s="972"/>
      <c r="D31" s="972"/>
      <c r="E31" s="972">
        <f t="array" ref="E31">SUM(IF("331"&amp;B31=KHN&amp;KH,TH))</f>
        <v>405824800</v>
      </c>
      <c r="F31" s="972">
        <f t="array" ref="F31">SUM(IF("331"&amp;B31=KHC&amp;KH,TH))</f>
        <v>405824800</v>
      </c>
      <c r="G31" s="977">
        <f t="shared" si="9"/>
        <v>0</v>
      </c>
      <c r="H31" s="977">
        <f t="shared" si="10"/>
        <v>0</v>
      </c>
      <c r="I31" s="978" t="str">
        <f t="shared" si="11"/>
        <v>Hai</v>
      </c>
    </row>
    <row r="32" spans="1:9" s="978" customFormat="1" ht="16.5" customHeight="1">
      <c r="A32" s="6">
        <f t="shared" si="8"/>
        <v>29</v>
      </c>
      <c r="B32" s="976" t="s">
        <v>439</v>
      </c>
      <c r="C32" s="972"/>
      <c r="D32" s="972"/>
      <c r="E32" s="972">
        <f t="array" ref="E32">SUM(IF("331"&amp;B32=KHN&amp;KH,TH))</f>
        <v>377897600</v>
      </c>
      <c r="F32" s="972">
        <f t="array" ref="F32">SUM(IF("331"&amp;B32=KHC&amp;KH,TH))</f>
        <v>377897600</v>
      </c>
      <c r="G32" s="977">
        <f t="shared" si="9"/>
        <v>0</v>
      </c>
      <c r="H32" s="977">
        <f t="shared" si="10"/>
        <v>0</v>
      </c>
      <c r="I32" s="978" t="str">
        <f t="shared" si="11"/>
        <v>Hai</v>
      </c>
    </row>
    <row r="33" spans="1:9" s="978" customFormat="1" ht="16.5" customHeight="1">
      <c r="A33" s="6">
        <f t="shared" si="8"/>
        <v>30</v>
      </c>
      <c r="B33" s="976" t="s">
        <v>443</v>
      </c>
      <c r="C33" s="972"/>
      <c r="D33" s="972"/>
      <c r="E33" s="972">
        <f t="array" ref="E33">SUM(IF("331"&amp;B33=KHN&amp;KH,TH))</f>
        <v>101204400</v>
      </c>
      <c r="F33" s="972">
        <f t="array" ref="F33">SUM(IF("331"&amp;B33=KHC&amp;KH,TH))</f>
        <v>101204400</v>
      </c>
      <c r="G33" s="977">
        <f t="shared" si="9"/>
        <v>0</v>
      </c>
      <c r="H33" s="977">
        <f t="shared" si="10"/>
        <v>0</v>
      </c>
      <c r="I33" s="978" t="str">
        <f t="shared" si="11"/>
        <v>Hai</v>
      </c>
    </row>
    <row r="34" spans="1:9" s="978" customFormat="1" ht="16.5" customHeight="1">
      <c r="A34" s="6">
        <f t="shared" si="8"/>
        <v>31</v>
      </c>
      <c r="B34" s="976" t="s">
        <v>445</v>
      </c>
      <c r="C34" s="972"/>
      <c r="D34" s="972"/>
      <c r="E34" s="972">
        <f t="array" ref="E34">SUM(IF("331"&amp;B34=KHN&amp;KH,TH))</f>
        <v>314428000</v>
      </c>
      <c r="F34" s="972">
        <f t="array" ref="F34">SUM(IF("331"&amp;B34=KHC&amp;KH,TH))</f>
        <v>314428000</v>
      </c>
      <c r="G34" s="977">
        <f t="shared" si="9"/>
        <v>0</v>
      </c>
      <c r="H34" s="977">
        <f t="shared" si="10"/>
        <v>0</v>
      </c>
      <c r="I34" s="978" t="str">
        <f t="shared" si="11"/>
        <v>Hai</v>
      </c>
    </row>
    <row r="35" spans="1:9" s="978" customFormat="1" ht="16.5" customHeight="1">
      <c r="A35" s="6">
        <f t="shared" si="8"/>
        <v>32</v>
      </c>
      <c r="B35" s="976" t="s">
        <v>447</v>
      </c>
      <c r="C35" s="972"/>
      <c r="D35" s="972"/>
      <c r="E35" s="972">
        <f t="array" ref="E35">SUM(IF("331"&amp;B35=KHN&amp;KH,TH))</f>
        <v>102928000</v>
      </c>
      <c r="F35" s="972">
        <f t="array" ref="F35">SUM(IF("331"&amp;B35=KHC&amp;KH,TH))</f>
        <v>102928000</v>
      </c>
      <c r="G35" s="977">
        <f t="shared" si="9"/>
        <v>0</v>
      </c>
      <c r="H35" s="977">
        <f t="shared" si="10"/>
        <v>0</v>
      </c>
      <c r="I35" s="978" t="str">
        <f t="shared" si="11"/>
        <v>Hai</v>
      </c>
    </row>
    <row r="36" spans="1:9" s="978" customFormat="1" ht="16.5" customHeight="1">
      <c r="A36" s="6">
        <f t="shared" si="8"/>
        <v>33</v>
      </c>
      <c r="B36" s="976" t="s">
        <v>365</v>
      </c>
      <c r="C36" s="972"/>
      <c r="D36" s="972"/>
      <c r="E36" s="972">
        <f t="array" ref="E36">SUM(IF("331"&amp;B36=KHN&amp;KH,TH))</f>
        <v>171717000</v>
      </c>
      <c r="F36" s="972">
        <f t="array" ref="F36">SUM(IF("331"&amp;B36=KHC&amp;KH,TH))</f>
        <v>171717000</v>
      </c>
      <c r="G36" s="977">
        <f t="shared" si="9"/>
        <v>0</v>
      </c>
      <c r="H36" s="977">
        <f t="shared" si="10"/>
        <v>0</v>
      </c>
      <c r="I36" s="978" t="str">
        <f t="shared" si="11"/>
        <v>Tiền</v>
      </c>
    </row>
    <row r="37" spans="1:9" s="978" customFormat="1" ht="16.5" customHeight="1">
      <c r="A37" s="6">
        <f t="shared" si="8"/>
        <v>34</v>
      </c>
      <c r="B37" s="976" t="s">
        <v>347</v>
      </c>
      <c r="C37" s="972"/>
      <c r="D37" s="972"/>
      <c r="E37" s="972">
        <f t="array" ref="E37">SUM(IF("331"&amp;B37=KHN&amp;KH,TH))</f>
        <v>104155000</v>
      </c>
      <c r="F37" s="972">
        <f t="array" ref="F37">SUM(IF("331"&amp;B37=KHC&amp;KH,TH))</f>
        <v>104155000</v>
      </c>
      <c r="G37" s="977">
        <f t="shared" si="9"/>
        <v>0</v>
      </c>
      <c r="H37" s="977">
        <f t="shared" si="10"/>
        <v>0</v>
      </c>
      <c r="I37" s="978" t="str">
        <f t="shared" si="11"/>
        <v>Tiền</v>
      </c>
    </row>
    <row r="38" spans="1:9" s="978" customFormat="1" ht="16.5" customHeight="1">
      <c r="A38" s="6">
        <f t="shared" si="8"/>
        <v>35</v>
      </c>
      <c r="B38" s="976" t="s">
        <v>350</v>
      </c>
      <c r="C38" s="972"/>
      <c r="D38" s="972"/>
      <c r="E38" s="972">
        <f t="array" ref="E38">SUM(IF("331"&amp;B38=KHN&amp;KH,TH))</f>
        <v>101380000</v>
      </c>
      <c r="F38" s="972">
        <f t="array" ref="F38">SUM(IF("331"&amp;B38=KHC&amp;KH,TH))</f>
        <v>101380000</v>
      </c>
      <c r="G38" s="977">
        <f t="shared" si="9"/>
        <v>0</v>
      </c>
      <c r="H38" s="977">
        <f t="shared" si="10"/>
        <v>0</v>
      </c>
      <c r="I38" s="978" t="str">
        <f t="shared" si="11"/>
        <v>Tiền</v>
      </c>
    </row>
    <row r="39" spans="1:9" s="978" customFormat="1" ht="16.5" customHeight="1">
      <c r="A39" s="6">
        <f t="shared" si="8"/>
        <v>36</v>
      </c>
      <c r="B39" s="976" t="s">
        <v>362</v>
      </c>
      <c r="C39" s="972"/>
      <c r="D39" s="972"/>
      <c r="E39" s="972">
        <f t="array" ref="E39">SUM(IF("331"&amp;B39=KHN&amp;KH,TH))</f>
        <v>141858000</v>
      </c>
      <c r="F39" s="972">
        <f t="array" ref="F39">SUM(IF("331"&amp;B39=KHC&amp;KH,TH))</f>
        <v>141858000</v>
      </c>
      <c r="G39" s="977">
        <f t="shared" si="9"/>
        <v>0</v>
      </c>
      <c r="H39" s="977">
        <f t="shared" si="10"/>
        <v>0</v>
      </c>
      <c r="I39" s="978" t="str">
        <f t="shared" si="11"/>
        <v>Tiền</v>
      </c>
    </row>
    <row r="40" spans="1:9" s="978" customFormat="1" ht="16.5" customHeight="1">
      <c r="A40" s="6">
        <f t="shared" si="8"/>
        <v>37</v>
      </c>
      <c r="B40" s="976" t="s">
        <v>368</v>
      </c>
      <c r="C40" s="972"/>
      <c r="D40" s="972"/>
      <c r="E40" s="972">
        <f t="array" ref="E40">SUM(IF("331"&amp;B40=KHN&amp;KH,TH))</f>
        <v>72890000</v>
      </c>
      <c r="F40" s="972">
        <f t="array" ref="F40">SUM(IF("331"&amp;B40=KHC&amp;KH,TH))</f>
        <v>72890000</v>
      </c>
      <c r="G40" s="977">
        <f t="shared" si="9"/>
        <v>0</v>
      </c>
      <c r="H40" s="977">
        <f t="shared" si="10"/>
        <v>0</v>
      </c>
      <c r="I40" s="978" t="str">
        <f t="shared" si="11"/>
        <v>Tiền</v>
      </c>
    </row>
    <row r="41" spans="1:9" s="978" customFormat="1" ht="16.5" customHeight="1">
      <c r="A41" s="6" t="str">
        <f t="shared" si="8"/>
        <v/>
      </c>
      <c r="B41" s="976"/>
      <c r="C41" s="972"/>
      <c r="D41" s="972"/>
      <c r="E41" s="972">
        <f t="array" ref="E41">SUM(IF("331"&amp;B41=KHN&amp;KH,TH))</f>
        <v>0</v>
      </c>
      <c r="F41" s="972">
        <f t="array" ref="F41">SUM(IF("331"&amp;B41=KHC&amp;KH,TH))</f>
        <v>0</v>
      </c>
      <c r="G41" s="977">
        <f t="shared" si="9"/>
        <v>0</v>
      </c>
      <c r="H41" s="977">
        <f t="shared" si="10"/>
        <v>0</v>
      </c>
      <c r="I41" s="978" t="str">
        <f t="shared" si="11"/>
        <v/>
      </c>
    </row>
    <row r="42" spans="1:9" s="14" customFormat="1" ht="14.25" customHeight="1">
      <c r="A42" s="11"/>
      <c r="B42" s="12" t="s">
        <v>41</v>
      </c>
      <c r="C42" s="13">
        <f>SUM(C4:C41)</f>
        <v>60000000</v>
      </c>
      <c r="D42" s="13">
        <f>SUM(D4:D41)</f>
        <v>536953252</v>
      </c>
      <c r="E42" s="13">
        <f>SUM(E4:E41)</f>
        <v>4563525095</v>
      </c>
      <c r="F42" s="13">
        <f>SUM(F4:F41)</f>
        <v>4827250039</v>
      </c>
      <c r="G42" s="13">
        <f>SUM(G4:G41)</f>
        <v>0</v>
      </c>
      <c r="H42" s="13">
        <f>SUM(H4:H41)</f>
        <v>740678196</v>
      </c>
    </row>
    <row r="44" spans="1:9">
      <c r="E44" s="15"/>
      <c r="F44" s="15"/>
    </row>
    <row r="46" spans="1:9">
      <c r="E46" s="239"/>
      <c r="F46" s="239"/>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9" t="s">
        <v>49</v>
      </c>
      <c r="I1" s="1299"/>
      <c r="J1" s="1299"/>
    </row>
    <row r="2" spans="1:10" s="3" customFormat="1" ht="14.25" customHeight="1">
      <c r="A2" s="1" t="s">
        <v>15</v>
      </c>
      <c r="B2" s="16"/>
      <c r="C2" s="16"/>
      <c r="G2" s="17"/>
      <c r="H2" s="1300" t="s">
        <v>50</v>
      </c>
      <c r="I2" s="1300"/>
      <c r="J2" s="1300"/>
    </row>
    <row r="3" spans="1:10" s="3" customFormat="1" ht="14.25" customHeight="1">
      <c r="A3" s="4"/>
      <c r="B3" s="16"/>
      <c r="C3" s="16"/>
      <c r="G3" s="17"/>
      <c r="H3" s="1300"/>
      <c r="I3" s="1300"/>
      <c r="J3" s="1300"/>
    </row>
    <row r="4" spans="1:10" s="5" customFormat="1" ht="28.5" customHeight="1">
      <c r="A4" s="1306" t="s">
        <v>28</v>
      </c>
      <c r="B4" s="1306"/>
      <c r="C4" s="1306"/>
      <c r="D4" s="1306"/>
      <c r="E4" s="1306"/>
      <c r="F4" s="1306"/>
      <c r="G4" s="1306"/>
      <c r="H4" s="1306"/>
      <c r="I4" s="1306"/>
      <c r="J4" s="1306"/>
    </row>
    <row r="5" spans="1:10" s="18" customFormat="1" ht="14.25" customHeight="1">
      <c r="E5" s="19" t="s">
        <v>29</v>
      </c>
    </row>
    <row r="6" spans="1:10" s="18" customFormat="1" ht="14.25" customHeight="1">
      <c r="E6" s="19" t="s">
        <v>30</v>
      </c>
    </row>
    <row r="7" spans="1:10" s="18" customFormat="1" ht="14.25" customHeight="1">
      <c r="D7" s="20" t="s">
        <v>48</v>
      </c>
      <c r="E7" s="1301" t="s">
        <v>634</v>
      </c>
      <c r="F7" s="1301"/>
      <c r="G7" s="1301"/>
      <c r="H7" s="1301"/>
    </row>
    <row r="8" spans="1:10" s="18" customFormat="1" ht="14.25" customHeight="1">
      <c r="E8" s="19" t="s">
        <v>31</v>
      </c>
    </row>
    <row r="9" spans="1:10" s="18" customFormat="1" ht="6.75" customHeight="1">
      <c r="B9" s="19"/>
      <c r="C9" s="1302"/>
      <c r="D9" s="1302"/>
      <c r="E9" s="1302"/>
      <c r="F9" s="1302"/>
      <c r="G9" s="1302"/>
      <c r="H9" s="1302"/>
      <c r="I9" s="1302"/>
      <c r="J9" s="1302"/>
    </row>
    <row r="10" spans="1:10" s="18" customFormat="1" ht="14.25" customHeight="1">
      <c r="A10" s="1252" t="s">
        <v>22</v>
      </c>
      <c r="B10" s="1303" t="s">
        <v>1</v>
      </c>
      <c r="C10" s="1303"/>
      <c r="D10" s="1252" t="s">
        <v>0</v>
      </c>
      <c r="E10" s="1252" t="s">
        <v>16</v>
      </c>
      <c r="F10" s="1252" t="s">
        <v>32</v>
      </c>
      <c r="G10" s="1304" t="s">
        <v>23</v>
      </c>
      <c r="H10" s="1305"/>
      <c r="I10" s="1304" t="s">
        <v>33</v>
      </c>
      <c r="J10" s="1305"/>
    </row>
    <row r="11" spans="1:10" s="18" customFormat="1" ht="24.75" customHeight="1">
      <c r="A11" s="1252"/>
      <c r="B11" s="30" t="s">
        <v>17</v>
      </c>
      <c r="C11" s="30" t="s">
        <v>34</v>
      </c>
      <c r="D11" s="1252"/>
      <c r="E11" s="1252"/>
      <c r="F11" s="1252"/>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VLOOKUP($E$7,'331'!$B$4:$H$41,2,0)</f>
        <v>0</v>
      </c>
      <c r="J13" s="80">
        <f>VLOOKUP($E$7,'331'!$B$4:$H$41,3,0)</f>
        <v>122052632</v>
      </c>
    </row>
    <row r="14" spans="1:10" s="18" customFormat="1" ht="18" customHeight="1">
      <c r="A14" s="9">
        <f ca="1">IF(ROWS($1:1)&gt;COUNT(Dong),"",OFFSET(TH!C$1,SMALL(Dong,ROWS($1:1)),))</f>
        <v>42403</v>
      </c>
      <c r="B14" s="9" t="str">
        <f ca="1">IF(ROWS($1:1)&gt;COUNT(Dong),"",OFFSET(TH!D$1,SMALL(Dong,ROWS($1:1)),))</f>
        <v>GBN</v>
      </c>
      <c r="C14" s="9">
        <f ca="1">IF(ROWS($1:1)&gt;COUNT(Dong),"",OFFSET(TH!E$1,SMALL(Dong,ROWS($1:1)),))</f>
        <v>42403</v>
      </c>
      <c r="D14" s="379" t="str">
        <f ca="1">IF(ROWS($1:1)&gt;COUNT(Dong),"",OFFSET(TH!F$1,SMALL(Dong,ROWS($1:1)),))</f>
        <v>Q11 - Thanh toán cước vận chuyển và phí liên quan</v>
      </c>
      <c r="E14" s="79" t="str">
        <f ca="1">IF(ROWS($1:1)&gt;COUNT(Dong),"",IF(OFFSET(TH!N$1,SMALL(Dong,ROWS($1:1)),)="331",OFFSET(TH!O$1,SMALL(Dong,ROWS($1:1)),),OFFSET(TH!N$1,SMALL(Dong,ROWS($1:1)),)))</f>
        <v>1121</v>
      </c>
      <c r="F14" s="79"/>
      <c r="G14" s="99">
        <f ca="1">IF(ROWS($1:1)&gt;COUNT(Dong),"",IF(OFFSET(TH!N$1,SMALL(Dong,ROWS($1:1)),)="331",OFFSET(TH!M$1,SMALL(Dong,ROWS($1:1)),),0))</f>
        <v>100000000</v>
      </c>
      <c r="H14" s="99">
        <f ca="1">IF(ROWS($1:1)&gt;COUNT(Dong),"",IF(OFFSET(TH!O$1,SMALL(Dong,ROWS($1:1)),)="331",OFFSET(TH!M$1,SMALL(Dong,ROWS($1:1)),),0))</f>
        <v>0</v>
      </c>
      <c r="I14" s="25">
        <f ca="1">IF(D14&lt;&gt;"",MAX(I13+G14-H14-J13,0),0)</f>
        <v>0</v>
      </c>
      <c r="J14" s="25">
        <f ca="1">IF(D14&lt;&gt;"",MAX(J13+H14-I13-G14,0),0)</f>
        <v>22052632</v>
      </c>
    </row>
    <row r="15" spans="1:10" s="18" customFormat="1" ht="18" customHeight="1">
      <c r="A15" s="9">
        <f ca="1">IF(ROWS($1:2)&gt;COUNT(Dong),"",OFFSET(TH!C$1,SMALL(Dong,ROWS($1:2)),))</f>
        <v>42444</v>
      </c>
      <c r="B15" s="9" t="str">
        <f ca="1">IF(ROWS($1:2)&gt;COUNT(Dong),"",OFFSET(TH!D$1,SMALL(Dong,ROWS($1:2)),))</f>
        <v>GBN</v>
      </c>
      <c r="C15" s="9">
        <f ca="1">IF(ROWS($1:2)&gt;COUNT(Dong),"",OFFSET(TH!E$1,SMALL(Dong,ROWS($1:2)),))</f>
        <v>42444</v>
      </c>
      <c r="D15" s="379" t="str">
        <f ca="1">IF(ROWS($1:2)&gt;COUNT(Dong),"",OFFSET(TH!F$1,SMALL(Dong,ROWS($1:2)),))</f>
        <v>Q11 - Thanh toán tiền cước vận chuyển và phí liên quan</v>
      </c>
      <c r="E15" s="79" t="str">
        <f ca="1">IF(ROWS($1:2)&gt;COUNT(Dong),"",IF(OFFSET(TH!N$1,SMALL(Dong,ROWS($1:2)),)="331",OFFSET(TH!O$1,SMALL(Dong,ROWS($1:2)),),OFFSET(TH!N$1,SMALL(Dong,ROWS($1:2)),)))</f>
        <v>1121</v>
      </c>
      <c r="F15" s="79"/>
      <c r="G15" s="99">
        <f ca="1">IF(ROWS($1:2)&gt;COUNT(Dong),"",IF(OFFSET(TH!N$1,SMALL(Dong,ROWS($1:2)),)="331",OFFSET(TH!M$1,SMALL(Dong,ROWS($1:2)),),0))</f>
        <v>50000000</v>
      </c>
      <c r="H15" s="99">
        <f ca="1">IF(ROWS($1:2)&gt;COUNT(Dong),"",IF(OFFSET(TH!O$1,SMALL(Dong,ROWS($1:2)),)="331",OFFSET(TH!M$1,SMALL(Dong,ROWS($1:2)),),0))</f>
        <v>0</v>
      </c>
      <c r="I15" s="25">
        <f t="shared" ref="I15:I20" ca="1" si="0">IF(D15&lt;&gt;"",MAX(I14+G15-H15-J14,0),0)</f>
        <v>27947368</v>
      </c>
      <c r="J15" s="25">
        <f t="shared" ref="J15:J20" ca="1" si="1">IF(D15&lt;&gt;"",MAX(J14+H15-I14-G15,0),0)</f>
        <v>0</v>
      </c>
    </row>
    <row r="16" spans="1:10" s="18" customFormat="1" ht="18" customHeight="1">
      <c r="A16" s="9">
        <f ca="1">IF(ROWS($1:3)&gt;COUNT(Dong),"",OFFSET(TH!C$1,SMALL(Dong,ROWS($1:3)),))</f>
        <v>42400</v>
      </c>
      <c r="B16" s="9" t="str">
        <f ca="1">IF(ROWS($1:3)&gt;COUNT(Dong),"",OFFSET(TH!D$1,SMALL(Dong,ROWS($1:3)),))</f>
        <v>CTGS</v>
      </c>
      <c r="C16" s="9">
        <f ca="1">IF(ROWS($1:3)&gt;COUNT(Dong),"",OFFSET(TH!E$1,SMALL(Dong,ROWS($1:3)),))</f>
        <v>42370</v>
      </c>
      <c r="D16" s="379" t="str">
        <f ca="1">IF(ROWS($1:3)&gt;COUNT(Dong),"",OFFSET(TH!F$1,SMALL(Dong,ROWS($1:3)),))</f>
        <v>Cước tàu</v>
      </c>
      <c r="E16" s="79" t="str">
        <f ca="1">IF(ROWS($1:3)&gt;COUNT(Dong),"",IF(OFFSET(TH!N$1,SMALL(Dong,ROWS($1:3)),)="331",OFFSET(TH!O$1,SMALL(Dong,ROWS($1:3)),),OFFSET(TH!N$1,SMALL(Dong,ROWS($1:3)),)))</f>
        <v>641</v>
      </c>
      <c r="F16" s="79"/>
      <c r="G16" s="99">
        <f ca="1">IF(ROWS($1:3)&gt;COUNT(Dong),"",IF(OFFSET(TH!N$1,SMALL(Dong,ROWS($1:3)),)="331",OFFSET(TH!M$1,SMALL(Dong,ROWS($1:3)),),0))</f>
        <v>0</v>
      </c>
      <c r="H16" s="99">
        <f ca="1">IF(ROWS($1:3)&gt;COUNT(Dong),"",IF(OFFSET(TH!O$1,SMALL(Dong,ROWS($1:3)),)="331",OFFSET(TH!M$1,SMALL(Dong,ROWS($1:3)),),0))</f>
        <v>10134000</v>
      </c>
      <c r="I16" s="25">
        <f t="shared" ca="1" si="0"/>
        <v>17813368</v>
      </c>
      <c r="J16" s="25">
        <f t="shared" ca="1" si="1"/>
        <v>0</v>
      </c>
    </row>
    <row r="17" spans="1:10" s="18" customFormat="1" ht="18" customHeight="1">
      <c r="A17" s="9">
        <f ca="1">IF(ROWS($1:4)&gt;COUNT(Dong),"",OFFSET(TH!C$1,SMALL(Dong,ROWS($1:4)),))</f>
        <v>42400</v>
      </c>
      <c r="B17" s="9" t="str">
        <f ca="1">IF(ROWS($1:4)&gt;COUNT(Dong),"",OFFSET(TH!D$1,SMALL(Dong,ROWS($1:4)),))</f>
        <v>CTGS</v>
      </c>
      <c r="C17" s="9">
        <f ca="1">IF(ROWS($1:4)&gt;COUNT(Dong),"",OFFSET(TH!E$1,SMALL(Dong,ROWS($1:4)),))</f>
        <v>42370</v>
      </c>
      <c r="D17" s="379" t="str">
        <f ca="1">IF(ROWS($1:4)&gt;COUNT(Dong),"",OFFSET(TH!F$1,SMALL(Dong,ROWS($1:4)),))</f>
        <v>Phí xếp dỡ, niêm chì, khai hải quan, chứng từ, điện giao hàng</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6823560</v>
      </c>
      <c r="I17" s="25">
        <f t="shared" ca="1" si="0"/>
        <v>10989808</v>
      </c>
      <c r="J17" s="25">
        <f t="shared" ca="1" si="1"/>
        <v>0</v>
      </c>
    </row>
    <row r="18" spans="1:10" s="18" customFormat="1" ht="18" customHeight="1">
      <c r="A18" s="9">
        <f ca="1">IF(ROWS($1:5)&gt;COUNT(Dong),"",OFFSET(TH!C$1,SMALL(Dong,ROWS($1:5)),))</f>
        <v>42400</v>
      </c>
      <c r="B18" s="9" t="str">
        <f ca="1">IF(ROWS($1:5)&gt;COUNT(Dong),"",OFFSET(TH!D$1,SMALL(Dong,ROWS($1:5)),))</f>
        <v>CTGS</v>
      </c>
      <c r="C18" s="9">
        <f ca="1">IF(ROWS($1:5)&gt;COUNT(Dong),"",OFFSET(TH!E$1,SMALL(Dong,ROWS($1:5)),))</f>
        <v>42370</v>
      </c>
      <c r="D18" s="379" t="str">
        <f ca="1">IF(ROWS($1:5)&gt;COUNT(Dong),"",OFFSET(TH!F$1,SMALL(Dong,ROWS($1:5)),))</f>
        <v>VAT Phí xếp dỡ, niêm chì, khai hải quan, chứng từ, điện giao hàng</v>
      </c>
      <c r="E18" s="79" t="str">
        <f ca="1">IF(ROWS($1:5)&gt;COUNT(Dong),"",IF(OFFSET(TH!N$1,SMALL(Dong,ROWS($1:5)),)="331",OFFSET(TH!O$1,SMALL(Dong,ROWS($1:5)),),OFFSET(TH!N$1,SMALL(Dong,ROWS($1:5)),)))</f>
        <v>1331</v>
      </c>
      <c r="F18" s="79"/>
      <c r="G18" s="99">
        <f ca="1">IF(ROWS($1:5)&gt;COUNT(Dong),"",IF(OFFSET(TH!N$1,SMALL(Dong,ROWS($1:5)),)="331",OFFSET(TH!M$1,SMALL(Dong,ROWS($1:5)),),0))</f>
        <v>0</v>
      </c>
      <c r="H18" s="99">
        <f ca="1">IF(ROWS($1:5)&gt;COUNT(Dong),"",IF(OFFSET(TH!O$1,SMALL(Dong,ROWS($1:5)),)="331",OFFSET(TH!M$1,SMALL(Dong,ROWS($1:5)),),0))</f>
        <v>682356</v>
      </c>
      <c r="I18" s="25">
        <f t="shared" ca="1" si="0"/>
        <v>10307452</v>
      </c>
      <c r="J18" s="25">
        <f t="shared" ca="1" si="1"/>
        <v>0</v>
      </c>
    </row>
    <row r="19" spans="1:10" s="18" customFormat="1" ht="18" customHeight="1">
      <c r="A19" s="9">
        <f ca="1">IF(ROWS($1:6)&gt;COUNT(Dong),"",OFFSET(TH!C$1,SMALL(Dong,ROWS($1:6)),))</f>
        <v>42400</v>
      </c>
      <c r="B19" s="9" t="str">
        <f ca="1">IF(ROWS($1:6)&gt;COUNT(Dong),"",OFFSET(TH!D$1,SMALL(Dong,ROWS($1:6)),))</f>
        <v>CTGS</v>
      </c>
      <c r="C19" s="9">
        <f ca="1">IF(ROWS($1:6)&gt;COUNT(Dong),"",OFFSET(TH!E$1,SMALL(Dong,ROWS($1:6)),))</f>
        <v>42398</v>
      </c>
      <c r="D19" s="379" t="str">
        <f ca="1">IF(ROWS($1:6)&gt;COUNT(Dong),"",OFFSET(TH!F$1,SMALL(Dong,ROWS($1:6)),))</f>
        <v>Cước tàu</v>
      </c>
      <c r="E19" s="79" t="str">
        <f ca="1">IF(ROWS($1:6)&gt;COUNT(Dong),"",IF(OFFSET(TH!N$1,SMALL(Dong,ROWS($1:6)),)="331",OFFSET(TH!O$1,SMALL(Dong,ROWS($1:6)),),OFFSET(TH!N$1,SMALL(Dong,ROWS($1:6)),)))</f>
        <v>641</v>
      </c>
      <c r="F19" s="79"/>
      <c r="G19" s="99">
        <f ca="1">IF(ROWS($1:6)&gt;COUNT(Dong),"",IF(OFFSET(TH!N$1,SMALL(Dong,ROWS($1:6)),)="331",OFFSET(TH!M$1,SMALL(Dong,ROWS($1:6)),),0))</f>
        <v>0</v>
      </c>
      <c r="H19" s="99">
        <f ca="1">IF(ROWS($1:6)&gt;COUNT(Dong),"",IF(OFFSET(TH!O$1,SMALL(Dong,ROWS($1:6)),)="331",OFFSET(TH!M$1,SMALL(Dong,ROWS($1:6)),),0))</f>
        <v>11135000</v>
      </c>
      <c r="I19" s="25">
        <f t="shared" ca="1" si="0"/>
        <v>0</v>
      </c>
      <c r="J19" s="25">
        <f t="shared" ca="1" si="1"/>
        <v>827548</v>
      </c>
    </row>
    <row r="20" spans="1:10" s="18" customFormat="1" ht="18" customHeight="1">
      <c r="A20" s="9">
        <f ca="1">IF(ROWS($1:7)&gt;COUNT(Dong),"",OFFSET(TH!C$1,SMALL(Dong,ROWS($1:7)),))</f>
        <v>42400</v>
      </c>
      <c r="B20" s="9" t="str">
        <f ca="1">IF(ROWS($1:7)&gt;COUNT(Dong),"",OFFSET(TH!D$1,SMALL(Dong,ROWS($1:7)),))</f>
        <v>CTGS</v>
      </c>
      <c r="C20" s="9">
        <f ca="1">IF(ROWS($1:7)&gt;COUNT(Dong),"",OFFSET(TH!E$1,SMALL(Dong,ROWS($1:7)),))</f>
        <v>42398</v>
      </c>
      <c r="D20" s="379" t="str">
        <f ca="1">IF(ROWS($1:7)&gt;COUNT(Dong),"",OFFSET(TH!F$1,SMALL(Dong,ROWS($1:7)),))</f>
        <v>Phí xếp dỡ, niêm chì, chứng từ, điện giao hàng</v>
      </c>
      <c r="E20" s="79" t="str">
        <f ca="1">IF(ROWS($1:7)&gt;COUNT(Dong),"",IF(OFFSET(TH!N$1,SMALL(Dong,ROWS($1:7)),)="331",OFFSET(TH!O$1,SMALL(Dong,ROWS($1:7)),),OFFSET(TH!N$1,SMALL(Dong,ROWS($1:7)),)))</f>
        <v>641</v>
      </c>
      <c r="F20" s="79"/>
      <c r="G20" s="99">
        <f ca="1">IF(ROWS($1:7)&gt;COUNT(Dong),"",IF(OFFSET(TH!N$1,SMALL(Dong,ROWS($1:7)),)="331",OFFSET(TH!M$1,SMALL(Dong,ROWS($1:7)),),0))</f>
        <v>0</v>
      </c>
      <c r="H20" s="99">
        <f ca="1">IF(ROWS($1:7)&gt;COUNT(Dong),"",IF(OFFSET(TH!O$1,SMALL(Dong,ROWS($1:7)),)="331",OFFSET(TH!M$1,SMALL(Dong,ROWS($1:7)),),0))</f>
        <v>5077560</v>
      </c>
      <c r="I20" s="25">
        <f t="shared" ca="1" si="0"/>
        <v>0</v>
      </c>
      <c r="J20" s="25">
        <f t="shared" ca="1" si="1"/>
        <v>5905108</v>
      </c>
    </row>
    <row r="21" spans="1:10" s="18" customFormat="1" ht="18" customHeight="1">
      <c r="A21" s="9">
        <f ca="1">IF(ROWS($1:8)&gt;COUNT(Dong),"",OFFSET(TH!C$1,SMALL(Dong,ROWS($1:8)),))</f>
        <v>42400</v>
      </c>
      <c r="B21" s="9" t="str">
        <f ca="1">IF(ROWS($1:8)&gt;COUNT(Dong),"",OFFSET(TH!D$1,SMALL(Dong,ROWS($1:8)),))</f>
        <v>CTGS</v>
      </c>
      <c r="C21" s="9">
        <f ca="1">IF(ROWS($1:8)&gt;COUNT(Dong),"",OFFSET(TH!E$1,SMALL(Dong,ROWS($1:8)),))</f>
        <v>42398</v>
      </c>
      <c r="D21" s="379" t="str">
        <f ca="1">IF(ROWS($1:8)&gt;COUNT(Dong),"",OFFSET(TH!F$1,SMALL(Dong,ROWS($1:8)),))</f>
        <v>VAT Phí xếp dỡ, niêm chì, chứng từ, điện giao hàng</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507756</v>
      </c>
      <c r="I21" s="25">
        <f t="shared" ref="I21:I33" ca="1" si="2">IF(D21&lt;&gt;"",MAX(I20+G21-H21-J20,0),0)</f>
        <v>0</v>
      </c>
      <c r="J21" s="25">
        <f t="shared" ref="J21:J33" ca="1" si="3">IF(D21&lt;&gt;"",MAX(J20+H21-I20-G21,0),0)</f>
        <v>6412864</v>
      </c>
    </row>
    <row r="22" spans="1:10" s="18" customFormat="1" ht="18" customHeight="1">
      <c r="A22" s="9">
        <f ca="1">IF(ROWS($1:9)&gt;COUNT(Dong),"",OFFSET(TH!C$1,SMALL(Dong,ROWS($1:9)),))</f>
        <v>42400</v>
      </c>
      <c r="B22" s="9" t="str">
        <f ca="1">IF(ROWS($1:9)&gt;COUNT(Dong),"",OFFSET(TH!D$1,SMALL(Dong,ROWS($1:9)),))</f>
        <v>CTGS</v>
      </c>
      <c r="C22" s="9">
        <f ca="1">IF(ROWS($1:9)&gt;COUNT(Dong),"",OFFSET(TH!E$1,SMALL(Dong,ROWS($1:9)),))</f>
        <v>42398</v>
      </c>
      <c r="D22" s="379" t="str">
        <f ca="1">IF(ROWS($1:9)&gt;COUNT(Dong),"",OFFSET(TH!F$1,SMALL(Dong,ROWS($1:9)),))</f>
        <v>Cước tàu</v>
      </c>
      <c r="E22" s="79" t="str">
        <f ca="1">IF(ROWS($1:9)&gt;COUNT(Dong),"",IF(OFFSET(TH!N$1,SMALL(Dong,ROWS($1:9)),)="331",OFFSET(TH!O$1,SMALL(Dong,ROWS($1:9)),),OFFSET(TH!N$1,SMALL(Dong,ROWS($1:9)),)))</f>
        <v>641</v>
      </c>
      <c r="F22" s="79"/>
      <c r="G22" s="99">
        <f ca="1">IF(ROWS($1:9)&gt;COUNT(Dong),"",IF(OFFSET(TH!N$1,SMALL(Dong,ROWS($1:9)),)="331",OFFSET(TH!M$1,SMALL(Dong,ROWS($1:9)),),0))</f>
        <v>0</v>
      </c>
      <c r="H22" s="99">
        <f ca="1">IF(ROWS($1:9)&gt;COUNT(Dong),"",IF(OFFSET(TH!O$1,SMALL(Dong,ROWS($1:9)),)="331",OFFSET(TH!M$1,SMALL(Dong,ROWS($1:9)),),0))</f>
        <v>23383500</v>
      </c>
      <c r="I22" s="25">
        <f t="shared" ca="1" si="2"/>
        <v>0</v>
      </c>
      <c r="J22" s="25">
        <f t="shared" ca="1" si="3"/>
        <v>29796364</v>
      </c>
    </row>
    <row r="23" spans="1:10" s="18" customFormat="1" ht="18" customHeight="1">
      <c r="A23" s="9">
        <f ca="1">IF(ROWS($1:10)&gt;COUNT(Dong),"",OFFSET(TH!C$1,SMALL(Dong,ROWS($1:10)),))</f>
        <v>42400</v>
      </c>
      <c r="B23" s="9" t="str">
        <f ca="1">IF(ROWS($1:10)&gt;COUNT(Dong),"",OFFSET(TH!D$1,SMALL(Dong,ROWS($1:10)),))</f>
        <v>CTGS</v>
      </c>
      <c r="C23" s="9">
        <f ca="1">IF(ROWS($1:10)&gt;COUNT(Dong),"",OFFSET(TH!E$1,SMALL(Dong,ROWS($1:10)),))</f>
        <v>42398</v>
      </c>
      <c r="D23" s="379" t="str">
        <f ca="1">IF(ROWS($1:10)&gt;COUNT(Dong),"",OFFSET(TH!F$1,SMALL(Dong,ROWS($1:10)),))</f>
        <v>Phí xếp dỡ, niêm chì, khai hải quan, chứng từ, điện giao hàng</v>
      </c>
      <c r="E23" s="79" t="str">
        <f ca="1">IF(ROWS($1:10)&gt;COUNT(Dong),"",IF(OFFSET(TH!N$1,SMALL(Dong,ROWS($1:10)),)="331",OFFSET(TH!O$1,SMALL(Dong,ROWS($1:10)),),OFFSET(TH!N$1,SMALL(Dong,ROWS($1:10)),)))</f>
        <v>641</v>
      </c>
      <c r="F23" s="79"/>
      <c r="G23" s="99">
        <f ca="1">IF(ROWS($1:10)&gt;COUNT(Dong),"",IF(OFFSET(TH!N$1,SMALL(Dong,ROWS($1:10)),)="331",OFFSET(TH!M$1,SMALL(Dong,ROWS($1:10)),),0))</f>
        <v>0</v>
      </c>
      <c r="H23" s="99">
        <f ca="1">IF(ROWS($1:10)&gt;COUNT(Dong),"",IF(OFFSET(TH!O$1,SMALL(Dong,ROWS($1:10)),)="331",OFFSET(TH!M$1,SMALL(Dong,ROWS($1:10)),),0))</f>
        <v>6413760</v>
      </c>
      <c r="I23" s="25">
        <f t="shared" ca="1" si="2"/>
        <v>0</v>
      </c>
      <c r="J23" s="25">
        <f t="shared" ca="1" si="3"/>
        <v>36210124</v>
      </c>
    </row>
    <row r="24" spans="1:10" s="18" customFormat="1" ht="18" customHeight="1">
      <c r="A24" s="9">
        <f ca="1">IF(ROWS($1:11)&gt;COUNT(Dong),"",OFFSET(TH!C$1,SMALL(Dong,ROWS($1:11)),))</f>
        <v>42400</v>
      </c>
      <c r="B24" s="9" t="str">
        <f ca="1">IF(ROWS($1:11)&gt;COUNT(Dong),"",OFFSET(TH!D$1,SMALL(Dong,ROWS($1:11)),))</f>
        <v>CTGS</v>
      </c>
      <c r="C24" s="9">
        <f ca="1">IF(ROWS($1:11)&gt;COUNT(Dong),"",OFFSET(TH!E$1,SMALL(Dong,ROWS($1:11)),))</f>
        <v>42398</v>
      </c>
      <c r="D24" s="379" t="str">
        <f ca="1">IF(ROWS($1:11)&gt;COUNT(Dong),"",OFFSET(TH!F$1,SMALL(Dong,ROWS($1:11)),))</f>
        <v>VAT Phí xếp dỡ, niêm chì, khai hải quan, chứng từ, điện giao hàng</v>
      </c>
      <c r="E24" s="79" t="str">
        <f ca="1">IF(ROWS($1:11)&gt;COUNT(Dong),"",IF(OFFSET(TH!N$1,SMALL(Dong,ROWS($1:11)),)="331",OFFSET(TH!O$1,SMALL(Dong,ROWS($1:11)),),OFFSET(TH!N$1,SMALL(Dong,ROWS($1:11)),)))</f>
        <v>1331</v>
      </c>
      <c r="F24" s="79"/>
      <c r="G24" s="99">
        <f ca="1">IF(ROWS($1:11)&gt;COUNT(Dong),"",IF(OFFSET(TH!N$1,SMALL(Dong,ROWS($1:11)),)="331",OFFSET(TH!M$1,SMALL(Dong,ROWS($1:11)),),0))</f>
        <v>0</v>
      </c>
      <c r="H24" s="99">
        <f ca="1">IF(ROWS($1:11)&gt;COUNT(Dong),"",IF(OFFSET(TH!O$1,SMALL(Dong,ROWS($1:11)),)="331",OFFSET(TH!M$1,SMALL(Dong,ROWS($1:11)),),0))</f>
        <v>641376</v>
      </c>
      <c r="I24" s="25">
        <f t="shared" ca="1" si="2"/>
        <v>0</v>
      </c>
      <c r="J24" s="25">
        <f t="shared" ca="1" si="3"/>
        <v>36851500</v>
      </c>
    </row>
    <row r="25" spans="1:10" s="18" customFormat="1" ht="18" customHeight="1">
      <c r="A25" s="9">
        <f ca="1">IF(ROWS($1:12)&gt;COUNT(Dong),"",OFFSET(TH!C$1,SMALL(Dong,ROWS($1:12)),))</f>
        <v>42429</v>
      </c>
      <c r="B25" s="9" t="str">
        <f ca="1">IF(ROWS($1:12)&gt;COUNT(Dong),"",OFFSET(TH!D$1,SMALL(Dong,ROWS($1:12)),))</f>
        <v>CTGS</v>
      </c>
      <c r="C25" s="9">
        <f ca="1">IF(ROWS($1:12)&gt;COUNT(Dong),"",OFFSET(TH!E$1,SMALL(Dong,ROWS($1:12)),))</f>
        <v>42407</v>
      </c>
      <c r="D25" s="379" t="str">
        <f ca="1">IF(ROWS($1:12)&gt;COUNT(Dong),"",OFFSET(TH!F$1,SMALL(Dong,ROWS($1:12)),))</f>
        <v>Cước tàu</v>
      </c>
      <c r="E25" s="79" t="str">
        <f ca="1">IF(ROWS($1:12)&gt;COUNT(Dong),"",IF(OFFSET(TH!N$1,SMALL(Dong,ROWS($1:12)),)="331",OFFSET(TH!O$1,SMALL(Dong,ROWS($1:12)),),OFFSET(TH!N$1,SMALL(Dong,ROWS($1:12)),)))</f>
        <v>641</v>
      </c>
      <c r="F25" s="79"/>
      <c r="G25" s="99">
        <f ca="1">IF(ROWS($1:12)&gt;COUNT(Dong),"",IF(OFFSET(TH!N$1,SMALL(Dong,ROWS($1:12)),)="331",OFFSET(TH!M$1,SMALL(Dong,ROWS($1:12)),),0))</f>
        <v>0</v>
      </c>
      <c r="H25" s="99">
        <f ca="1">IF(ROWS($1:12)&gt;COUNT(Dong),"",IF(OFFSET(TH!O$1,SMALL(Dong,ROWS($1:12)),)="331",OFFSET(TH!M$1,SMALL(Dong,ROWS($1:12)),),0))</f>
        <v>11175000</v>
      </c>
      <c r="I25" s="25">
        <f t="shared" ca="1" si="2"/>
        <v>0</v>
      </c>
      <c r="J25" s="25">
        <f t="shared" ca="1" si="3"/>
        <v>48026500</v>
      </c>
    </row>
    <row r="26" spans="1:10" s="18" customFormat="1" ht="18" customHeight="1">
      <c r="A26" s="9">
        <f ca="1">IF(ROWS($1:13)&gt;COUNT(Dong),"",OFFSET(TH!C$1,SMALL(Dong,ROWS($1:13)),))</f>
        <v>42429</v>
      </c>
      <c r="B26" s="9" t="str">
        <f ca="1">IF(ROWS($1:13)&gt;COUNT(Dong),"",OFFSET(TH!D$1,SMALL(Dong,ROWS($1:13)),))</f>
        <v>CTGS</v>
      </c>
      <c r="C26" s="9">
        <f ca="1">IF(ROWS($1:13)&gt;COUNT(Dong),"",OFFSET(TH!E$1,SMALL(Dong,ROWS($1:13)),))</f>
        <v>42407</v>
      </c>
      <c r="D26" s="379" t="str">
        <f ca="1">IF(ROWS($1:13)&gt;COUNT(Dong),"",OFFSET(TH!F$1,SMALL(Dong,ROWS($1:13)),))</f>
        <v>Phí xếp dỡ, niêm chì, điện giao hàng, chứng từ</v>
      </c>
      <c r="E26" s="79" t="str">
        <f ca="1">IF(ROWS($1:13)&gt;COUNT(Dong),"",IF(OFFSET(TH!N$1,SMALL(Dong,ROWS($1:13)),)="331",OFFSET(TH!O$1,SMALL(Dong,ROWS($1:13)),),OFFSET(TH!N$1,SMALL(Dong,ROWS($1:13)),)))</f>
        <v>641</v>
      </c>
      <c r="F26" s="79"/>
      <c r="G26" s="99">
        <f ca="1">IF(ROWS($1:13)&gt;COUNT(Dong),"",IF(OFFSET(TH!N$1,SMALL(Dong,ROWS($1:13)),)="331",OFFSET(TH!M$1,SMALL(Dong,ROWS($1:13)),),0))</f>
        <v>0</v>
      </c>
      <c r="H26" s="99">
        <f ca="1">IF(ROWS($1:13)&gt;COUNT(Dong),"",IF(OFFSET(TH!O$1,SMALL(Dong,ROWS($1:13)),)="331",OFFSET(TH!M$1,SMALL(Dong,ROWS($1:13)),),0))</f>
        <v>5319300</v>
      </c>
      <c r="I26" s="25">
        <f t="shared" ca="1" si="2"/>
        <v>0</v>
      </c>
      <c r="J26" s="25">
        <f t="shared" ca="1" si="3"/>
        <v>53345800</v>
      </c>
    </row>
    <row r="27" spans="1:10" s="18" customFormat="1" ht="18" customHeight="1">
      <c r="A27" s="9">
        <f ca="1">IF(ROWS($1:14)&gt;COUNT(Dong),"",OFFSET(TH!C$1,SMALL(Dong,ROWS($1:14)),))</f>
        <v>42429</v>
      </c>
      <c r="B27" s="9" t="str">
        <f ca="1">IF(ROWS($1:14)&gt;COUNT(Dong),"",OFFSET(TH!D$1,SMALL(Dong,ROWS($1:14)),))</f>
        <v>CTGS</v>
      </c>
      <c r="C27" s="9">
        <f ca="1">IF(ROWS($1:14)&gt;COUNT(Dong),"",OFFSET(TH!E$1,SMALL(Dong,ROWS($1:14)),))</f>
        <v>42407</v>
      </c>
      <c r="D27" s="379" t="str">
        <f ca="1">IF(ROWS($1:14)&gt;COUNT(Dong),"",OFFSET(TH!F$1,SMALL(Dong,ROWS($1:14)),))</f>
        <v>VAT Phí xếp dỡ, niêm chì, điện giao hàng, chứng từ</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531930</v>
      </c>
      <c r="I27" s="25">
        <f t="shared" ca="1" si="2"/>
        <v>0</v>
      </c>
      <c r="J27" s="25">
        <f t="shared" ca="1" si="3"/>
        <v>53877730</v>
      </c>
    </row>
    <row r="28" spans="1:10" s="18" customFormat="1" ht="18" customHeight="1">
      <c r="A28" s="9">
        <f ca="1">IF(ROWS($1:15)&gt;COUNT(Dong),"",OFFSET(TH!C$1,SMALL(Dong,ROWS($1:15)),))</f>
        <v>42475</v>
      </c>
      <c r="B28" s="9" t="str">
        <f ca="1">IF(ROWS($1:15)&gt;COUNT(Dong),"",OFFSET(TH!D$1,SMALL(Dong,ROWS($1:15)),))</f>
        <v>CTGS</v>
      </c>
      <c r="C28" s="9">
        <f ca="1">IF(ROWS($1:15)&gt;COUNT(Dong),"",OFFSET(TH!E$1,SMALL(Dong,ROWS($1:15)),))</f>
        <v>42475</v>
      </c>
      <c r="D28" s="379" t="str">
        <f ca="1">IF(ROWS($1:15)&gt;COUNT(Dong),"",OFFSET(TH!F$1,SMALL(Dong,ROWS($1:15)),))</f>
        <v>Cước tàu</v>
      </c>
      <c r="E28" s="79" t="str">
        <f ca="1">IF(ROWS($1:15)&gt;COUNT(Dong),"",IF(OFFSET(TH!N$1,SMALL(Dong,ROWS($1:15)),)="331",OFFSET(TH!O$1,SMALL(Dong,ROWS($1:15)),),OFFSET(TH!N$1,SMALL(Dong,ROWS($1:15)),)))</f>
        <v>641</v>
      </c>
      <c r="F28" s="79"/>
      <c r="G28" s="99">
        <f ca="1">IF(ROWS($1:15)&gt;COUNT(Dong),"",IF(OFFSET(TH!N$1,SMALL(Dong,ROWS($1:15)),)="331",OFFSET(TH!M$1,SMALL(Dong,ROWS($1:15)),),0))</f>
        <v>0</v>
      </c>
      <c r="H28" s="99">
        <f ca="1">IF(ROWS($1:15)&gt;COUNT(Dong),"",IF(OFFSET(TH!O$1,SMALL(Dong,ROWS($1:15)),)="331",OFFSET(TH!M$1,SMALL(Dong,ROWS($1:15)),),0))</f>
        <v>11856100</v>
      </c>
      <c r="I28" s="25">
        <f t="shared" ca="1" si="2"/>
        <v>0</v>
      </c>
      <c r="J28" s="25">
        <f t="shared" ca="1" si="3"/>
        <v>65733830</v>
      </c>
    </row>
    <row r="29" spans="1:10" s="18" customFormat="1" ht="18" customHeight="1">
      <c r="A29" s="9">
        <f ca="1">IF(ROWS($1:16)&gt;COUNT(Dong),"",OFFSET(TH!C$1,SMALL(Dong,ROWS($1:16)),))</f>
        <v>42475</v>
      </c>
      <c r="B29" s="9" t="str">
        <f ca="1">IF(ROWS($1:16)&gt;COUNT(Dong),"",OFFSET(TH!D$1,SMALL(Dong,ROWS($1:16)),))</f>
        <v>CTGS</v>
      </c>
      <c r="C29" s="9">
        <f ca="1">IF(ROWS($1:16)&gt;COUNT(Dong),"",OFFSET(TH!E$1,SMALL(Dong,ROWS($1:16)),))</f>
        <v>42475</v>
      </c>
      <c r="D29" s="379" t="str">
        <f ca="1">IF(ROWS($1:16)&gt;COUNT(Dong),"",OFFSET(TH!F$1,SMALL(Dong,ROWS($1:16)),))</f>
        <v>Phí xếp dỡ, niêm chì, điện giao hàng, chứng từ</v>
      </c>
      <c r="E29" s="79" t="str">
        <f ca="1">IF(ROWS($1:16)&gt;COUNT(Dong),"",IF(OFFSET(TH!N$1,SMALL(Dong,ROWS($1:16)),)="331",OFFSET(TH!O$1,SMALL(Dong,ROWS($1:16)),),OFFSET(TH!N$1,SMALL(Dong,ROWS($1:16)),)))</f>
        <v>641</v>
      </c>
      <c r="F29" s="79"/>
      <c r="G29" s="99">
        <f ca="1">IF(ROWS($1:16)&gt;COUNT(Dong),"",IF(OFFSET(TH!N$1,SMALL(Dong,ROWS($1:16)),)="331",OFFSET(TH!M$1,SMALL(Dong,ROWS($1:16)),),0))</f>
        <v>0</v>
      </c>
      <c r="H29" s="99">
        <f ca="1">IF(ROWS($1:16)&gt;COUNT(Dong),"",IF(OFFSET(TH!O$1,SMALL(Dong,ROWS($1:16)),)="331",OFFSET(TH!M$1,SMALL(Dong,ROWS($1:16)),),0))</f>
        <v>6218860</v>
      </c>
      <c r="I29" s="25">
        <f t="shared" ca="1" si="2"/>
        <v>0</v>
      </c>
      <c r="J29" s="25">
        <f t="shared" ca="1" si="3"/>
        <v>71952690</v>
      </c>
    </row>
    <row r="30" spans="1:10" s="18" customFormat="1" ht="18" customHeight="1">
      <c r="A30" s="9">
        <f ca="1">IF(ROWS($1:17)&gt;COUNT(Dong),"",OFFSET(TH!C$1,SMALL(Dong,ROWS($1:17)),))</f>
        <v>42475</v>
      </c>
      <c r="B30" s="9" t="str">
        <f ca="1">IF(ROWS($1:17)&gt;COUNT(Dong),"",OFFSET(TH!D$1,SMALL(Dong,ROWS($1:17)),))</f>
        <v>CTGS</v>
      </c>
      <c r="C30" s="9">
        <f ca="1">IF(ROWS($1:17)&gt;COUNT(Dong),"",OFFSET(TH!E$1,SMALL(Dong,ROWS($1:17)),))</f>
        <v>42475</v>
      </c>
      <c r="D30" s="379" t="str">
        <f ca="1">IF(ROWS($1:17)&gt;COUNT(Dong),"",OFFSET(TH!F$1,SMALL(Dong,ROWS($1:17)),))</f>
        <v>VAT Phí xếp dỡ, niêm chì, điện giao hàng, chứng từ</v>
      </c>
      <c r="E30" s="79" t="str">
        <f ca="1">IF(ROWS($1:17)&gt;COUNT(Dong),"",IF(OFFSET(TH!N$1,SMALL(Dong,ROWS($1:17)),)="331",OFFSET(TH!O$1,SMALL(Dong,ROWS($1:17)),),OFFSET(TH!N$1,SMALL(Dong,ROWS($1:17)),)))</f>
        <v>1331</v>
      </c>
      <c r="F30" s="79"/>
      <c r="G30" s="99">
        <f ca="1">IF(ROWS($1:17)&gt;COUNT(Dong),"",IF(OFFSET(TH!N$1,SMALL(Dong,ROWS($1:17)),)="331",OFFSET(TH!M$1,SMALL(Dong,ROWS($1:17)),),0))</f>
        <v>0</v>
      </c>
      <c r="H30" s="99">
        <f ca="1">IF(ROWS($1:17)&gt;COUNT(Dong),"",IF(OFFSET(TH!O$1,SMALL(Dong,ROWS($1:17)),)="331",OFFSET(TH!M$1,SMALL(Dong,ROWS($1:17)),),0))</f>
        <v>621886</v>
      </c>
      <c r="I30" s="25">
        <f t="shared" ca="1" si="2"/>
        <v>0</v>
      </c>
      <c r="J30" s="25">
        <f t="shared" ca="1" si="3"/>
        <v>72574576</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9"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9"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9"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3"/>
      <c r="B39" s="373"/>
      <c r="C39" s="373"/>
      <c r="D39" s="374"/>
      <c r="E39" s="375"/>
      <c r="F39" s="375"/>
      <c r="G39" s="376"/>
      <c r="H39" s="376"/>
      <c r="I39" s="377"/>
      <c r="J39" s="377"/>
    </row>
    <row r="40" spans="1:11" s="18" customFormat="1" ht="18" customHeight="1">
      <c r="A40" s="24"/>
      <c r="B40" s="21"/>
      <c r="C40" s="26"/>
      <c r="D40" s="23" t="s">
        <v>35</v>
      </c>
      <c r="E40" s="21" t="s">
        <v>21</v>
      </c>
      <c r="F40" s="21" t="s">
        <v>21</v>
      </c>
      <c r="G40" s="27">
        <f ca="1">SUM(G14:G30)</f>
        <v>150000000</v>
      </c>
      <c r="H40" s="27">
        <f ca="1">SUM(H14:H30)</f>
        <v>100521944</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72574576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40" t="s">
        <v>176</v>
      </c>
      <c r="F45" s="1240"/>
      <c r="G45" s="1240"/>
      <c r="H45" s="1240"/>
      <c r="I45" s="1240"/>
      <c r="J45" s="1240"/>
    </row>
    <row r="46" spans="1:11" s="18" customFormat="1" ht="14.25" customHeight="1">
      <c r="C46" s="363" t="s">
        <v>11</v>
      </c>
      <c r="E46" s="1240" t="s">
        <v>12</v>
      </c>
      <c r="F46" s="1240"/>
      <c r="G46" s="1240"/>
      <c r="H46" s="1240"/>
      <c r="I46" s="1240"/>
      <c r="J46" s="1240"/>
    </row>
    <row r="47" spans="1:11" s="18" customFormat="1" ht="14.25" customHeight="1">
      <c r="C47" s="363" t="s">
        <v>13</v>
      </c>
      <c r="E47" s="1240" t="s">
        <v>13</v>
      </c>
      <c r="F47" s="1240"/>
      <c r="G47" s="1240"/>
      <c r="H47" s="1240"/>
      <c r="I47" s="1240"/>
      <c r="J47" s="1240"/>
    </row>
    <row r="48" spans="1:11" s="29" customFormat="1"/>
    <row r="54" spans="3:3" ht="15">
      <c r="C54" s="378"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sheetPr>
    <tabColor theme="3"/>
  </sheetPr>
  <dimension ref="A1:P38"/>
  <sheetViews>
    <sheetView showZeros="0" workbookViewId="0">
      <pane ySplit="4" topLeftCell="A11" activePane="bottomLeft" state="frozen"/>
      <selection activeCell="G34" sqref="G34"/>
      <selection pane="bottomLeft" activeCell="C28" sqref="C28"/>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73" t="s">
        <v>177</v>
      </c>
      <c r="B1" s="1273"/>
      <c r="C1" s="1273"/>
      <c r="D1" s="1273"/>
      <c r="E1" s="1273"/>
      <c r="F1" s="1273"/>
      <c r="G1" s="1273"/>
      <c r="H1" s="1273"/>
      <c r="I1" s="1273"/>
      <c r="J1" s="1273"/>
      <c r="K1" s="1273"/>
      <c r="L1" s="1273"/>
      <c r="M1" s="1273"/>
      <c r="N1" s="1273"/>
      <c r="O1" s="1273"/>
      <c r="P1" s="1273"/>
    </row>
    <row r="2" spans="1:16" s="10" customFormat="1" ht="15.75" customHeight="1">
      <c r="A2" s="1295" t="s">
        <v>37</v>
      </c>
      <c r="B2" s="1297" t="s">
        <v>178</v>
      </c>
      <c r="C2" s="1297" t="s">
        <v>179</v>
      </c>
      <c r="D2" s="1297" t="s">
        <v>181</v>
      </c>
      <c r="E2" s="1272" t="s">
        <v>39</v>
      </c>
      <c r="F2" s="1272"/>
      <c r="G2" s="1272"/>
      <c r="H2" s="1272"/>
      <c r="I2" s="1272" t="s">
        <v>40</v>
      </c>
      <c r="J2" s="1272"/>
      <c r="K2" s="1272"/>
      <c r="L2" s="1272"/>
      <c r="M2" s="1293" t="s">
        <v>44</v>
      </c>
      <c r="N2" s="1307"/>
      <c r="O2" s="1307"/>
      <c r="P2" s="1294"/>
    </row>
    <row r="3" spans="1:16" s="10" customFormat="1" ht="15.75" customHeight="1">
      <c r="A3" s="1296"/>
      <c r="B3" s="1298"/>
      <c r="C3" s="1298"/>
      <c r="D3" s="1298"/>
      <c r="E3" s="1272" t="s">
        <v>45</v>
      </c>
      <c r="F3" s="1272"/>
      <c r="G3" s="1272" t="s">
        <v>46</v>
      </c>
      <c r="H3" s="1272"/>
      <c r="I3" s="1272" t="s">
        <v>45</v>
      </c>
      <c r="J3" s="1272"/>
      <c r="K3" s="1272" t="s">
        <v>46</v>
      </c>
      <c r="L3" s="1272"/>
      <c r="M3" s="1272" t="s">
        <v>45</v>
      </c>
      <c r="N3" s="1272"/>
      <c r="O3" s="1272" t="s">
        <v>46</v>
      </c>
      <c r="P3" s="1272"/>
    </row>
    <row r="4" spans="1:16" s="10" customFormat="1" ht="15.75" customHeight="1">
      <c r="A4" s="1296"/>
      <c r="B4" s="1298"/>
      <c r="C4" s="1298"/>
      <c r="D4" s="1298"/>
      <c r="E4" s="337" t="s">
        <v>228</v>
      </c>
      <c r="F4" s="337" t="s">
        <v>229</v>
      </c>
      <c r="G4" s="337" t="s">
        <v>228</v>
      </c>
      <c r="H4" s="337" t="s">
        <v>229</v>
      </c>
      <c r="I4" s="337" t="s">
        <v>228</v>
      </c>
      <c r="J4" s="337" t="s">
        <v>229</v>
      </c>
      <c r="K4" s="337" t="s">
        <v>228</v>
      </c>
      <c r="L4" s="337" t="s">
        <v>229</v>
      </c>
      <c r="M4" s="337" t="s">
        <v>228</v>
      </c>
      <c r="N4" s="337" t="s">
        <v>229</v>
      </c>
      <c r="O4" s="337" t="s">
        <v>228</v>
      </c>
      <c r="P4" s="337" t="s">
        <v>229</v>
      </c>
    </row>
    <row r="5" spans="1:16" s="10" customFormat="1" ht="18" customHeight="1">
      <c r="A5" s="902">
        <f>IF(B5&lt;&gt;"",ROW()-4,"")</f>
        <v>1</v>
      </c>
      <c r="B5" s="7" t="s">
        <v>728</v>
      </c>
      <c r="C5" s="233">
        <v>40200</v>
      </c>
      <c r="D5" s="233">
        <v>0</v>
      </c>
      <c r="E5" s="338">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2">
        <f t="shared" ref="A6:A33" si="2">IF(B6&lt;&gt;"",ROW()-4,"")</f>
        <v>2</v>
      </c>
      <c r="B6" s="7" t="s">
        <v>720</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2">
        <f t="shared" si="2"/>
        <v>3</v>
      </c>
      <c r="B7" s="7" t="s">
        <v>721</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2">
        <f t="shared" si="2"/>
        <v>4</v>
      </c>
      <c r="B8" s="7" t="s">
        <v>729</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2">
        <f t="shared" si="2"/>
        <v>5</v>
      </c>
      <c r="B9" s="7" t="s">
        <v>724</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2">
        <f t="shared" si="2"/>
        <v>6</v>
      </c>
      <c r="B10" s="7" t="s">
        <v>730</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2">
        <f t="shared" si="2"/>
        <v>7</v>
      </c>
      <c r="B11" s="7" t="s">
        <v>731</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2">
        <f t="shared" si="2"/>
        <v>8</v>
      </c>
      <c r="B12" s="7" t="s">
        <v>732</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2">
        <f t="shared" si="2"/>
        <v>9</v>
      </c>
      <c r="B13" s="7" t="s">
        <v>733</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2">
        <f t="shared" si="2"/>
        <v>10</v>
      </c>
      <c r="B14" s="7" t="s">
        <v>734</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2">
        <f t="shared" si="2"/>
        <v>11</v>
      </c>
      <c r="B15" s="7" t="s">
        <v>735</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2">
        <f t="shared" si="2"/>
        <v>12</v>
      </c>
      <c r="B16" s="7" t="s">
        <v>736</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2">
        <f t="shared" si="2"/>
        <v>13</v>
      </c>
      <c r="B17" s="7" t="s">
        <v>726</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2">
        <f t="shared" si="2"/>
        <v>14</v>
      </c>
      <c r="B18" s="7" t="s">
        <v>737</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2">
        <f t="shared" si="2"/>
        <v>15</v>
      </c>
      <c r="B19" s="7" t="s">
        <v>738</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2">
        <f t="shared" si="2"/>
        <v>16</v>
      </c>
      <c r="B20" s="7" t="s">
        <v>739</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2">
        <f t="shared" si="2"/>
        <v>17</v>
      </c>
      <c r="B21" s="7" t="s">
        <v>740</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2">
        <f t="shared" si="2"/>
        <v>18</v>
      </c>
      <c r="B22" s="7" t="s">
        <v>741</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2">
        <f t="shared" si="2"/>
        <v>19</v>
      </c>
      <c r="B23" s="7" t="s">
        <v>744</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2">
        <f t="shared" si="2"/>
        <v>20</v>
      </c>
      <c r="B24" s="7" t="s">
        <v>750</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2">
        <f t="shared" si="2"/>
        <v>21</v>
      </c>
      <c r="B25" s="74" t="s">
        <v>1199</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2">
        <f t="shared" si="2"/>
        <v>22</v>
      </c>
      <c r="B26" s="74" t="s">
        <v>1201</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2">
        <f t="shared" si="2"/>
        <v>23</v>
      </c>
      <c r="B27" s="899" t="s">
        <v>1474</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2" t="str">
        <f t="shared" si="2"/>
        <v/>
      </c>
      <c r="B28" s="74"/>
      <c r="C28" s="233"/>
      <c r="D28" s="233"/>
      <c r="E28" s="233"/>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6">
        <f t="shared" si="8"/>
        <v>0</v>
      </c>
      <c r="N28" s="236">
        <f t="shared" si="9"/>
        <v>0</v>
      </c>
      <c r="O28" s="236">
        <f t="shared" si="10"/>
        <v>0</v>
      </c>
      <c r="P28" s="236">
        <f t="shared" si="11"/>
        <v>0</v>
      </c>
    </row>
    <row r="29" spans="1:16" s="10" customFormat="1" ht="18" customHeight="1">
      <c r="A29" s="902" t="str">
        <f t="shared" si="2"/>
        <v/>
      </c>
      <c r="B29" s="74"/>
      <c r="C29" s="233"/>
      <c r="D29" s="233"/>
      <c r="E29" s="233"/>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6">
        <f t="shared" si="8"/>
        <v>0</v>
      </c>
      <c r="N29" s="236">
        <f t="shared" si="9"/>
        <v>0</v>
      </c>
      <c r="O29" s="236">
        <f t="shared" si="10"/>
        <v>0</v>
      </c>
      <c r="P29" s="236">
        <f t="shared" si="11"/>
        <v>0</v>
      </c>
    </row>
    <row r="30" spans="1:16" s="10" customFormat="1" ht="18" customHeight="1">
      <c r="A30" s="902"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2"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2"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2" t="str">
        <f t="shared" si="2"/>
        <v/>
      </c>
      <c r="B33" s="237"/>
      <c r="C33" s="238"/>
      <c r="D33" s="238"/>
      <c r="E33" s="238"/>
      <c r="F33" s="234"/>
      <c r="G33" s="234"/>
      <c r="H33" s="234"/>
      <c r="I33" s="234"/>
      <c r="J33" s="234"/>
      <c r="K33" s="234"/>
      <c r="L33" s="234"/>
      <c r="M33" s="339"/>
      <c r="N33" s="235"/>
      <c r="O33" s="235"/>
      <c r="P33" s="235"/>
    </row>
    <row r="34" spans="1:16" s="14" customFormat="1" ht="18" customHeight="1">
      <c r="A34" s="11"/>
      <c r="B34" s="12" t="s">
        <v>41</v>
      </c>
      <c r="C34" s="12"/>
      <c r="D34" s="12"/>
      <c r="E34" s="12"/>
      <c r="F34" s="13">
        <f>SUM(F5:F33)</f>
        <v>0</v>
      </c>
      <c r="G34" s="13"/>
      <c r="H34" s="13">
        <f>SUM(H5:H33)</f>
        <v>23372042379</v>
      </c>
      <c r="I34" s="13"/>
      <c r="J34" s="13">
        <f>SUM(J5:J33)</f>
        <v>8811867000</v>
      </c>
      <c r="K34" s="13"/>
      <c r="L34" s="13">
        <f>SUM(L5:L33)</f>
        <v>8839964000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2"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9" t="s">
        <v>239</v>
      </c>
      <c r="K1" s="1299"/>
      <c r="L1" s="1299"/>
      <c r="M1" s="1299"/>
      <c r="N1" s="1299"/>
    </row>
    <row r="2" spans="1:14" s="241" customFormat="1" ht="16.5" customHeight="1">
      <c r="A2" s="248" t="s">
        <v>180</v>
      </c>
      <c r="B2" s="364"/>
      <c r="C2" s="364"/>
      <c r="H2" s="242"/>
      <c r="I2" s="242"/>
      <c r="J2" s="1300" t="s">
        <v>240</v>
      </c>
      <c r="K2" s="1300"/>
      <c r="L2" s="1300"/>
      <c r="M2" s="1300"/>
      <c r="N2" s="1300"/>
    </row>
    <row r="3" spans="1:14" s="241" customFormat="1" ht="16.5" customHeight="1">
      <c r="A3" s="364"/>
      <c r="B3" s="364"/>
      <c r="C3" s="364"/>
      <c r="H3" s="242"/>
      <c r="I3" s="242"/>
      <c r="J3" s="1300"/>
      <c r="K3" s="1300"/>
      <c r="L3" s="1300"/>
      <c r="M3" s="1300"/>
      <c r="N3" s="1300"/>
    </row>
    <row r="4" spans="1:14" s="241" customFormat="1" ht="16.5" customHeight="1">
      <c r="A4" s="364"/>
      <c r="B4" s="364"/>
      <c r="C4" s="364"/>
      <c r="H4" s="242"/>
      <c r="I4" s="242"/>
      <c r="J4" s="365"/>
      <c r="K4" s="365"/>
      <c r="L4" s="365"/>
      <c r="M4" s="365"/>
      <c r="N4" s="365"/>
    </row>
    <row r="5" spans="1:14" s="18" customFormat="1" ht="23.25" customHeight="1">
      <c r="A5" s="1283" t="s">
        <v>241</v>
      </c>
      <c r="B5" s="1283"/>
      <c r="C5" s="1283"/>
      <c r="D5" s="1283"/>
      <c r="E5" s="1283"/>
      <c r="F5" s="1283"/>
      <c r="G5" s="1283"/>
      <c r="H5" s="1283"/>
      <c r="I5" s="1283"/>
      <c r="J5" s="1283"/>
      <c r="K5" s="1283"/>
      <c r="L5" s="1283"/>
      <c r="M5" s="1283"/>
      <c r="N5" s="1283"/>
    </row>
    <row r="6" spans="1:14" s="18" customFormat="1">
      <c r="A6" s="1240" t="s">
        <v>242</v>
      </c>
      <c r="B6" s="1240"/>
      <c r="C6" s="1240"/>
      <c r="D6" s="1240"/>
      <c r="E6" s="1240"/>
      <c r="F6" s="1240"/>
      <c r="G6" s="1240"/>
      <c r="H6" s="1240"/>
      <c r="I6" s="1240"/>
      <c r="J6" s="1240"/>
      <c r="K6" s="1240"/>
      <c r="L6" s="1240"/>
      <c r="M6" s="1240"/>
      <c r="N6" s="1240"/>
    </row>
    <row r="7" spans="1:14" s="18" customFormat="1">
      <c r="A7" s="1240" t="s">
        <v>243</v>
      </c>
      <c r="B7" s="1240"/>
      <c r="C7" s="1240"/>
      <c r="D7" s="1240"/>
      <c r="E7" s="1240"/>
      <c r="F7" s="1240"/>
      <c r="G7" s="1240"/>
      <c r="H7" s="1240"/>
      <c r="I7" s="1240"/>
      <c r="J7" s="1240"/>
      <c r="K7" s="1240"/>
      <c r="L7" s="1240"/>
      <c r="M7" s="1240"/>
      <c r="N7" s="1240"/>
    </row>
    <row r="8" spans="1:14" s="18" customFormat="1" ht="15" customHeight="1">
      <c r="A8" s="1240" t="str">
        <f>IF(MID($H$9,4,4)="1015","Đối tượng cho vay: NH Eximbank CN Q11","Đối tượng cho vay: NH Eximbank CN Q4")</f>
        <v>Đối tượng cho vay: NH Eximbank CN Q11</v>
      </c>
      <c r="B8" s="1240"/>
      <c r="C8" s="1240"/>
      <c r="D8" s="1240"/>
      <c r="E8" s="1240"/>
      <c r="F8" s="1240"/>
      <c r="G8" s="1240"/>
      <c r="H8" s="1240"/>
      <c r="I8" s="1240"/>
      <c r="J8" s="1240"/>
      <c r="K8" s="1240"/>
      <c r="L8" s="1240"/>
      <c r="M8" s="1240"/>
      <c r="N8" s="1240"/>
    </row>
    <row r="9" spans="1:14" s="18" customFormat="1">
      <c r="A9" s="363"/>
      <c r="B9" s="363"/>
      <c r="C9" s="363"/>
      <c r="D9" s="363"/>
      <c r="E9" s="363"/>
      <c r="F9" s="363"/>
      <c r="G9" s="20" t="s">
        <v>244</v>
      </c>
      <c r="H9" s="1310" t="s">
        <v>732</v>
      </c>
      <c r="I9" s="1310"/>
      <c r="J9" s="366" t="str">
        <f>"ngày "&amp; TEXT(VLOOKUP($H$9,'341'!$B$5:$P$33,2,0),"dd/MM/yy")</f>
        <v>ngày 04/09/15</v>
      </c>
      <c r="K9" s="363"/>
      <c r="L9" s="363"/>
      <c r="M9" s="363"/>
      <c r="N9" s="363"/>
    </row>
    <row r="10" spans="1:14" s="18" customFormat="1">
      <c r="A10" s="1240" t="s">
        <v>245</v>
      </c>
      <c r="B10" s="1240"/>
      <c r="C10" s="1240"/>
      <c r="D10" s="1240"/>
      <c r="E10" s="1240"/>
      <c r="F10" s="1240"/>
      <c r="G10" s="1240"/>
      <c r="H10" s="1240"/>
      <c r="I10" s="1240"/>
      <c r="J10" s="1240"/>
      <c r="K10" s="1240"/>
      <c r="L10" s="1240"/>
      <c r="M10" s="1240"/>
      <c r="N10" s="1240"/>
    </row>
    <row r="11" spans="1:14" s="18" customFormat="1">
      <c r="C11" s="1302"/>
      <c r="D11" s="1302"/>
      <c r="E11" s="1302"/>
      <c r="F11" s="1302"/>
      <c r="G11" s="1302"/>
      <c r="H11" s="1302"/>
      <c r="I11" s="1302"/>
      <c r="J11" s="1302"/>
      <c r="K11" s="1302"/>
      <c r="L11" s="1302"/>
      <c r="M11" s="1302"/>
      <c r="N11" s="1302"/>
    </row>
    <row r="12" spans="1:14" s="18" customFormat="1" ht="15.75" customHeight="1">
      <c r="A12" s="1311" t="s">
        <v>22</v>
      </c>
      <c r="B12" s="1304" t="s">
        <v>1</v>
      </c>
      <c r="C12" s="1305"/>
      <c r="D12" s="1311" t="s">
        <v>0</v>
      </c>
      <c r="E12" s="1311" t="s">
        <v>16</v>
      </c>
      <c r="F12" s="1311" t="s">
        <v>246</v>
      </c>
      <c r="G12" s="1304" t="s">
        <v>23</v>
      </c>
      <c r="H12" s="1316"/>
      <c r="I12" s="1316"/>
      <c r="J12" s="1309"/>
      <c r="K12" s="1304" t="s">
        <v>33</v>
      </c>
      <c r="L12" s="1316"/>
      <c r="M12" s="1316"/>
      <c r="N12" s="1309"/>
    </row>
    <row r="13" spans="1:14" s="18" customFormat="1" ht="15.75" customHeight="1">
      <c r="A13" s="1312"/>
      <c r="B13" s="1317" t="s">
        <v>17</v>
      </c>
      <c r="C13" s="1317" t="s">
        <v>34</v>
      </c>
      <c r="D13" s="1312"/>
      <c r="E13" s="1312"/>
      <c r="F13" s="1314"/>
      <c r="G13" s="1308" t="s">
        <v>24</v>
      </c>
      <c r="H13" s="1309"/>
      <c r="I13" s="1308" t="s">
        <v>25</v>
      </c>
      <c r="J13" s="1309"/>
      <c r="K13" s="1308" t="s">
        <v>24</v>
      </c>
      <c r="L13" s="1309"/>
      <c r="M13" s="1308" t="s">
        <v>25</v>
      </c>
      <c r="N13" s="1309"/>
    </row>
    <row r="14" spans="1:14" s="18" customFormat="1" ht="32.25" customHeight="1">
      <c r="A14" s="1313"/>
      <c r="B14" s="1318"/>
      <c r="C14" s="1318"/>
      <c r="D14" s="1313"/>
      <c r="E14" s="1313"/>
      <c r="F14" s="1315"/>
      <c r="G14" s="30" t="s">
        <v>247</v>
      </c>
      <c r="H14" s="30" t="s">
        <v>248</v>
      </c>
      <c r="I14" s="30" t="s">
        <v>247</v>
      </c>
      <c r="J14" s="30" t="s">
        <v>248</v>
      </c>
      <c r="K14" s="30" t="s">
        <v>247</v>
      </c>
      <c r="L14" s="30" t="s">
        <v>248</v>
      </c>
      <c r="M14" s="30" t="s">
        <v>247</v>
      </c>
      <c r="N14" s="30" t="s">
        <v>248</v>
      </c>
    </row>
    <row r="15" spans="1:14" s="363" customFormat="1">
      <c r="A15" s="367" t="s">
        <v>2</v>
      </c>
      <c r="B15" s="368" t="s">
        <v>3</v>
      </c>
      <c r="C15" s="367" t="s">
        <v>4</v>
      </c>
      <c r="D15" s="367" t="s">
        <v>5</v>
      </c>
      <c r="E15" s="367" t="s">
        <v>6</v>
      </c>
      <c r="F15" s="367">
        <v>1</v>
      </c>
      <c r="G15" s="367">
        <v>2</v>
      </c>
      <c r="H15" s="367">
        <v>3</v>
      </c>
      <c r="I15" s="367">
        <v>4</v>
      </c>
      <c r="J15" s="367">
        <v>5</v>
      </c>
      <c r="K15" s="367">
        <v>6</v>
      </c>
      <c r="L15" s="367">
        <v>7</v>
      </c>
      <c r="M15" s="367">
        <v>8</v>
      </c>
      <c r="N15" s="367">
        <v>9</v>
      </c>
    </row>
    <row r="16" spans="1:14" s="18" customFormat="1" ht="19.5" customHeight="1">
      <c r="A16" s="392"/>
      <c r="B16" s="392"/>
      <c r="C16" s="392"/>
      <c r="D16" s="393" t="s">
        <v>7</v>
      </c>
      <c r="E16" s="394"/>
      <c r="F16" s="394"/>
      <c r="G16" s="392"/>
      <c r="H16" s="392"/>
      <c r="I16" s="392"/>
      <c r="J16" s="392"/>
      <c r="K16" s="395">
        <f>VLOOKUP($H$9,'341'!$B$5:$P$33,4,0)</f>
        <v>0</v>
      </c>
      <c r="L16" s="396">
        <f>VLOOKUP($H$9,'341'!$B$5:$P$33,5,0)</f>
        <v>0</v>
      </c>
      <c r="M16" s="395">
        <f>VLOOKUP($H$9,'341'!$B$5:$P$33,6,0)</f>
        <v>50000</v>
      </c>
      <c r="N16" s="396">
        <f>VLOOKUP($H$9,'341'!$B$5:$P$33,7,0)</f>
        <v>1124250000</v>
      </c>
    </row>
    <row r="17" spans="1:14" s="18" customFormat="1" ht="19.5" customHeight="1">
      <c r="A17" s="334">
        <f ca="1">IF(ROWS($1:1)&gt;COUNT(Dong4),"",OFFSET(TH!C$1,SMALL(Dong4,ROWS($1:1)),))</f>
        <v>42437</v>
      </c>
      <c r="B17" s="243" t="str">
        <f ca="1">IF(ROWS($1:1)&gt;COUNT(Dong4),"",OFFSET(TH!D$1,SMALL(Dong4,ROWS($1:1)),))</f>
        <v>GBN</v>
      </c>
      <c r="C17" s="243">
        <f ca="1">IF(ROWS($1:1)&gt;COUNT(Dong4),"",OFFSET(TH!E$1,SMALL(Dong4,ROWS($1:1)),))</f>
        <v>42437</v>
      </c>
      <c r="D17" s="397" t="str">
        <f ca="1">IF(ROWS($1:1)&gt;COUNT(Dong4),"",OFFSET(TH!F$1,SMALL(Dong4,ROWS($1:1)),))</f>
        <v>Trả gốc vay</v>
      </c>
      <c r="E17" s="243" t="str">
        <f ca="1">IF(ROWS($1:1)&gt;COUNT(Dong4),"",IF(LEFT(OFFSET(TH!O$1,SMALL(Dong4,ROWS($1:1)),),3)="341",OFFSET(TH!N$1,SMALL(Dong4,ROWS($1:1)),),OFFSET(TH!O$1,SMALL(Dong4,ROWS($1:1)),)))</f>
        <v>1122</v>
      </c>
      <c r="F17" s="398"/>
      <c r="G17" s="399">
        <f ca="1">IF(ROWS($1:1)&gt;COUNT(Dong4),"",IF(LEFT(OFFSET(TH!N$1,SMALL(Dong4,ROWS($1:1)),),3)="341",OFFSET(TH!K$1,SMALL(Dong4,ROWS($1:1)),),0))</f>
        <v>50000</v>
      </c>
      <c r="H17" s="398">
        <f ca="1">IF(ROWS($1:1)&gt;COUNT(Dong4),"",IF(LEFT(OFFSET(TH!N$1,SMALL(Dong4,ROWS($1:1)),),3)="341",OFFSET(TH!M$1,SMALL(Dong4,ROWS($1:1)),),0))</f>
        <v>1115000000</v>
      </c>
      <c r="I17" s="399">
        <f ca="1">IF(ROWS($1:1)&gt;COUNT(Dong4),"",IF(LEFT(OFFSET(TH!O$1,SMALL(Dong4,ROWS($1:1)),),3)="341",OFFSET(TH!K$1,SMALL(Dong4,ROWS($1:1)),),0))</f>
        <v>0</v>
      </c>
      <c r="J17" s="398">
        <f ca="1">IF(ROWS($1:1)&gt;COUNT(Dong4),"",IF(LEFT(OFFSET(TH!O$1,SMALL(Dong4,ROWS($1:1)),),3)="341",OFFSET(TH!M$1,SMALL(Dong4,ROWS($1:1)),),0))</f>
        <v>0</v>
      </c>
      <c r="K17" s="234">
        <f ca="1">IF(C17&lt;&gt;"",ROUND(MAX(K16+G17-I17-M16,0),2),0)</f>
        <v>0</v>
      </c>
      <c r="L17" s="8">
        <f ca="1">IF(C17&lt;&gt;"",MAX(L16-N16+H17-J17,0),0)</f>
        <v>0</v>
      </c>
      <c r="M17" s="234">
        <f ca="1">IF(C17&lt;&gt;"",ROUND(MAX(M16+I17-G17-K16,0),2),0)</f>
        <v>0</v>
      </c>
      <c r="N17" s="8">
        <f ca="1">IF(C17&lt;&gt;"",MAX(N16-L16+J17-H17,0),0)</f>
        <v>9250000</v>
      </c>
    </row>
    <row r="18" spans="1:14" s="400" customFormat="1" ht="19.5" customHeight="1">
      <c r="A18" s="334">
        <f ca="1">IF(ROWS($1:2)&gt;COUNT(Dong4),"",OFFSET(TH!C$1,SMALL(Dong4,ROWS($1:2)),))</f>
        <v>42437</v>
      </c>
      <c r="B18" s="243" t="str">
        <f ca="1">IF(ROWS($1:2)&gt;COUNT(Dong4),"",OFFSET(TH!D$1,SMALL(Dong4,ROWS($1:2)),))</f>
        <v>CTGS</v>
      </c>
      <c r="C18" s="243">
        <f ca="1">IF(ROWS($1:2)&gt;COUNT(Dong4),"",OFFSET(TH!E$1,SMALL(Dong4,ROWS($1:2)),))</f>
        <v>42437</v>
      </c>
      <c r="D18" s="397" t="str">
        <f ca="1">IF(ROWS($1:2)&gt;COUNT(Dong4),"",OFFSET(TH!F$1,SMALL(Dong4,ROWS($1:2)),))</f>
        <v>Chênh lệch tỷ giá vay</v>
      </c>
      <c r="E18" s="243" t="str">
        <f ca="1">IF(ROWS($1:2)&gt;COUNT(Dong4),"",IF(LEFT(OFFSET(TH!O$1,SMALL(Dong4,ROWS($1:2)),),3)="341",OFFSET(TH!N$1,SMALL(Dong4,ROWS($1:2)),),OFFSET(TH!O$1,SMALL(Dong4,ROWS($1:2)),)))</f>
        <v>515</v>
      </c>
      <c r="F18" s="398"/>
      <c r="G18" s="399">
        <f ca="1">IF(ROWS($1:2)&gt;COUNT(Dong4),"",IF(LEFT(OFFSET(TH!N$1,SMALL(Dong4,ROWS($1:2)),),3)="341",OFFSET(TH!K$1,SMALL(Dong4,ROWS($1:2)),),0))</f>
        <v>0</v>
      </c>
      <c r="H18" s="398">
        <f ca="1">IF(ROWS($1:2)&gt;COUNT(Dong4),"",IF(LEFT(OFFSET(TH!N$1,SMALL(Dong4,ROWS($1:2)),),3)="341",OFFSET(TH!M$1,SMALL(Dong4,ROWS($1:2)),),0))</f>
        <v>9250000</v>
      </c>
      <c r="I18" s="399">
        <f ca="1">IF(ROWS($1:2)&gt;COUNT(Dong4),"",IF(LEFT(OFFSET(TH!O$1,SMALL(Dong4,ROWS($1:2)),),3)="341",OFFSET(TH!K$1,SMALL(Dong4,ROWS($1:2)),),0))</f>
        <v>0</v>
      </c>
      <c r="J18" s="398">
        <f ca="1">IF(ROWS($1:2)&gt;COUNT(Dong4),"",IF(LEFT(OFFSET(TH!O$1,SMALL(Dong4,ROWS($1:2)),),3)="341",OFFSET(TH!M$1,SMALL(Dong4,ROWS($1:2)),),0))</f>
        <v>0</v>
      </c>
      <c r="K18" s="234">
        <f ca="1">IF(C18&lt;&gt;"",ROUND(MAX(K17+G18-I18-M17,0),2),0)</f>
        <v>0</v>
      </c>
      <c r="L18" s="8">
        <f ca="1">IF(C18&lt;&gt;"",MAX(L17-N17+H18-J18,0),0)</f>
        <v>0</v>
      </c>
      <c r="M18" s="234">
        <f ca="1">IF(C18&lt;&gt;"",ROUND(MAX(M17+I18-G18-K17,0),2),0)</f>
        <v>0</v>
      </c>
      <c r="N18" s="8">
        <f ca="1">IF(C18&lt;&gt;"",MAX(N17-L17+J18-H18,0),0)</f>
        <v>0</v>
      </c>
    </row>
    <row r="19" spans="1:14" s="400" customFormat="1" ht="19.5" customHeight="1">
      <c r="A19" s="334" t="str">
        <f ca="1">IF(ROWS($1:3)&gt;COUNT(Dong4),"",OFFSET(TH!C$1,SMALL(Dong4,ROWS($1:3)),))</f>
        <v/>
      </c>
      <c r="B19" s="243" t="str">
        <f ca="1">IF(ROWS($1:3)&gt;COUNT(Dong4),"",OFFSET(TH!D$1,SMALL(Dong4,ROWS($1:3)),))</f>
        <v/>
      </c>
      <c r="C19" s="243" t="str">
        <f ca="1">IF(ROWS($1:3)&gt;COUNT(Dong4),"",OFFSET(TH!E$1,SMALL(Dong4,ROWS($1:3)),))</f>
        <v/>
      </c>
      <c r="D19" s="397" t="str">
        <f ca="1">IF(ROWS($1:3)&gt;COUNT(Dong4),"",OFFSET(TH!F$1,SMALL(Dong4,ROWS($1:3)),))</f>
        <v/>
      </c>
      <c r="E19" s="243" t="str">
        <f ca="1">IF(ROWS($1:3)&gt;COUNT(Dong4),"",IF(LEFT(OFFSET(TH!O$1,SMALL(Dong4,ROWS($1:3)),),3)="341",OFFSET(TH!N$1,SMALL(Dong4,ROWS($1:3)),),OFFSET(TH!O$1,SMALL(Dong4,ROWS($1:3)),)))</f>
        <v/>
      </c>
      <c r="F19" s="398"/>
      <c r="G19" s="399" t="str">
        <f ca="1">IF(ROWS($1:3)&gt;COUNT(Dong4),"",IF(LEFT(OFFSET(TH!N$1,SMALL(Dong4,ROWS($1:3)),),3)="341",OFFSET(TH!K$1,SMALL(Dong4,ROWS($1:3)),),0))</f>
        <v/>
      </c>
      <c r="H19" s="398" t="str">
        <f ca="1">IF(ROWS($1:3)&gt;COUNT(Dong4),"",IF(LEFT(OFFSET(TH!N$1,SMALL(Dong4,ROWS($1:3)),),3)="341",OFFSET(TH!M$1,SMALL(Dong4,ROWS($1:3)),),0))</f>
        <v/>
      </c>
      <c r="I19" s="399" t="str">
        <f ca="1">IF(ROWS($1:3)&gt;COUNT(Dong4),"",IF(LEFT(OFFSET(TH!O$1,SMALL(Dong4,ROWS($1:3)),),3)="341",OFFSET(TH!K$1,SMALL(Dong4,ROWS($1:3)),),0))</f>
        <v/>
      </c>
      <c r="J19" s="398" t="str">
        <f ca="1">IF(ROWS($1:3)&gt;COUNT(Dong4),"",IF(LEFT(OFFSET(TH!O$1,SMALL(Dong4,ROWS($1:3)),),3)="341",OFFSET(TH!M$1,SMALL(Dong4,ROWS($1:3)),),0))</f>
        <v/>
      </c>
      <c r="K19" s="234">
        <f ca="1">IF(C19&lt;&gt;"",ROUND(MAX(K18+G19-I19-M18,0),2),0)</f>
        <v>0</v>
      </c>
      <c r="L19" s="8">
        <f ca="1">IF(C19&lt;&gt;"",MAX(L18-N18+H19-J19,0),0)</f>
        <v>0</v>
      </c>
      <c r="M19" s="234">
        <f ca="1">IF(C19&lt;&gt;"",ROUND(MAX(M18+I19-G19-K18,0),2),0)</f>
        <v>0</v>
      </c>
      <c r="N19" s="8">
        <f ca="1">IF(C19&lt;&gt;"",MAX(N18-L18+J19-H19,0),0)</f>
        <v>0</v>
      </c>
    </row>
    <row r="20" spans="1:14" s="400" customFormat="1" ht="19.5" customHeight="1">
      <c r="A20" s="401"/>
      <c r="B20" s="401"/>
      <c r="C20" s="401"/>
      <c r="D20" s="402"/>
      <c r="E20" s="403"/>
      <c r="F20" s="404"/>
      <c r="G20" s="405"/>
      <c r="H20" s="405"/>
      <c r="I20" s="405"/>
      <c r="J20" s="406"/>
      <c r="K20" s="234"/>
      <c r="L20" s="8"/>
      <c r="M20" s="234"/>
      <c r="N20" s="8"/>
    </row>
    <row r="21" spans="1:14" s="18" customFormat="1" ht="19.5" customHeight="1">
      <c r="A21" s="243"/>
      <c r="B21" s="243"/>
      <c r="C21" s="243"/>
      <c r="D21" s="407" t="s">
        <v>35</v>
      </c>
      <c r="E21" s="335" t="s">
        <v>21</v>
      </c>
      <c r="F21" s="335" t="s">
        <v>21</v>
      </c>
      <c r="G21" s="408">
        <f ca="1">SUM(G17:G18)</f>
        <v>50000</v>
      </c>
      <c r="H21" s="409">
        <f ca="1">SUM(H17:H18)</f>
        <v>1124250000</v>
      </c>
      <c r="I21" s="408">
        <f ca="1">SUM(I17:I18)</f>
        <v>0</v>
      </c>
      <c r="J21" s="409">
        <f ca="1">SUM(J17:J18)</f>
        <v>0</v>
      </c>
      <c r="K21" s="409" t="s">
        <v>21</v>
      </c>
      <c r="L21" s="409" t="s">
        <v>21</v>
      </c>
      <c r="M21" s="409" t="s">
        <v>21</v>
      </c>
      <c r="N21" s="409" t="s">
        <v>21</v>
      </c>
    </row>
    <row r="22" spans="1:14" s="18" customFormat="1" ht="19.5" customHeight="1">
      <c r="A22" s="410"/>
      <c r="B22" s="410"/>
      <c r="C22" s="410"/>
      <c r="D22" s="411" t="s">
        <v>10</v>
      </c>
      <c r="E22" s="412" t="s">
        <v>21</v>
      </c>
      <c r="F22" s="412" t="s">
        <v>21</v>
      </c>
      <c r="G22" s="412" t="s">
        <v>21</v>
      </c>
      <c r="H22" s="412" t="s">
        <v>21</v>
      </c>
      <c r="I22" s="412" t="s">
        <v>21</v>
      </c>
      <c r="J22" s="412" t="s">
        <v>21</v>
      </c>
      <c r="K22" s="413">
        <f ca="1">MAX(K16+G21-M16-I21,0)</f>
        <v>0</v>
      </c>
      <c r="L22" s="414">
        <f ca="1">MAX(L16+H21-N16-J21,0)</f>
        <v>0</v>
      </c>
      <c r="M22" s="413">
        <f ca="1">MAX(M16+I21-K16-G21,0)</f>
        <v>0</v>
      </c>
      <c r="N22" s="414">
        <f ca="1">MAX(N16+J21-L16-H21,0)</f>
        <v>0</v>
      </c>
    </row>
    <row r="23" spans="1:14" s="18" customFormat="1">
      <c r="E23" s="363"/>
      <c r="F23" s="363"/>
    </row>
    <row r="24" spans="1:14" s="18" customFormat="1">
      <c r="A24" s="244" t="s">
        <v>249</v>
      </c>
      <c r="E24" s="363"/>
      <c r="F24" s="363"/>
    </row>
    <row r="25" spans="1:14" s="18" customFormat="1">
      <c r="A25" s="244" t="str">
        <f>"- Ngày mở sổ: "&amp; TEXT(VLOOKUP($H$9,'341'!$B$5:$P$33,2,0),"dd/MM/yy")</f>
        <v>- Ngày mở sổ: 04/09/15</v>
      </c>
      <c r="E25" s="363"/>
      <c r="F25" s="363"/>
    </row>
    <row r="26" spans="1:14" s="18" customFormat="1">
      <c r="E26" s="363"/>
      <c r="F26" s="363"/>
      <c r="L26" s="363" t="s">
        <v>250</v>
      </c>
    </row>
    <row r="27" spans="1:14" s="18" customFormat="1">
      <c r="C27" s="363" t="s">
        <v>11</v>
      </c>
      <c r="E27" s="363"/>
      <c r="F27" s="363"/>
      <c r="L27" s="363" t="s">
        <v>12</v>
      </c>
    </row>
    <row r="28" spans="1:14" s="18" customFormat="1">
      <c r="C28" s="363" t="s">
        <v>13</v>
      </c>
      <c r="E28" s="363"/>
      <c r="F28" s="363"/>
      <c r="L28" s="363" t="s">
        <v>13</v>
      </c>
    </row>
    <row r="29" spans="1:14" s="18" customFormat="1">
      <c r="E29" s="363"/>
      <c r="F29" s="363"/>
    </row>
    <row r="30" spans="1:14" s="18" customFormat="1">
      <c r="E30" s="363"/>
      <c r="F30" s="363"/>
    </row>
    <row r="31" spans="1:14" s="245" customFormat="1"/>
    <row r="32" spans="1:14" s="245" customFormat="1"/>
    <row r="33" spans="2:4" s="245" customFormat="1"/>
    <row r="34" spans="2:4" s="245" customFormat="1"/>
    <row r="35" spans="2:4" s="245" customFormat="1" ht="15">
      <c r="B35" s="415"/>
      <c r="C35" s="416" t="s">
        <v>251</v>
      </c>
      <c r="D35" s="415"/>
    </row>
    <row r="36" spans="2:4" s="245" customFormat="1"/>
    <row r="37" spans="2:4" s="245" customFormat="1"/>
    <row r="38" spans="2:4" s="245" customFormat="1"/>
    <row r="39" spans="2:4" s="245" customFormat="1"/>
    <row r="40" spans="2:4" s="245" customFormat="1"/>
    <row r="41" spans="2:4" s="245" customFormat="1"/>
    <row r="42" spans="2:4" s="245" customFormat="1"/>
    <row r="43" spans="2:4" s="245"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sheetPr>
    <tabColor indexed="53"/>
  </sheetPr>
  <dimension ref="A2:N24"/>
  <sheetViews>
    <sheetView zoomScale="90" workbookViewId="0">
      <selection activeCell="E17" sqref="E17:E18"/>
    </sheetView>
  </sheetViews>
  <sheetFormatPr defaultRowHeight="15"/>
  <cols>
    <col min="1" max="1" width="7.7109375" style="471" customWidth="1"/>
    <col min="2" max="2" width="7" style="471" customWidth="1"/>
    <col min="3" max="3" width="9.140625" style="471"/>
    <col min="4" max="4" width="25" style="471" customWidth="1"/>
    <col min="5" max="5" width="6.5703125" style="471" customWidth="1"/>
    <col min="6" max="10" width="10" style="471" customWidth="1"/>
    <col min="11" max="11" width="8.7109375" style="471" customWidth="1"/>
    <col min="12" max="12" width="15" style="471" customWidth="1"/>
    <col min="13" max="13" width="10" style="471" customWidth="1"/>
    <col min="14" max="14" width="9.42578125" style="471" customWidth="1"/>
    <col min="15" max="16384" width="9.140625" style="471"/>
  </cols>
  <sheetData>
    <row r="2" spans="1:14">
      <c r="A2" s="470" t="s">
        <v>182</v>
      </c>
      <c r="C2" s="472"/>
      <c r="F2" s="473"/>
      <c r="G2" s="473"/>
      <c r="H2" s="473"/>
      <c r="I2" s="473"/>
      <c r="J2" s="473"/>
      <c r="K2" s="473" t="s">
        <v>305</v>
      </c>
      <c r="L2" s="473"/>
      <c r="M2" s="473"/>
      <c r="N2" s="473"/>
    </row>
    <row r="3" spans="1:14">
      <c r="A3" s="470" t="s">
        <v>184</v>
      </c>
      <c r="C3" s="472"/>
      <c r="F3" s="474"/>
      <c r="G3" s="474"/>
      <c r="H3" s="474"/>
      <c r="I3" s="474"/>
      <c r="J3" s="474"/>
      <c r="K3" s="474" t="s">
        <v>237</v>
      </c>
      <c r="L3" s="474"/>
      <c r="M3" s="474"/>
      <c r="N3" s="474"/>
    </row>
    <row r="4" spans="1:14">
      <c r="F4" s="474"/>
      <c r="G4" s="474"/>
      <c r="H4" s="474"/>
      <c r="I4" s="474"/>
      <c r="J4" s="474"/>
      <c r="K4" s="474" t="s">
        <v>238</v>
      </c>
      <c r="L4" s="474"/>
      <c r="M4" s="474"/>
      <c r="N4" s="474"/>
    </row>
    <row r="5" spans="1:14" s="475" customFormat="1" ht="23.25" customHeight="1">
      <c r="A5" s="1327" t="s">
        <v>306</v>
      </c>
      <c r="B5" s="1327"/>
      <c r="C5" s="1327"/>
      <c r="D5" s="1327"/>
      <c r="E5" s="1327"/>
      <c r="F5" s="1327"/>
      <c r="G5" s="1327"/>
      <c r="H5" s="1327"/>
      <c r="I5" s="1327"/>
      <c r="J5" s="1327"/>
      <c r="K5" s="1327"/>
      <c r="L5" s="1327"/>
      <c r="M5" s="1327"/>
      <c r="N5" s="1327"/>
    </row>
    <row r="6" spans="1:14">
      <c r="A6" s="1328" t="s">
        <v>257</v>
      </c>
      <c r="B6" s="1328" t="s">
        <v>307</v>
      </c>
      <c r="C6" s="1328"/>
      <c r="D6" s="1328"/>
      <c r="E6" s="1328"/>
      <c r="F6" s="1328"/>
      <c r="G6" s="1328"/>
      <c r="H6" s="1328"/>
      <c r="I6" s="1328"/>
      <c r="J6" s="1328"/>
      <c r="K6" s="1328"/>
      <c r="L6" s="1328"/>
      <c r="M6" s="1328"/>
      <c r="N6" s="1328"/>
    </row>
    <row r="7" spans="1:14">
      <c r="C7" s="1329"/>
      <c r="D7" s="1329"/>
      <c r="E7" s="1329"/>
      <c r="F7" s="1329"/>
      <c r="G7" s="1329"/>
      <c r="H7" s="1329"/>
      <c r="I7" s="1329"/>
      <c r="J7" s="1329"/>
      <c r="K7" s="1329"/>
      <c r="L7" s="1329"/>
      <c r="M7" s="1329"/>
      <c r="N7" s="1329"/>
    </row>
    <row r="8" spans="1:14" ht="15.75" customHeight="1">
      <c r="A8" s="1321" t="s">
        <v>22</v>
      </c>
      <c r="B8" s="1330" t="s">
        <v>1</v>
      </c>
      <c r="C8" s="1331"/>
      <c r="D8" s="1321" t="s">
        <v>0</v>
      </c>
      <c r="E8" s="1321" t="s">
        <v>16</v>
      </c>
      <c r="F8" s="1320" t="s">
        <v>23</v>
      </c>
      <c r="G8" s="1320"/>
      <c r="H8" s="1320"/>
      <c r="I8" s="1320"/>
      <c r="J8" s="1320"/>
      <c r="K8" s="1320"/>
      <c r="L8" s="1320" t="s">
        <v>33</v>
      </c>
      <c r="M8" s="1320"/>
      <c r="N8" s="1320"/>
    </row>
    <row r="9" spans="1:14" ht="15.75" customHeight="1">
      <c r="A9" s="1321"/>
      <c r="B9" s="1332"/>
      <c r="C9" s="1333"/>
      <c r="D9" s="1321"/>
      <c r="E9" s="1321"/>
      <c r="F9" s="1320" t="s">
        <v>308</v>
      </c>
      <c r="G9" s="1320"/>
      <c r="H9" s="1320"/>
      <c r="I9" s="1320" t="s">
        <v>309</v>
      </c>
      <c r="J9" s="1320"/>
      <c r="K9" s="1320"/>
      <c r="L9" s="1321" t="s">
        <v>310</v>
      </c>
      <c r="M9" s="1321" t="s">
        <v>311</v>
      </c>
      <c r="N9" s="1321" t="s">
        <v>312</v>
      </c>
    </row>
    <row r="10" spans="1:14" ht="15.75" customHeight="1">
      <c r="A10" s="1321"/>
      <c r="B10" s="1323" t="s">
        <v>17</v>
      </c>
      <c r="C10" s="1323" t="s">
        <v>34</v>
      </c>
      <c r="D10" s="1321"/>
      <c r="E10" s="1321"/>
      <c r="F10" s="1325" t="s">
        <v>310</v>
      </c>
      <c r="G10" s="1325" t="s">
        <v>311</v>
      </c>
      <c r="H10" s="1325" t="s">
        <v>312</v>
      </c>
      <c r="I10" s="1325" t="s">
        <v>310</v>
      </c>
      <c r="J10" s="1325" t="s">
        <v>311</v>
      </c>
      <c r="K10" s="1325" t="s">
        <v>312</v>
      </c>
      <c r="L10" s="1322"/>
      <c r="M10" s="1322"/>
      <c r="N10" s="1322"/>
    </row>
    <row r="11" spans="1:14">
      <c r="A11" s="1321"/>
      <c r="B11" s="1324"/>
      <c r="C11" s="1324"/>
      <c r="D11" s="1321"/>
      <c r="E11" s="1321"/>
      <c r="F11" s="1326"/>
      <c r="G11" s="1326"/>
      <c r="H11" s="1326"/>
      <c r="I11" s="1326"/>
      <c r="J11" s="1326"/>
      <c r="K11" s="1326"/>
      <c r="L11" s="1322"/>
      <c r="M11" s="1322"/>
      <c r="N11" s="1322"/>
    </row>
    <row r="12" spans="1:14" s="474" customFormat="1">
      <c r="A12" s="476" t="s">
        <v>2</v>
      </c>
      <c r="B12" s="477" t="s">
        <v>3</v>
      </c>
      <c r="C12" s="476" t="s">
        <v>4</v>
      </c>
      <c r="D12" s="476" t="s">
        <v>5</v>
      </c>
      <c r="E12" s="476" t="s">
        <v>6</v>
      </c>
      <c r="F12" s="476">
        <v>1</v>
      </c>
      <c r="G12" s="476"/>
      <c r="H12" s="476"/>
      <c r="I12" s="476"/>
      <c r="J12" s="476"/>
      <c r="K12" s="476"/>
      <c r="L12" s="476"/>
      <c r="M12" s="476"/>
      <c r="N12" s="476"/>
    </row>
    <row r="13" spans="1:14">
      <c r="A13" s="478"/>
      <c r="B13" s="478"/>
      <c r="C13" s="478"/>
      <c r="D13" s="479" t="s">
        <v>7</v>
      </c>
      <c r="E13" s="478"/>
      <c r="F13" s="478"/>
      <c r="G13" s="478"/>
      <c r="H13" s="478"/>
      <c r="I13" s="478"/>
      <c r="J13" s="478"/>
      <c r="K13" s="478"/>
      <c r="L13" s="480">
        <f>CDPS!$D$55</f>
        <v>10000000000</v>
      </c>
      <c r="M13" s="478"/>
      <c r="N13" s="478"/>
    </row>
    <row r="14" spans="1:14">
      <c r="A14" s="481"/>
      <c r="B14" s="481"/>
      <c r="C14" s="481"/>
      <c r="D14" s="482" t="s">
        <v>313</v>
      </c>
      <c r="E14" s="481"/>
      <c r="F14" s="481"/>
      <c r="G14" s="481"/>
      <c r="H14" s="481"/>
      <c r="I14" s="481"/>
      <c r="J14" s="481"/>
      <c r="K14" s="481"/>
      <c r="L14" s="481"/>
      <c r="M14" s="481"/>
      <c r="N14" s="481"/>
    </row>
    <row r="15" spans="1:14">
      <c r="A15" s="481"/>
      <c r="B15" s="481"/>
      <c r="C15" s="481"/>
      <c r="D15" s="481"/>
      <c r="E15" s="481"/>
      <c r="F15" s="481"/>
      <c r="G15" s="481"/>
      <c r="H15" s="481"/>
      <c r="I15" s="481"/>
      <c r="J15" s="481"/>
      <c r="K15" s="481"/>
      <c r="L15" s="481"/>
      <c r="M15" s="481"/>
      <c r="N15" s="481"/>
    </row>
    <row r="16" spans="1:14">
      <c r="A16" s="481"/>
      <c r="B16" s="481"/>
      <c r="C16" s="481"/>
      <c r="D16" s="483"/>
      <c r="E16" s="483"/>
      <c r="F16" s="483"/>
      <c r="G16" s="483"/>
      <c r="H16" s="483"/>
      <c r="I16" s="483"/>
      <c r="J16" s="483"/>
      <c r="K16" s="483"/>
      <c r="L16" s="483"/>
      <c r="M16" s="483"/>
      <c r="N16" s="483"/>
    </row>
    <row r="17" spans="1:14">
      <c r="A17" s="481"/>
      <c r="B17" s="481"/>
      <c r="C17" s="481"/>
      <c r="D17" s="484" t="s">
        <v>158</v>
      </c>
      <c r="E17" s="1021" t="s">
        <v>21</v>
      </c>
      <c r="F17" s="485"/>
      <c r="G17" s="485"/>
      <c r="H17" s="485"/>
      <c r="I17" s="485"/>
      <c r="J17" s="485"/>
      <c r="K17" s="485"/>
      <c r="L17" s="485"/>
      <c r="M17" s="485"/>
      <c r="N17" s="485"/>
    </row>
    <row r="18" spans="1:14">
      <c r="A18" s="486"/>
      <c r="B18" s="486"/>
      <c r="C18" s="486"/>
      <c r="D18" s="487" t="s">
        <v>10</v>
      </c>
      <c r="E18" s="1022" t="s">
        <v>21</v>
      </c>
      <c r="F18" s="486"/>
      <c r="G18" s="486"/>
      <c r="H18" s="486"/>
      <c r="I18" s="486"/>
      <c r="J18" s="486"/>
      <c r="K18" s="486"/>
      <c r="L18" s="488">
        <f>L13+L17</f>
        <v>10000000000</v>
      </c>
      <c r="M18" s="486"/>
      <c r="N18" s="486"/>
    </row>
    <row r="20" spans="1:14">
      <c r="C20" s="489" t="s">
        <v>314</v>
      </c>
    </row>
    <row r="21" spans="1:14">
      <c r="C21" s="489" t="s">
        <v>315</v>
      </c>
    </row>
    <row r="22" spans="1:14">
      <c r="B22" s="490"/>
      <c r="C22" s="490"/>
      <c r="D22" s="490"/>
      <c r="E22" s="1319" t="s">
        <v>316</v>
      </c>
      <c r="F22" s="1319"/>
      <c r="G22" s="1319"/>
      <c r="H22" s="1319"/>
      <c r="I22" s="1319"/>
      <c r="J22" s="1319"/>
      <c r="K22" s="1319"/>
      <c r="L22" s="1319"/>
      <c r="M22" s="1319"/>
      <c r="N22" s="1319"/>
    </row>
    <row r="23" spans="1:14">
      <c r="A23" s="1319" t="s">
        <v>11</v>
      </c>
      <c r="B23" s="1319"/>
      <c r="C23" s="1319"/>
      <c r="D23" s="1319"/>
      <c r="E23" s="1319" t="s">
        <v>12</v>
      </c>
      <c r="F23" s="1319"/>
      <c r="G23" s="1319"/>
      <c r="H23" s="1319"/>
      <c r="I23" s="1319"/>
      <c r="J23" s="1319"/>
      <c r="K23" s="1319"/>
      <c r="L23" s="1319"/>
      <c r="M23" s="1319"/>
      <c r="N23" s="1319"/>
    </row>
    <row r="24" spans="1:14">
      <c r="A24" s="1319" t="s">
        <v>13</v>
      </c>
      <c r="B24" s="1319"/>
      <c r="C24" s="1319"/>
      <c r="D24" s="1319"/>
      <c r="E24" s="1319" t="s">
        <v>13</v>
      </c>
      <c r="F24" s="1319"/>
      <c r="G24" s="1319"/>
      <c r="H24" s="1319"/>
      <c r="I24" s="1319"/>
      <c r="J24" s="1319"/>
      <c r="K24" s="1319"/>
      <c r="L24" s="1319"/>
      <c r="M24" s="1319"/>
      <c r="N24" s="1319"/>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sheetPr>
    <tabColor indexed="28"/>
  </sheetPr>
  <dimension ref="A1:T107"/>
  <sheetViews>
    <sheetView topLeftCell="A6" workbookViewId="0">
      <pane xSplit="3" ySplit="6" topLeftCell="D24" activePane="bottomRight" state="frozen"/>
      <selection activeCell="C33" sqref="C33"/>
      <selection pane="topRight" activeCell="C33" sqref="C33"/>
      <selection pane="bottomLeft" activeCell="C33" sqref="C33"/>
      <selection pane="bottomRight" activeCell="A6" sqref="A1:XFD1048576"/>
    </sheetView>
  </sheetViews>
  <sheetFormatPr defaultRowHeight="12.75"/>
  <cols>
    <col min="1" max="1" width="3.7109375" style="504" customWidth="1"/>
    <col min="2" max="2" width="3.42578125" style="504" customWidth="1"/>
    <col min="3" max="3" width="28.28515625" style="504" customWidth="1"/>
    <col min="4" max="4" width="7.7109375" style="509" customWidth="1"/>
    <col min="5" max="5" width="9.42578125" style="545" customWidth="1"/>
    <col min="6" max="6" width="12.5703125" style="545" customWidth="1"/>
    <col min="7" max="7" width="9.85546875" style="513" customWidth="1"/>
    <col min="8" max="8" width="15.42578125" style="513" customWidth="1"/>
    <col min="9" max="9" width="11.7109375" style="513" customWidth="1"/>
    <col min="10" max="10" width="13.85546875" style="513" customWidth="1"/>
    <col min="11" max="11" width="12" style="513" customWidth="1"/>
    <col min="12" max="12" width="12.85546875" style="513" customWidth="1"/>
    <col min="13" max="13" width="3.28515625" style="505" customWidth="1"/>
    <col min="14" max="14" width="24.140625" style="504" customWidth="1"/>
    <col min="15" max="15" width="10.5703125" style="504" customWidth="1"/>
    <col min="16" max="16" width="10.42578125" style="504" customWidth="1"/>
    <col min="17" max="17" width="22.28515625" style="504" customWidth="1"/>
    <col min="18" max="18" width="12" style="504" customWidth="1"/>
    <col min="19" max="19" width="4.85546875" style="504" customWidth="1"/>
    <col min="20" max="16384" width="9.140625" style="504"/>
  </cols>
  <sheetData>
    <row r="1" spans="1:19" s="459" customFormat="1" ht="14.25" customHeight="1">
      <c r="B1" s="491" t="s">
        <v>317</v>
      </c>
      <c r="C1" s="492"/>
      <c r="D1" s="492"/>
      <c r="E1" s="492"/>
      <c r="F1" s="493"/>
      <c r="G1" s="493"/>
      <c r="H1" s="1299" t="s">
        <v>318</v>
      </c>
      <c r="I1" s="1299"/>
      <c r="J1" s="1299"/>
      <c r="K1" s="1299"/>
      <c r="L1" s="1299"/>
      <c r="M1" s="494"/>
      <c r="N1" s="241"/>
      <c r="O1" s="457"/>
    </row>
    <row r="2" spans="1:19" s="459" customFormat="1" ht="14.25" customHeight="1">
      <c r="B2" s="495" t="s">
        <v>319</v>
      </c>
      <c r="C2" s="496"/>
      <c r="D2" s="496"/>
      <c r="E2" s="496"/>
      <c r="F2" s="496"/>
      <c r="G2" s="496"/>
      <c r="H2" s="1300" t="s">
        <v>320</v>
      </c>
      <c r="I2" s="1300"/>
      <c r="J2" s="1300"/>
      <c r="K2" s="1300"/>
      <c r="L2" s="1300"/>
      <c r="M2" s="497"/>
      <c r="N2" s="242"/>
      <c r="O2" s="458"/>
    </row>
    <row r="3" spans="1:19" s="459" customFormat="1" ht="14.25" customHeight="1">
      <c r="B3" s="496"/>
      <c r="C3" s="496"/>
      <c r="D3" s="496"/>
      <c r="E3" s="496"/>
      <c r="F3" s="496"/>
      <c r="G3" s="496"/>
      <c r="H3" s="1335" t="s">
        <v>321</v>
      </c>
      <c r="I3" s="1335"/>
      <c r="J3" s="1335"/>
      <c r="K3" s="1335"/>
      <c r="L3" s="1335"/>
      <c r="M3" s="498"/>
      <c r="N3" s="499"/>
      <c r="O3" s="458"/>
    </row>
    <row r="4" spans="1:19" s="500" customFormat="1" ht="27.75" customHeight="1">
      <c r="B4" s="1336" t="s">
        <v>322</v>
      </c>
      <c r="C4" s="1336"/>
      <c r="D4" s="1336"/>
      <c r="E4" s="1336"/>
      <c r="F4" s="1336"/>
      <c r="G4" s="1336"/>
      <c r="H4" s="1336"/>
      <c r="I4" s="1336"/>
      <c r="J4" s="1336"/>
      <c r="K4" s="1336"/>
      <c r="L4" s="1336"/>
      <c r="M4" s="501"/>
    </row>
    <row r="5" spans="1:19" s="500" customFormat="1" ht="15" customHeight="1">
      <c r="B5" s="1334" t="s">
        <v>323</v>
      </c>
      <c r="C5" s="1334"/>
      <c r="D5" s="1334"/>
      <c r="E5" s="1334"/>
      <c r="F5" s="1334"/>
      <c r="G5" s="1334"/>
      <c r="H5" s="1334"/>
      <c r="I5" s="1334"/>
      <c r="J5" s="1334"/>
      <c r="K5" s="1334"/>
      <c r="L5" s="1334"/>
      <c r="M5" s="501"/>
    </row>
    <row r="6" spans="1:19" s="500" customFormat="1" ht="12.75" hidden="1" customHeight="1">
      <c r="B6" s="1334" t="s">
        <v>324</v>
      </c>
      <c r="C6" s="1334"/>
      <c r="D6" s="1334"/>
      <c r="E6" s="1334"/>
      <c r="F6" s="1334"/>
      <c r="G6" s="1334"/>
      <c r="H6" s="1334"/>
      <c r="I6" s="1334"/>
      <c r="J6" s="1334"/>
      <c r="K6" s="1334"/>
      <c r="L6" s="1334"/>
      <c r="M6" s="501"/>
    </row>
    <row r="7" spans="1:19" s="502" customFormat="1" ht="24" hidden="1" customHeight="1">
      <c r="C7" s="1346" t="s">
        <v>325</v>
      </c>
      <c r="D7" s="1346"/>
      <c r="E7" s="1346"/>
      <c r="F7" s="1346"/>
      <c r="G7" s="1346"/>
      <c r="H7" s="1346"/>
      <c r="I7" s="1346"/>
      <c r="J7" s="1346"/>
      <c r="K7" s="1346"/>
      <c r="L7" s="1346"/>
      <c r="M7" s="503"/>
    </row>
    <row r="8" spans="1:19" ht="20.25" customHeight="1">
      <c r="B8" s="1337" t="s">
        <v>37</v>
      </c>
      <c r="C8" s="1338" t="s">
        <v>326</v>
      </c>
      <c r="D8" s="1339" t="s">
        <v>327</v>
      </c>
      <c r="E8" s="1341" t="s">
        <v>168</v>
      </c>
      <c r="F8" s="1341"/>
      <c r="G8" s="1341"/>
      <c r="H8" s="1341"/>
      <c r="I8" s="1341"/>
      <c r="J8" s="1341"/>
      <c r="K8" s="1341"/>
      <c r="L8" s="1341"/>
      <c r="N8" s="1342" t="s">
        <v>328</v>
      </c>
      <c r="O8" s="1342" t="s">
        <v>329</v>
      </c>
      <c r="P8" s="1342" t="s">
        <v>330</v>
      </c>
      <c r="Q8" s="1342" t="s">
        <v>331</v>
      </c>
      <c r="R8" s="1342" t="s">
        <v>332</v>
      </c>
      <c r="S8" s="1342" t="s">
        <v>333</v>
      </c>
    </row>
    <row r="9" spans="1:19" ht="20.25" customHeight="1">
      <c r="B9" s="1337"/>
      <c r="C9" s="1338"/>
      <c r="D9" s="1340"/>
      <c r="E9" s="1341" t="s">
        <v>334</v>
      </c>
      <c r="F9" s="1341"/>
      <c r="G9" s="1345" t="s">
        <v>335</v>
      </c>
      <c r="H9" s="1345"/>
      <c r="I9" s="1345" t="s">
        <v>336</v>
      </c>
      <c r="J9" s="1345"/>
      <c r="K9" s="1345" t="s">
        <v>337</v>
      </c>
      <c r="L9" s="1345"/>
      <c r="N9" s="1343"/>
      <c r="O9" s="1343"/>
      <c r="P9" s="1343"/>
      <c r="Q9" s="1343"/>
      <c r="R9" s="1343"/>
      <c r="S9" s="1343"/>
    </row>
    <row r="10" spans="1:19" ht="20.25" hidden="1" customHeight="1">
      <c r="B10" s="1337"/>
      <c r="C10" s="1338"/>
      <c r="D10" s="506"/>
      <c r="E10" s="507" t="s">
        <v>338</v>
      </c>
      <c r="F10" s="507" t="s">
        <v>339</v>
      </c>
      <c r="G10" s="507" t="s">
        <v>338</v>
      </c>
      <c r="H10" s="507" t="s">
        <v>339</v>
      </c>
      <c r="I10" s="507" t="s">
        <v>338</v>
      </c>
      <c r="J10" s="507" t="s">
        <v>339</v>
      </c>
      <c r="K10" s="507" t="s">
        <v>338</v>
      </c>
      <c r="L10" s="507" t="s">
        <v>339</v>
      </c>
      <c r="N10" s="1344"/>
      <c r="O10" s="1344"/>
      <c r="P10" s="1344"/>
      <c r="Q10" s="1344"/>
      <c r="R10" s="508"/>
      <c r="S10" s="1344"/>
    </row>
    <row r="11" spans="1:19" s="509" customFormat="1">
      <c r="B11" s="510" t="s">
        <v>2</v>
      </c>
      <c r="C11" s="506" t="s">
        <v>3</v>
      </c>
      <c r="D11" s="506"/>
      <c r="E11" s="507">
        <v>1</v>
      </c>
      <c r="F11" s="507">
        <v>1</v>
      </c>
      <c r="G11" s="507">
        <v>2</v>
      </c>
      <c r="H11" s="507">
        <v>2</v>
      </c>
      <c r="I11" s="507">
        <v>3</v>
      </c>
      <c r="J11" s="507">
        <v>3</v>
      </c>
      <c r="K11" s="507">
        <v>4</v>
      </c>
      <c r="L11" s="507">
        <v>4</v>
      </c>
      <c r="M11" s="511"/>
      <c r="N11" s="512"/>
      <c r="O11" s="512"/>
      <c r="P11" s="512"/>
      <c r="Q11" s="512"/>
      <c r="R11" s="512"/>
      <c r="S11" s="512"/>
    </row>
    <row r="12" spans="1:19" ht="18" customHeight="1">
      <c r="A12" s="513" t="str">
        <f>IF(B12&lt;&gt;"","VL","")</f>
        <v>VL</v>
      </c>
      <c r="B12" s="514">
        <f>IF(C12&lt;&gt;"",ROW()-11,"")</f>
        <v>1</v>
      </c>
      <c r="C12" s="515" t="s">
        <v>340</v>
      </c>
      <c r="D12" s="516"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7"/>
      <c r="N12" s="518" t="s">
        <v>342</v>
      </c>
      <c r="O12" s="515" t="s">
        <v>343</v>
      </c>
      <c r="P12" s="519">
        <v>330593933</v>
      </c>
      <c r="Q12" s="519" t="s">
        <v>344</v>
      </c>
      <c r="R12" s="519"/>
      <c r="S12" s="519" t="s">
        <v>339</v>
      </c>
    </row>
    <row r="13" spans="1:19" ht="18" customHeight="1">
      <c r="A13" s="513" t="str">
        <f t="shared" ref="A13:A37" si="1">IF(B13&lt;&gt;"","VL","")</f>
        <v>VL</v>
      </c>
      <c r="B13" s="514">
        <f t="shared" ref="B13:B36" si="2">IF(C13&lt;&gt;"",ROW()-11,"")</f>
        <v>2</v>
      </c>
      <c r="C13" s="520" t="s">
        <v>346</v>
      </c>
      <c r="D13" s="521"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7"/>
      <c r="N13" s="520" t="s">
        <v>347</v>
      </c>
      <c r="O13" s="519" t="s">
        <v>343</v>
      </c>
      <c r="P13" s="519">
        <v>320775664</v>
      </c>
      <c r="Q13" s="519" t="s">
        <v>348</v>
      </c>
      <c r="R13" s="519"/>
      <c r="S13" s="519" t="s">
        <v>339</v>
      </c>
    </row>
    <row r="14" spans="1:19" ht="18" customHeight="1">
      <c r="A14" s="513" t="str">
        <f t="shared" si="1"/>
        <v>VL</v>
      </c>
      <c r="B14" s="514">
        <f t="shared" si="2"/>
        <v>3</v>
      </c>
      <c r="C14" s="520" t="s">
        <v>349</v>
      </c>
      <c r="D14" s="521"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7"/>
      <c r="N14" s="520" t="s">
        <v>350</v>
      </c>
      <c r="O14" s="522" t="s">
        <v>343</v>
      </c>
      <c r="P14" s="519">
        <v>320892558</v>
      </c>
      <c r="Q14" s="519" t="s">
        <v>351</v>
      </c>
      <c r="R14" s="519"/>
      <c r="S14" s="519" t="s">
        <v>339</v>
      </c>
    </row>
    <row r="15" spans="1:19" ht="18" customHeight="1">
      <c r="A15" s="513" t="str">
        <f t="shared" si="1"/>
        <v>VL</v>
      </c>
      <c r="B15" s="514">
        <f t="shared" si="2"/>
        <v>4</v>
      </c>
      <c r="C15" s="520" t="s">
        <v>225</v>
      </c>
      <c r="D15" s="521" t="s">
        <v>341</v>
      </c>
      <c r="E15" s="8">
        <v>495</v>
      </c>
      <c r="F15" s="8">
        <v>10879997</v>
      </c>
      <c r="G15" s="25">
        <f t="array" ref="G15">SUM(IF("1522"&amp;C15=KHN&amp;MH,SL))</f>
        <v>450</v>
      </c>
      <c r="H15" s="25">
        <f t="array" ref="H15">SUM(IF("1522"&amp;C15=KHN&amp;MH,TH))</f>
        <v>8286363</v>
      </c>
      <c r="I15" s="25">
        <f t="array" ref="I15">SUM(IF("1522"&amp;C15=KHC&amp;MH,SL))</f>
        <v>345</v>
      </c>
      <c r="J15" s="25">
        <f t="array" ref="J15">SUM(IF("1522"&amp;C15=KHC&amp;MH,TH))</f>
        <v>7583028</v>
      </c>
      <c r="K15" s="8">
        <f t="shared" si="0"/>
        <v>600</v>
      </c>
      <c r="L15" s="8">
        <f t="shared" si="0"/>
        <v>11583332</v>
      </c>
      <c r="M15" s="517"/>
      <c r="N15" s="520" t="s">
        <v>352</v>
      </c>
      <c r="O15" s="522" t="s">
        <v>343</v>
      </c>
      <c r="P15" s="519">
        <v>320892578</v>
      </c>
      <c r="Q15" s="519" t="s">
        <v>353</v>
      </c>
      <c r="R15" s="519"/>
      <c r="S15" s="519" t="s">
        <v>339</v>
      </c>
    </row>
    <row r="16" spans="1:19" ht="18" customHeight="1">
      <c r="A16" s="513" t="str">
        <f t="shared" si="1"/>
        <v>VL</v>
      </c>
      <c r="B16" s="514">
        <f t="shared" si="2"/>
        <v>5</v>
      </c>
      <c r="C16" s="520" t="s">
        <v>354</v>
      </c>
      <c r="D16" s="521"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7"/>
      <c r="N16" s="520" t="s">
        <v>355</v>
      </c>
      <c r="O16" s="522" t="s">
        <v>343</v>
      </c>
      <c r="P16" s="519">
        <v>321179471</v>
      </c>
      <c r="Q16" s="519" t="s">
        <v>356</v>
      </c>
      <c r="R16" s="519"/>
      <c r="S16" s="519" t="s">
        <v>339</v>
      </c>
    </row>
    <row r="17" spans="1:20" ht="18" customHeight="1">
      <c r="A17" s="513" t="str">
        <f t="shared" si="1"/>
        <v>VL</v>
      </c>
      <c r="B17" s="514">
        <f t="shared" si="2"/>
        <v>6</v>
      </c>
      <c r="C17" s="523" t="s">
        <v>357</v>
      </c>
      <c r="D17" s="524" t="s">
        <v>341</v>
      </c>
      <c r="E17" s="449">
        <v>5400</v>
      </c>
      <c r="F17" s="449">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7"/>
      <c r="N17" s="520" t="s">
        <v>358</v>
      </c>
      <c r="O17" s="522" t="s">
        <v>343</v>
      </c>
      <c r="P17" s="519">
        <v>324478047</v>
      </c>
      <c r="Q17" s="519" t="s">
        <v>359</v>
      </c>
      <c r="R17" s="519"/>
      <c r="S17" s="519" t="s">
        <v>339</v>
      </c>
    </row>
    <row r="18" spans="1:20" ht="18" customHeight="1">
      <c r="A18" s="513" t="str">
        <f t="shared" si="1"/>
        <v>VL</v>
      </c>
      <c r="B18" s="514">
        <f t="shared" si="2"/>
        <v>7</v>
      </c>
      <c r="C18" s="523" t="s">
        <v>360</v>
      </c>
      <c r="D18" s="525" t="s">
        <v>361</v>
      </c>
      <c r="E18" s="449">
        <v>950</v>
      </c>
      <c r="F18" s="449">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7"/>
      <c r="N18" s="520" t="s">
        <v>362</v>
      </c>
      <c r="O18" s="522" t="s">
        <v>343</v>
      </c>
      <c r="P18" s="519">
        <v>321413712</v>
      </c>
      <c r="Q18" s="519" t="s">
        <v>363</v>
      </c>
      <c r="R18" s="519"/>
      <c r="S18" s="519" t="s">
        <v>339</v>
      </c>
    </row>
    <row r="19" spans="1:20" ht="18" customHeight="1">
      <c r="A19" s="513" t="str">
        <f t="shared" si="1"/>
        <v>VL</v>
      </c>
      <c r="B19" s="514">
        <f t="shared" si="2"/>
        <v>8</v>
      </c>
      <c r="C19" s="523" t="s">
        <v>364</v>
      </c>
      <c r="D19" s="525" t="s">
        <v>341</v>
      </c>
      <c r="E19" s="449">
        <v>1646.6999999999971</v>
      </c>
      <c r="F19" s="449">
        <v>531969</v>
      </c>
      <c r="G19" s="25">
        <f t="array" ref="G19">SUM(IF("1522"&amp;C19=KHN&amp;MH,SL))</f>
        <v>1000</v>
      </c>
      <c r="H19" s="25">
        <f t="array" ref="H19">SUM(IF("1522"&amp;C19=KHN&amp;MH,TH))</f>
        <v>33000000</v>
      </c>
      <c r="I19" s="25">
        <f t="array" ref="I19">SUM(IF("1522"&amp;C19=KHC&amp;MH,SL))</f>
        <v>1947</v>
      </c>
      <c r="J19" s="25">
        <f t="array" ref="J19">SUM(IF("1522"&amp;C19=KHC&amp;MH,TH))</f>
        <v>10431969</v>
      </c>
      <c r="K19" s="449">
        <f t="shared" si="0"/>
        <v>699.69999999999709</v>
      </c>
      <c r="L19" s="449">
        <f t="shared" si="0"/>
        <v>23100000</v>
      </c>
      <c r="M19" s="517"/>
      <c r="N19" s="520" t="s">
        <v>365</v>
      </c>
      <c r="O19" s="515" t="s">
        <v>343</v>
      </c>
      <c r="P19" s="519">
        <v>320744085</v>
      </c>
      <c r="Q19" s="519" t="s">
        <v>348</v>
      </c>
      <c r="R19" s="519"/>
      <c r="S19" s="519" t="s">
        <v>339</v>
      </c>
    </row>
    <row r="20" spans="1:20" ht="18" customHeight="1">
      <c r="A20" s="513" t="str">
        <f t="shared" si="1"/>
        <v>VL</v>
      </c>
      <c r="B20" s="514">
        <f t="shared" si="2"/>
        <v>9</v>
      </c>
      <c r="C20" s="523" t="s">
        <v>656</v>
      </c>
      <c r="D20" s="528" t="s">
        <v>383</v>
      </c>
      <c r="E20" s="449"/>
      <c r="F20" s="449"/>
      <c r="G20" s="25">
        <f t="array" ref="G20">SUM(IF("1522"&amp;C20=KHN&amp;MH,SL))</f>
        <v>9000</v>
      </c>
      <c r="H20" s="25">
        <f t="array" ref="H20">SUM(IF("1522"&amp;C20=KHN&amp;MH,TH))</f>
        <v>126000000</v>
      </c>
      <c r="I20" s="25">
        <f t="array" ref="I20">SUM(IF("1522"&amp;C20=KHC&amp;MH,SL))</f>
        <v>2500</v>
      </c>
      <c r="J20" s="25">
        <f t="array" ref="J20">SUM(IF("1522"&amp;C20=KHC&amp;MH,TH))</f>
        <v>35000000</v>
      </c>
      <c r="K20" s="449">
        <f t="shared" ref="K20:L24" si="3">E20+G20-I20</f>
        <v>6500</v>
      </c>
      <c r="L20" s="449">
        <f t="shared" si="3"/>
        <v>91000000</v>
      </c>
      <c r="M20" s="517"/>
      <c r="N20" s="520" t="s">
        <v>368</v>
      </c>
      <c r="O20" s="515" t="s">
        <v>343</v>
      </c>
      <c r="P20" s="519">
        <v>320807672</v>
      </c>
      <c r="Q20" s="519" t="s">
        <v>369</v>
      </c>
      <c r="R20" s="519"/>
      <c r="S20" s="519" t="s">
        <v>339</v>
      </c>
    </row>
    <row r="21" spans="1:20" ht="18" customHeight="1">
      <c r="A21" s="513" t="str">
        <f>IF(B21&lt;&gt;"","VL","")</f>
        <v>VL</v>
      </c>
      <c r="B21" s="514">
        <f>IF(C21&lt;&gt;"",ROW()-11,"")</f>
        <v>10</v>
      </c>
      <c r="C21" s="523" t="s">
        <v>1427</v>
      </c>
      <c r="D21" s="528" t="s">
        <v>341</v>
      </c>
      <c r="E21" s="449"/>
      <c r="F21" s="449"/>
      <c r="G21" s="25">
        <f t="array" ref="G21">SUM(IF("1522"&amp;C21=KHN&amp;MH,SL))</f>
        <v>100</v>
      </c>
      <c r="H21" s="25">
        <f t="array" ref="H21">SUM(IF("1522"&amp;C21=KHN&amp;MH,TH))</f>
        <v>1272800</v>
      </c>
      <c r="I21" s="25">
        <f t="array" ref="I21">SUM(IF("1522"&amp;C21=KHC&amp;MH,SL))</f>
        <v>0</v>
      </c>
      <c r="J21" s="25">
        <f t="array" ref="J21">SUM(IF("1522"&amp;C21=KHC&amp;MH,TH))</f>
        <v>0</v>
      </c>
      <c r="K21" s="449">
        <f t="shared" si="3"/>
        <v>100</v>
      </c>
      <c r="L21" s="449">
        <f t="shared" si="3"/>
        <v>1272800</v>
      </c>
      <c r="M21" s="517"/>
      <c r="N21" s="520" t="s">
        <v>371</v>
      </c>
      <c r="O21" s="515" t="s">
        <v>343</v>
      </c>
      <c r="P21" s="519">
        <v>320044169</v>
      </c>
      <c r="Q21" s="519" t="s">
        <v>372</v>
      </c>
      <c r="R21" s="519"/>
      <c r="S21" s="519" t="s">
        <v>339</v>
      </c>
    </row>
    <row r="22" spans="1:20" ht="18" customHeight="1">
      <c r="A22" s="513" t="str">
        <f t="shared" si="1"/>
        <v>VL</v>
      </c>
      <c r="B22" s="514">
        <f t="shared" si="2"/>
        <v>11</v>
      </c>
      <c r="C22" s="970" t="s">
        <v>366</v>
      </c>
      <c r="D22" s="971" t="s">
        <v>367</v>
      </c>
      <c r="E22" s="972">
        <v>93800</v>
      </c>
      <c r="F22" s="972">
        <v>28140000</v>
      </c>
      <c r="G22" s="973">
        <f t="array" ref="G22">SUM(IF("1522"&amp;C22=KHN&amp;MH,SL))</f>
        <v>0</v>
      </c>
      <c r="H22" s="973">
        <f t="array" ref="H22">SUM(IF("1522"&amp;C22=KHN&amp;MH,TH))</f>
        <v>0</v>
      </c>
      <c r="I22" s="973">
        <f t="array" ref="I22">SUM(IF("1522"&amp;C22=KHC&amp;MH,SL))</f>
        <v>0</v>
      </c>
      <c r="J22" s="973">
        <f t="array" ref="J22">SUM(IF("1522"&amp;C22=KHC&amp;MH,TH))</f>
        <v>0</v>
      </c>
      <c r="K22" s="974">
        <f t="shared" si="3"/>
        <v>93800</v>
      </c>
      <c r="L22" s="974">
        <f t="shared" si="3"/>
        <v>28140000</v>
      </c>
      <c r="M22" s="517"/>
      <c r="N22" s="526" t="s">
        <v>374</v>
      </c>
      <c r="O22" s="515" t="s">
        <v>343</v>
      </c>
      <c r="P22" s="519">
        <v>320881573</v>
      </c>
      <c r="Q22" s="519" t="s">
        <v>369</v>
      </c>
      <c r="R22" s="519"/>
      <c r="S22" s="519" t="s">
        <v>339</v>
      </c>
    </row>
    <row r="23" spans="1:20" ht="18" customHeight="1">
      <c r="A23" s="513" t="str">
        <f t="shared" si="1"/>
        <v>VL</v>
      </c>
      <c r="B23" s="514">
        <f t="shared" si="2"/>
        <v>12</v>
      </c>
      <c r="C23" s="975" t="s">
        <v>370</v>
      </c>
      <c r="D23" s="971" t="s">
        <v>367</v>
      </c>
      <c r="E23" s="972">
        <v>48700</v>
      </c>
      <c r="F23" s="972">
        <v>19480000</v>
      </c>
      <c r="G23" s="973">
        <f t="array" ref="G23">SUM(IF("1522"&amp;C23=KHN&amp;MH,SL))</f>
        <v>0</v>
      </c>
      <c r="H23" s="973">
        <f t="array" ref="H23">SUM(IF("1522"&amp;C23=KHN&amp;MH,TH))</f>
        <v>0</v>
      </c>
      <c r="I23" s="973">
        <f t="array" ref="I23">SUM(IF("1522"&amp;C23=KHC&amp;MH,SL))</f>
        <v>0</v>
      </c>
      <c r="J23" s="973">
        <f t="array" ref="J23">SUM(IF("1522"&amp;C23=KHC&amp;MH,TH))</f>
        <v>0</v>
      </c>
      <c r="K23" s="974">
        <f t="shared" si="3"/>
        <v>48700</v>
      </c>
      <c r="L23" s="974">
        <f t="shared" si="3"/>
        <v>19480000</v>
      </c>
      <c r="M23" s="517"/>
      <c r="N23" s="520" t="s">
        <v>376</v>
      </c>
      <c r="O23" s="515" t="s">
        <v>343</v>
      </c>
      <c r="P23" s="519">
        <v>320876558</v>
      </c>
      <c r="Q23" s="519" t="s">
        <v>377</v>
      </c>
      <c r="R23" s="519"/>
      <c r="S23" s="519" t="s">
        <v>339</v>
      </c>
    </row>
    <row r="24" spans="1:20" ht="18" customHeight="1">
      <c r="A24" s="513" t="str">
        <f t="shared" si="1"/>
        <v>VL</v>
      </c>
      <c r="B24" s="514">
        <f t="shared" si="2"/>
        <v>13</v>
      </c>
      <c r="C24" s="975" t="s">
        <v>373</v>
      </c>
      <c r="D24" s="971" t="s">
        <v>367</v>
      </c>
      <c r="E24" s="972">
        <v>12300</v>
      </c>
      <c r="F24" s="972">
        <v>2890500</v>
      </c>
      <c r="G24" s="973">
        <f t="array" ref="G24">SUM(IF("1522"&amp;C24=KHN&amp;MH,SL))</f>
        <v>0</v>
      </c>
      <c r="H24" s="973">
        <f t="array" ref="H24">SUM(IF("1522"&amp;C24=KHN&amp;MH,TH))</f>
        <v>0</v>
      </c>
      <c r="I24" s="973">
        <f t="array" ref="I24">SUM(IF("1522"&amp;C24=KHC&amp;MH,SL))</f>
        <v>0</v>
      </c>
      <c r="J24" s="973">
        <f t="array" ref="J24">SUM(IF("1522"&amp;C24=KHC&amp;MH,TH))</f>
        <v>0</v>
      </c>
      <c r="K24" s="974">
        <f t="shared" si="3"/>
        <v>12300</v>
      </c>
      <c r="L24" s="974">
        <f t="shared" si="3"/>
        <v>2890500</v>
      </c>
      <c r="M24" s="517"/>
      <c r="N24" s="520" t="s">
        <v>379</v>
      </c>
      <c r="O24" s="522" t="s">
        <v>380</v>
      </c>
      <c r="P24" s="519">
        <v>250746332</v>
      </c>
      <c r="Q24" s="519" t="s">
        <v>381</v>
      </c>
      <c r="R24" s="519"/>
      <c r="S24" s="519" t="s">
        <v>339</v>
      </c>
    </row>
    <row r="25" spans="1:20" ht="18" customHeight="1">
      <c r="A25" s="513" t="str">
        <f t="shared" si="1"/>
        <v>VL</v>
      </c>
      <c r="B25" s="514">
        <f t="shared" si="2"/>
        <v>14</v>
      </c>
      <c r="C25" s="975" t="s">
        <v>375</v>
      </c>
      <c r="D25" s="971" t="s">
        <v>367</v>
      </c>
      <c r="E25" s="972">
        <v>295214</v>
      </c>
      <c r="F25" s="972">
        <v>102435290</v>
      </c>
      <c r="G25" s="973">
        <f t="array" ref="G25">SUM(IF("1522"&amp;C25=KHN&amp;MH,SL))</f>
        <v>0</v>
      </c>
      <c r="H25" s="973">
        <f t="array" ref="H25">SUM(IF("1522"&amp;C25=KHN&amp;MH,TH))</f>
        <v>0</v>
      </c>
      <c r="I25" s="973">
        <f t="array" ref="I25">SUM(IF("1522"&amp;C25=KHC&amp;MH,SL))</f>
        <v>0</v>
      </c>
      <c r="J25" s="973">
        <f t="array" ref="J25">SUM(IF("1522"&amp;C25=KHC&amp;MH,TH))</f>
        <v>0</v>
      </c>
      <c r="K25" s="974">
        <f t="shared" si="0"/>
        <v>295214</v>
      </c>
      <c r="L25" s="974">
        <f t="shared" si="0"/>
        <v>102435290</v>
      </c>
      <c r="M25" s="517"/>
      <c r="N25" s="520" t="s">
        <v>384</v>
      </c>
      <c r="O25" s="522" t="s">
        <v>380</v>
      </c>
      <c r="P25" s="519">
        <v>260682094</v>
      </c>
      <c r="Q25" s="519" t="s">
        <v>381</v>
      </c>
      <c r="R25" s="519"/>
      <c r="S25" s="519" t="s">
        <v>339</v>
      </c>
    </row>
    <row r="26" spans="1:20" ht="18" customHeight="1">
      <c r="A26" s="513" t="str">
        <f t="shared" si="1"/>
        <v>VL</v>
      </c>
      <c r="B26" s="514">
        <f t="shared" si="2"/>
        <v>15</v>
      </c>
      <c r="C26" s="975" t="s">
        <v>378</v>
      </c>
      <c r="D26" s="971" t="s">
        <v>367</v>
      </c>
      <c r="E26" s="972">
        <v>6600</v>
      </c>
      <c r="F26" s="972">
        <v>3597000</v>
      </c>
      <c r="G26" s="973">
        <f t="array" ref="G26">SUM(IF("1522"&amp;C26=KHN&amp;MH,SL))</f>
        <v>0</v>
      </c>
      <c r="H26" s="973">
        <f t="array" ref="H26">SUM(IF("1522"&amp;C26=KHN&amp;MH,TH))</f>
        <v>0</v>
      </c>
      <c r="I26" s="973">
        <f t="array" ref="I26">SUM(IF("1522"&amp;C26=KHC&amp;MH,SL))</f>
        <v>0</v>
      </c>
      <c r="J26" s="973">
        <f t="array" ref="J26">SUM(IF("1522"&amp;C26=KHC&amp;MH,TH))</f>
        <v>0</v>
      </c>
      <c r="K26" s="972">
        <f t="shared" si="0"/>
        <v>6600</v>
      </c>
      <c r="L26" s="972">
        <f t="shared" si="0"/>
        <v>3597000</v>
      </c>
      <c r="M26" s="517"/>
      <c r="N26" s="520" t="s">
        <v>386</v>
      </c>
      <c r="O26" s="522" t="s">
        <v>380</v>
      </c>
      <c r="P26" s="519">
        <v>260690910</v>
      </c>
      <c r="Q26" s="519" t="s">
        <v>387</v>
      </c>
      <c r="R26" s="519"/>
      <c r="S26" s="519" t="s">
        <v>339</v>
      </c>
    </row>
    <row r="27" spans="1:20" ht="18" customHeight="1">
      <c r="A27" s="513" t="str">
        <f t="shared" si="1"/>
        <v>VL</v>
      </c>
      <c r="B27" s="514">
        <f t="shared" si="2"/>
        <v>16</v>
      </c>
      <c r="C27" s="527" t="s">
        <v>382</v>
      </c>
      <c r="D27" s="528" t="s">
        <v>383</v>
      </c>
      <c r="E27" s="529">
        <v>9928</v>
      </c>
      <c r="F27" s="529">
        <v>57392400</v>
      </c>
      <c r="G27" s="25">
        <f t="array" ref="G27">SUM(IF("1522"&amp;C27=KHN&amp;MH,SL))</f>
        <v>0</v>
      </c>
      <c r="H27" s="25">
        <f t="array" ref="H27">SUM(IF("1522"&amp;C27=KHN&amp;MH,TH))</f>
        <v>0</v>
      </c>
      <c r="I27" s="25">
        <f t="array" ref="I27">SUM(IF("1522"&amp;C27=KHC&amp;MH,SL))</f>
        <v>2100</v>
      </c>
      <c r="J27" s="25">
        <f t="array" ref="J27">SUM(IF("1522"&amp;C27=KHC&amp;MH,TH))</f>
        <v>12139811</v>
      </c>
      <c r="K27" s="530">
        <f t="shared" si="0"/>
        <v>7828</v>
      </c>
      <c r="L27" s="530">
        <f t="shared" si="0"/>
        <v>45252589</v>
      </c>
      <c r="M27" s="517"/>
      <c r="N27" s="520" t="s">
        <v>389</v>
      </c>
      <c r="O27" s="522" t="s">
        <v>380</v>
      </c>
      <c r="P27" s="519">
        <v>260178873</v>
      </c>
      <c r="Q27" s="519" t="s">
        <v>390</v>
      </c>
      <c r="R27" s="519"/>
      <c r="S27" s="519" t="s">
        <v>339</v>
      </c>
    </row>
    <row r="28" spans="1:20" ht="18" customHeight="1">
      <c r="A28" s="513" t="str">
        <f t="shared" si="1"/>
        <v>VL</v>
      </c>
      <c r="B28" s="514">
        <f t="shared" si="2"/>
        <v>17</v>
      </c>
      <c r="C28" s="527" t="s">
        <v>385</v>
      </c>
      <c r="D28" s="528" t="s">
        <v>383</v>
      </c>
      <c r="E28" s="529">
        <v>13938</v>
      </c>
      <c r="F28" s="529">
        <v>62251600</v>
      </c>
      <c r="G28" s="25">
        <f t="array" ref="G28">SUM(IF("1522"&amp;C28=KHN&amp;MH,SL))</f>
        <v>0</v>
      </c>
      <c r="H28" s="25">
        <f t="array" ref="H28">SUM(IF("1522"&amp;C28=KHN&amp;MH,TH))</f>
        <v>0</v>
      </c>
      <c r="I28" s="25">
        <f t="array" ref="I28">SUM(IF("1522"&amp;C28=KHC&amp;MH,SL))</f>
        <v>2700</v>
      </c>
      <c r="J28" s="25">
        <f t="array" ref="J28">SUM(IF("1522"&amp;C28=KHC&amp;MH,TH))</f>
        <v>12059070</v>
      </c>
      <c r="K28" s="530">
        <f t="shared" si="0"/>
        <v>11238</v>
      </c>
      <c r="L28" s="530">
        <f t="shared" si="0"/>
        <v>50192530</v>
      </c>
      <c r="M28" s="517"/>
      <c r="N28" s="520" t="s">
        <v>392</v>
      </c>
      <c r="O28" s="522" t="s">
        <v>380</v>
      </c>
      <c r="P28" s="519">
        <v>260850613</v>
      </c>
      <c r="Q28" s="519" t="s">
        <v>390</v>
      </c>
      <c r="R28" s="519"/>
      <c r="S28" s="519" t="s">
        <v>339</v>
      </c>
      <c r="T28" s="531"/>
    </row>
    <row r="29" spans="1:20" s="531" customFormat="1" ht="18" customHeight="1">
      <c r="A29" s="513" t="str">
        <f t="shared" si="1"/>
        <v>VL</v>
      </c>
      <c r="B29" s="514">
        <f t="shared" si="2"/>
        <v>18</v>
      </c>
      <c r="C29" s="527" t="s">
        <v>388</v>
      </c>
      <c r="D29" s="528" t="s">
        <v>383</v>
      </c>
      <c r="E29" s="529">
        <v>7380</v>
      </c>
      <c r="F29" s="529">
        <v>106222000</v>
      </c>
      <c r="G29" s="25">
        <f t="array" ref="G29">SUM(IF("1522"&amp;C29=KHN&amp;MH,SL))</f>
        <v>0</v>
      </c>
      <c r="H29" s="25">
        <f t="array" ref="H29">SUM(IF("1522"&amp;C29=KHN&amp;MH,TH))</f>
        <v>0</v>
      </c>
      <c r="I29" s="25">
        <f t="array" ref="I29">SUM(IF("1522"&amp;C29=KHC&amp;MH,SL))</f>
        <v>0</v>
      </c>
      <c r="J29" s="25">
        <f t="array" ref="J29">SUM(IF("1522"&amp;C29=KHC&amp;MH,TH))</f>
        <v>0</v>
      </c>
      <c r="K29" s="530">
        <f t="shared" si="0"/>
        <v>7380</v>
      </c>
      <c r="L29" s="530">
        <f t="shared" si="0"/>
        <v>106222000</v>
      </c>
      <c r="M29" s="517"/>
      <c r="N29" s="520" t="s">
        <v>394</v>
      </c>
      <c r="O29" s="522" t="s">
        <v>380</v>
      </c>
      <c r="P29" s="519">
        <v>280853616</v>
      </c>
      <c r="Q29" s="519" t="s">
        <v>390</v>
      </c>
      <c r="R29" s="519"/>
      <c r="S29" s="519" t="s">
        <v>339</v>
      </c>
    </row>
    <row r="30" spans="1:20" s="531" customFormat="1" ht="18" customHeight="1">
      <c r="A30" s="513" t="str">
        <f t="shared" si="1"/>
        <v>VL</v>
      </c>
      <c r="B30" s="514">
        <f t="shared" si="2"/>
        <v>19</v>
      </c>
      <c r="C30" s="527" t="s">
        <v>391</v>
      </c>
      <c r="D30" s="528" t="s">
        <v>383</v>
      </c>
      <c r="E30" s="529"/>
      <c r="F30" s="529"/>
      <c r="G30" s="25">
        <f t="array" ref="G30">SUM(IF("1522"&amp;C30=KHN&amp;MH,SL))</f>
        <v>2165</v>
      </c>
      <c r="H30" s="25">
        <f t="array" ref="H30">SUM(IF("1522"&amp;C30=KHN&amp;MH,TH))</f>
        <v>25980000</v>
      </c>
      <c r="I30" s="25">
        <f t="array" ref="I30">SUM(IF("1522"&amp;C30=KHC&amp;MH,SL))</f>
        <v>2165</v>
      </c>
      <c r="J30" s="25">
        <f t="array" ref="J30">SUM(IF("1522"&amp;C30=KHC&amp;MH,TH))</f>
        <v>25980000</v>
      </c>
      <c r="K30" s="530">
        <f t="shared" ref="K30:L35" si="4">E30+G30-I30</f>
        <v>0</v>
      </c>
      <c r="L30" s="530">
        <f t="shared" si="4"/>
        <v>0</v>
      </c>
      <c r="M30" s="517"/>
      <c r="N30" s="520" t="s">
        <v>396</v>
      </c>
      <c r="O30" s="522" t="s">
        <v>380</v>
      </c>
      <c r="P30" s="519">
        <v>261005222</v>
      </c>
      <c r="Q30" s="519" t="s">
        <v>397</v>
      </c>
      <c r="R30" s="519"/>
      <c r="S30" s="519" t="s">
        <v>339</v>
      </c>
    </row>
    <row r="31" spans="1:20" s="531" customFormat="1" ht="18" customHeight="1">
      <c r="A31" s="513" t="str">
        <f t="shared" si="1"/>
        <v>VL</v>
      </c>
      <c r="B31" s="514">
        <f>IF(C31&lt;&gt;"",ROW()-11,"")</f>
        <v>20</v>
      </c>
      <c r="C31" s="527" t="s">
        <v>393</v>
      </c>
      <c r="D31" s="528" t="s">
        <v>383</v>
      </c>
      <c r="E31" s="529"/>
      <c r="F31" s="529"/>
      <c r="G31" s="25">
        <f t="array" ref="G31">SUM(IF("1522"&amp;C31=KHN&amp;MH,SL))</f>
        <v>525</v>
      </c>
      <c r="H31" s="25">
        <f t="array" ref="H31">SUM(IF("1522"&amp;C31=KHN&amp;MH,TH))</f>
        <v>4987500</v>
      </c>
      <c r="I31" s="25">
        <f t="array" ref="I31">SUM(IF("1522"&amp;C31=KHC&amp;MH,SL))</f>
        <v>525</v>
      </c>
      <c r="J31" s="25">
        <f t="array" ref="J31">SUM(IF("1522"&amp;C31=KHC&amp;MH,TH))</f>
        <v>4987500</v>
      </c>
      <c r="K31" s="529">
        <f t="shared" si="4"/>
        <v>0</v>
      </c>
      <c r="L31" s="529">
        <f t="shared" si="4"/>
        <v>0</v>
      </c>
      <c r="M31" s="517"/>
      <c r="N31" s="520" t="s">
        <v>399</v>
      </c>
      <c r="O31" s="522" t="s">
        <v>400</v>
      </c>
      <c r="P31" s="519">
        <v>370047763</v>
      </c>
      <c r="Q31" s="519" t="s">
        <v>401</v>
      </c>
      <c r="R31" s="519"/>
      <c r="S31" s="519" t="s">
        <v>345</v>
      </c>
      <c r="T31" s="504"/>
    </row>
    <row r="32" spans="1:20" ht="18.75" customHeight="1">
      <c r="A32" s="513" t="str">
        <f t="shared" si="1"/>
        <v>VL</v>
      </c>
      <c r="B32" s="514">
        <f t="shared" si="2"/>
        <v>21</v>
      </c>
      <c r="C32" s="527" t="s">
        <v>395</v>
      </c>
      <c r="D32" s="528" t="s">
        <v>383</v>
      </c>
      <c r="E32" s="529"/>
      <c r="F32" s="529"/>
      <c r="G32" s="25">
        <f t="array" ref="G32">SUM(IF("1522"&amp;C32=KHN&amp;MH,SL))</f>
        <v>400</v>
      </c>
      <c r="H32" s="25">
        <f t="array" ref="H32">SUM(IF("1522"&amp;C32=KHN&amp;MH,TH))</f>
        <v>6800000</v>
      </c>
      <c r="I32" s="25">
        <f t="array" ref="I32">SUM(IF("1522"&amp;C32=KHC&amp;MH,SL))</f>
        <v>400</v>
      </c>
      <c r="J32" s="25">
        <f t="array" ref="J32">SUM(IF("1522"&amp;C32=KHC&amp;MH,TH))</f>
        <v>6800000</v>
      </c>
      <c r="K32" s="529">
        <f t="shared" si="4"/>
        <v>0</v>
      </c>
      <c r="L32" s="529">
        <f t="shared" si="4"/>
        <v>0</v>
      </c>
      <c r="M32" s="517"/>
      <c r="N32" s="520" t="s">
        <v>403</v>
      </c>
      <c r="O32" s="522" t="s">
        <v>400</v>
      </c>
      <c r="P32" s="519">
        <v>370054438</v>
      </c>
      <c r="Q32" s="519" t="s">
        <v>401</v>
      </c>
      <c r="R32" s="519"/>
      <c r="S32" s="519" t="s">
        <v>345</v>
      </c>
    </row>
    <row r="33" spans="1:19" ht="18.75" customHeight="1">
      <c r="A33" s="513" t="str">
        <f t="shared" si="1"/>
        <v>VL</v>
      </c>
      <c r="B33" s="514">
        <f t="shared" si="2"/>
        <v>22</v>
      </c>
      <c r="C33" s="527" t="s">
        <v>1102</v>
      </c>
      <c r="D33" s="528" t="s">
        <v>383</v>
      </c>
      <c r="E33" s="529"/>
      <c r="F33" s="529"/>
      <c r="G33" s="25">
        <f t="array" ref="G33">SUM(IF("1522"&amp;C33=KHN&amp;MH,SL))</f>
        <v>400</v>
      </c>
      <c r="H33" s="25">
        <f t="array" ref="H33">SUM(IF("1522"&amp;C33=KHN&amp;MH,TH))</f>
        <v>1000000</v>
      </c>
      <c r="I33" s="25">
        <f t="array" ref="I33">SUM(IF("1522"&amp;C33=KHC&amp;MH,SL))</f>
        <v>400</v>
      </c>
      <c r="J33" s="25">
        <f t="array" ref="J33">SUM(IF("1522"&amp;C33=KHC&amp;MH,TH))</f>
        <v>1000000</v>
      </c>
      <c r="K33" s="529">
        <f t="shared" si="4"/>
        <v>0</v>
      </c>
      <c r="L33" s="529">
        <f t="shared" si="4"/>
        <v>0</v>
      </c>
      <c r="M33" s="517"/>
      <c r="N33" s="520" t="s">
        <v>404</v>
      </c>
      <c r="O33" s="522" t="s">
        <v>400</v>
      </c>
      <c r="P33" s="519">
        <v>370615318</v>
      </c>
      <c r="Q33" s="519" t="s">
        <v>405</v>
      </c>
      <c r="R33" s="519"/>
      <c r="S33" s="519" t="s">
        <v>345</v>
      </c>
    </row>
    <row r="34" spans="1:19" ht="18.75" customHeight="1">
      <c r="A34" s="513" t="str">
        <f t="shared" si="1"/>
        <v>VL</v>
      </c>
      <c r="B34" s="514">
        <f t="shared" si="2"/>
        <v>23</v>
      </c>
      <c r="C34" s="527" t="s">
        <v>402</v>
      </c>
      <c r="D34" s="528" t="s">
        <v>383</v>
      </c>
      <c r="E34" s="529"/>
      <c r="F34" s="529"/>
      <c r="G34" s="25">
        <f t="array" ref="G34">SUM(IF("1522"&amp;C34=KHN&amp;MH,SL))</f>
        <v>2448</v>
      </c>
      <c r="H34" s="25">
        <f t="array" ref="H34">SUM(IF("1522"&amp;C34=KHN&amp;MH,TH))</f>
        <v>44250000</v>
      </c>
      <c r="I34" s="25">
        <f t="array" ref="I34">SUM(IF("1522"&amp;C34=KHC&amp;MH,SL))</f>
        <v>620</v>
      </c>
      <c r="J34" s="25">
        <f t="array" ref="J34">SUM(IF("1522"&amp;C34=KHC&amp;MH,TH))</f>
        <v>11346000</v>
      </c>
      <c r="K34" s="529">
        <f t="shared" si="4"/>
        <v>1828</v>
      </c>
      <c r="L34" s="529">
        <f t="shared" si="4"/>
        <v>32904000</v>
      </c>
      <c r="M34" s="517"/>
      <c r="N34" s="520" t="s">
        <v>406</v>
      </c>
      <c r="O34" s="522" t="s">
        <v>400</v>
      </c>
      <c r="P34" s="519">
        <v>370825748</v>
      </c>
      <c r="Q34" s="519" t="s">
        <v>405</v>
      </c>
      <c r="R34" s="519"/>
      <c r="S34" s="519" t="s">
        <v>345</v>
      </c>
    </row>
    <row r="35" spans="1:19" ht="18.75" customHeight="1">
      <c r="A35" s="513" t="str">
        <f t="shared" si="1"/>
        <v/>
      </c>
      <c r="B35" s="514" t="str">
        <f t="shared" si="2"/>
        <v/>
      </c>
      <c r="C35" s="527"/>
      <c r="D35" s="528"/>
      <c r="E35" s="529"/>
      <c r="F35" s="529"/>
      <c r="G35" s="25">
        <f t="array" ref="G35">SUM(IF("1522"&amp;C35=KHN&amp;MH,SL))</f>
        <v>0</v>
      </c>
      <c r="H35" s="25">
        <f t="array" ref="H35">SUM(IF("1522"&amp;C35=KHN&amp;MH,TH))</f>
        <v>0</v>
      </c>
      <c r="I35" s="25">
        <f t="array" ref="I35">SUM(IF("1522"&amp;C35=KHC&amp;MH,SL))</f>
        <v>0</v>
      </c>
      <c r="J35" s="25">
        <f t="array" ref="J35">SUM(IF("1522"&amp;C35=KHC&amp;MH,TH))</f>
        <v>0</v>
      </c>
      <c r="K35" s="529">
        <f t="shared" si="4"/>
        <v>0</v>
      </c>
      <c r="L35" s="529">
        <f t="shared" si="4"/>
        <v>0</v>
      </c>
      <c r="M35" s="517"/>
      <c r="N35" s="520" t="s">
        <v>407</v>
      </c>
      <c r="O35" s="522" t="s">
        <v>400</v>
      </c>
      <c r="P35" s="519">
        <v>370698949</v>
      </c>
      <c r="Q35" s="519" t="s">
        <v>408</v>
      </c>
      <c r="R35" s="519" t="s">
        <v>409</v>
      </c>
      <c r="S35" s="519" t="s">
        <v>345</v>
      </c>
    </row>
    <row r="36" spans="1:19" ht="18.75" customHeight="1">
      <c r="A36" s="513" t="str">
        <f t="shared" si="1"/>
        <v/>
      </c>
      <c r="B36" s="514" t="str">
        <f t="shared" si="2"/>
        <v/>
      </c>
      <c r="C36" s="526"/>
      <c r="D36" s="532"/>
      <c r="E36" s="533"/>
      <c r="F36" s="533"/>
      <c r="G36" s="25"/>
      <c r="H36" s="533"/>
      <c r="I36" s="533"/>
      <c r="J36" s="533"/>
      <c r="K36" s="533"/>
      <c r="L36" s="533"/>
      <c r="M36" s="517"/>
      <c r="N36" s="520" t="s">
        <v>410</v>
      </c>
      <c r="O36" s="522" t="s">
        <v>400</v>
      </c>
      <c r="P36" s="519">
        <v>370803567</v>
      </c>
      <c r="Q36" s="519" t="s">
        <v>411</v>
      </c>
      <c r="R36" s="519"/>
      <c r="S36" s="519" t="s">
        <v>345</v>
      </c>
    </row>
    <row r="37" spans="1:19" ht="18.75" customHeight="1">
      <c r="A37" s="513" t="str">
        <f t="shared" si="1"/>
        <v/>
      </c>
      <c r="B37" s="510"/>
      <c r="C37" s="534" t="s">
        <v>423</v>
      </c>
      <c r="D37" s="13"/>
      <c r="E37" s="13">
        <f t="shared" ref="E37:L37" si="5">SUM(E12:E36)</f>
        <v>497676.7</v>
      </c>
      <c r="F37" s="13">
        <f t="shared" si="5"/>
        <v>526519887</v>
      </c>
      <c r="G37" s="13">
        <f t="shared" si="5"/>
        <v>35238</v>
      </c>
      <c r="H37" s="13">
        <f t="shared" si="5"/>
        <v>496536378</v>
      </c>
      <c r="I37" s="13">
        <f t="shared" si="5"/>
        <v>20567</v>
      </c>
      <c r="J37" s="13">
        <f t="shared" si="5"/>
        <v>228252002</v>
      </c>
      <c r="K37" s="13">
        <f t="shared" si="5"/>
        <v>512347.7</v>
      </c>
      <c r="L37" s="13">
        <f t="shared" si="5"/>
        <v>794804263</v>
      </c>
      <c r="M37" s="517"/>
      <c r="N37" s="520" t="s">
        <v>412</v>
      </c>
      <c r="O37" s="522" t="s">
        <v>400</v>
      </c>
      <c r="P37" s="519">
        <v>370004125</v>
      </c>
      <c r="Q37" s="519" t="s">
        <v>401</v>
      </c>
      <c r="R37" s="519"/>
      <c r="S37" s="519" t="s">
        <v>345</v>
      </c>
    </row>
    <row r="38" spans="1:19" ht="18.75" customHeight="1">
      <c r="A38" s="513"/>
      <c r="B38" s="967"/>
      <c r="C38" s="968"/>
      <c r="D38" s="969"/>
      <c r="E38" s="969">
        <f>F37-F38</f>
        <v>0</v>
      </c>
      <c r="F38" s="969">
        <f>CDPS!C22</f>
        <v>526519887</v>
      </c>
      <c r="G38" s="969">
        <f>H37-H38</f>
        <v>0</v>
      </c>
      <c r="H38" s="969">
        <f>CDPS!E22</f>
        <v>496536378</v>
      </c>
      <c r="I38" s="969">
        <f>J37-J38</f>
        <v>0</v>
      </c>
      <c r="J38" s="969">
        <f>CDPS!F22</f>
        <v>228252002</v>
      </c>
      <c r="K38" s="969">
        <f>L37-L38</f>
        <v>0</v>
      </c>
      <c r="L38" s="969">
        <f>CDPS!G22</f>
        <v>794804263</v>
      </c>
      <c r="M38" s="517"/>
      <c r="N38" s="520" t="s">
        <v>413</v>
      </c>
      <c r="O38" s="522" t="s">
        <v>400</v>
      </c>
      <c r="P38" s="519">
        <v>370033286</v>
      </c>
      <c r="Q38" s="519" t="s">
        <v>401</v>
      </c>
      <c r="R38" s="519"/>
      <c r="S38" s="519" t="s">
        <v>345</v>
      </c>
    </row>
    <row r="39" spans="1:19" ht="18.75" customHeight="1">
      <c r="A39" s="513" t="str">
        <f t="shared" ref="A39:A45" si="6">IF(B39&lt;&gt;"","NL","")</f>
        <v>NL</v>
      </c>
      <c r="B39" s="966">
        <f>IF(C39&lt;&gt;"",ROW()-(ROW()-1),"")</f>
        <v>1</v>
      </c>
      <c r="C39" s="515" t="s">
        <v>686</v>
      </c>
      <c r="D39" s="516"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7"/>
      <c r="N39" s="520" t="s">
        <v>414</v>
      </c>
      <c r="O39" s="522" t="s">
        <v>415</v>
      </c>
      <c r="P39" s="519">
        <v>310703274</v>
      </c>
      <c r="Q39" s="519" t="s">
        <v>416</v>
      </c>
      <c r="R39" s="519"/>
      <c r="S39" s="519" t="s">
        <v>345</v>
      </c>
    </row>
    <row r="40" spans="1:19" ht="18.75" customHeight="1">
      <c r="A40" s="513" t="str">
        <f t="shared" si="6"/>
        <v>NL</v>
      </c>
      <c r="B40" s="514">
        <f>IF(C40&lt;&gt;"",B39+1,"")</f>
        <v>2</v>
      </c>
      <c r="C40" s="520" t="s">
        <v>687</v>
      </c>
      <c r="D40" s="516"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7"/>
      <c r="N40" s="520" t="s">
        <v>417</v>
      </c>
      <c r="O40" s="522" t="s">
        <v>415</v>
      </c>
      <c r="P40" s="519">
        <v>311704830</v>
      </c>
      <c r="Q40" s="519" t="s">
        <v>418</v>
      </c>
      <c r="R40" s="519"/>
      <c r="S40" s="519" t="s">
        <v>345</v>
      </c>
    </row>
    <row r="41" spans="1:19" ht="18.75" customHeight="1">
      <c r="A41" s="513" t="str">
        <f t="shared" si="6"/>
        <v/>
      </c>
      <c r="B41" s="514" t="str">
        <f>IF(C41&lt;&gt;"",B40+1,"")</f>
        <v/>
      </c>
      <c r="C41" s="520"/>
      <c r="D41" s="516"/>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7"/>
      <c r="N41" s="520" t="s">
        <v>419</v>
      </c>
      <c r="O41" s="522" t="s">
        <v>415</v>
      </c>
      <c r="P41" s="519">
        <v>311318331</v>
      </c>
      <c r="Q41" s="519" t="s">
        <v>420</v>
      </c>
      <c r="R41" s="519"/>
      <c r="S41" s="519" t="s">
        <v>345</v>
      </c>
    </row>
    <row r="42" spans="1:19" ht="18" customHeight="1">
      <c r="A42" s="513" t="str">
        <f t="shared" si="6"/>
        <v/>
      </c>
      <c r="B42" s="514" t="str">
        <f>IF(C42&lt;&gt;"",B41+1,"")</f>
        <v/>
      </c>
      <c r="C42" s="520"/>
      <c r="D42" s="516"/>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7"/>
      <c r="N42" s="520" t="s">
        <v>421</v>
      </c>
      <c r="O42" s="522" t="s">
        <v>415</v>
      </c>
      <c r="P42" s="519">
        <v>310882191</v>
      </c>
      <c r="Q42" s="519" t="s">
        <v>422</v>
      </c>
      <c r="R42" s="519"/>
      <c r="S42" s="519" t="s">
        <v>345</v>
      </c>
    </row>
    <row r="43" spans="1:19" ht="18" customHeight="1">
      <c r="A43" s="513" t="str">
        <f t="shared" si="6"/>
        <v/>
      </c>
      <c r="B43" s="514" t="str">
        <f>IF(C43&lt;&gt;"",B42+1,"")</f>
        <v/>
      </c>
      <c r="C43" s="520"/>
      <c r="D43" s="516"/>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7"/>
      <c r="N43" s="520" t="s">
        <v>424</v>
      </c>
      <c r="O43" s="522" t="s">
        <v>415</v>
      </c>
      <c r="P43" s="519">
        <v>310882158</v>
      </c>
      <c r="Q43" s="519" t="s">
        <v>425</v>
      </c>
      <c r="R43" s="519"/>
      <c r="S43" s="519" t="s">
        <v>345</v>
      </c>
    </row>
    <row r="44" spans="1:19" ht="19.5" customHeight="1">
      <c r="A44" s="513" t="str">
        <f t="shared" si="6"/>
        <v/>
      </c>
      <c r="B44" s="514" t="str">
        <f>IF(C44&lt;&gt;"",B43+1,"")</f>
        <v/>
      </c>
      <c r="C44" s="535"/>
      <c r="D44" s="536"/>
      <c r="E44" s="537"/>
      <c r="F44" s="537"/>
      <c r="G44" s="537"/>
      <c r="H44" s="537"/>
      <c r="I44" s="537"/>
      <c r="J44" s="537"/>
      <c r="K44" s="8"/>
      <c r="L44" s="8"/>
      <c r="M44" s="517"/>
      <c r="N44" s="520" t="s">
        <v>426</v>
      </c>
      <c r="O44" s="522" t="s">
        <v>415</v>
      </c>
      <c r="P44" s="519">
        <v>310033074</v>
      </c>
      <c r="Q44" s="519" t="s">
        <v>416</v>
      </c>
      <c r="R44" s="519"/>
      <c r="S44" s="519" t="s">
        <v>345</v>
      </c>
    </row>
    <row r="45" spans="1:19" ht="19.5" customHeight="1">
      <c r="A45" s="513" t="str">
        <f t="shared" si="6"/>
        <v/>
      </c>
      <c r="B45" s="510"/>
      <c r="C45" s="534" t="s">
        <v>437</v>
      </c>
      <c r="D45" s="510"/>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7"/>
      <c r="N45" s="520" t="s">
        <v>427</v>
      </c>
      <c r="O45" s="522" t="s">
        <v>415</v>
      </c>
      <c r="P45" s="519">
        <v>310526150</v>
      </c>
      <c r="Q45" s="519" t="s">
        <v>416</v>
      </c>
      <c r="R45" s="519"/>
      <c r="S45" s="519" t="s">
        <v>345</v>
      </c>
    </row>
    <row r="46" spans="1:19" ht="19.5" customHeight="1">
      <c r="A46" s="513"/>
      <c r="B46" s="967"/>
      <c r="C46" s="968"/>
      <c r="D46" s="967"/>
      <c r="E46" s="969">
        <f>F45-F46</f>
        <v>0</v>
      </c>
      <c r="F46" s="969">
        <f>CDPS!C21</f>
        <v>2772400000</v>
      </c>
      <c r="G46" s="969">
        <f>H45-H46</f>
        <v>0</v>
      </c>
      <c r="H46" s="969">
        <f>CDPS!E21</f>
        <v>3656600000</v>
      </c>
      <c r="I46" s="969">
        <f>J45-J46</f>
        <v>0</v>
      </c>
      <c r="J46" s="969">
        <f>CDPS!F21</f>
        <v>6429000000</v>
      </c>
      <c r="K46" s="969">
        <f>L45-L46</f>
        <v>0</v>
      </c>
      <c r="L46" s="969">
        <f>CDPS!G21</f>
        <v>0</v>
      </c>
      <c r="M46" s="517"/>
      <c r="N46" s="520" t="s">
        <v>428</v>
      </c>
      <c r="O46" s="522" t="s">
        <v>415</v>
      </c>
      <c r="P46" s="519">
        <v>311514350</v>
      </c>
      <c r="Q46" s="519" t="s">
        <v>418</v>
      </c>
      <c r="R46" s="519"/>
      <c r="S46" s="519" t="s">
        <v>345</v>
      </c>
    </row>
    <row r="47" spans="1:19" ht="19.5" customHeight="1">
      <c r="A47" s="513" t="str">
        <f>IF(B47&lt;&gt;"","TP","")</f>
        <v>TP</v>
      </c>
      <c r="B47" s="538">
        <f>IF(C47&lt;&gt;"",ROW()-(ROW()-1),"")</f>
        <v>1</v>
      </c>
      <c r="C47" s="515" t="s">
        <v>442</v>
      </c>
      <c r="D47" s="539"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7"/>
      <c r="N47" s="520" t="s">
        <v>429</v>
      </c>
      <c r="O47" s="522" t="s">
        <v>430</v>
      </c>
      <c r="P47" s="519">
        <v>270106056</v>
      </c>
      <c r="Q47" s="519" t="s">
        <v>430</v>
      </c>
      <c r="R47" s="519" t="s">
        <v>431</v>
      </c>
      <c r="S47" s="519" t="s">
        <v>345</v>
      </c>
    </row>
    <row r="48" spans="1:19" ht="19.5" customHeight="1">
      <c r="A48" s="513" t="str">
        <f t="shared" ref="A48:A56" si="10">IF(B48&lt;&gt;"","TP","")</f>
        <v>TP</v>
      </c>
      <c r="B48" s="540">
        <f>IF(C48&lt;&gt;"",B47+1,"")</f>
        <v>2</v>
      </c>
      <c r="C48" s="520" t="s">
        <v>444</v>
      </c>
      <c r="D48" s="539"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7"/>
      <c r="N48" s="520" t="s">
        <v>432</v>
      </c>
      <c r="O48" s="522" t="s">
        <v>430</v>
      </c>
      <c r="P48" s="519">
        <v>270176684</v>
      </c>
      <c r="Q48" s="519" t="s">
        <v>430</v>
      </c>
      <c r="R48" s="519" t="s">
        <v>433</v>
      </c>
      <c r="S48" s="519" t="s">
        <v>345</v>
      </c>
    </row>
    <row r="49" spans="1:20" ht="19.5" customHeight="1">
      <c r="A49" s="513" t="str">
        <f t="shared" si="10"/>
        <v>TP</v>
      </c>
      <c r="B49" s="540">
        <f t="shared" ref="B49:B54" si="11">IF(C49&lt;&gt;"",B48+1,"")</f>
        <v>3</v>
      </c>
      <c r="C49" s="520" t="s">
        <v>446</v>
      </c>
      <c r="D49" s="539"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7"/>
      <c r="N49" s="520" t="s">
        <v>434</v>
      </c>
      <c r="O49" s="522" t="s">
        <v>430</v>
      </c>
      <c r="P49" s="519">
        <v>270176960</v>
      </c>
      <c r="Q49" s="519" t="s">
        <v>430</v>
      </c>
      <c r="R49" s="519" t="s">
        <v>435</v>
      </c>
      <c r="S49" s="519" t="s">
        <v>345</v>
      </c>
    </row>
    <row r="50" spans="1:20" ht="18" customHeight="1">
      <c r="A50" s="513" t="str">
        <f t="shared" si="10"/>
        <v>TP</v>
      </c>
      <c r="B50" s="540">
        <f t="shared" si="11"/>
        <v>4</v>
      </c>
      <c r="C50" s="520" t="s">
        <v>449</v>
      </c>
      <c r="D50" s="539"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7"/>
      <c r="N50" s="520" t="s">
        <v>436</v>
      </c>
      <c r="O50" s="522" t="s">
        <v>430</v>
      </c>
      <c r="P50" s="519">
        <v>271181056</v>
      </c>
      <c r="Q50" s="519" t="s">
        <v>430</v>
      </c>
      <c r="R50" s="519"/>
      <c r="S50" s="519" t="s">
        <v>345</v>
      </c>
    </row>
    <row r="51" spans="1:20" ht="18" customHeight="1">
      <c r="A51" s="513" t="str">
        <f t="shared" si="10"/>
        <v>TP</v>
      </c>
      <c r="B51" s="540">
        <f t="shared" si="11"/>
        <v>5</v>
      </c>
      <c r="C51" s="520" t="s">
        <v>451</v>
      </c>
      <c r="D51" s="539"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7"/>
      <c r="N51" s="520" t="s">
        <v>438</v>
      </c>
      <c r="O51" s="522" t="s">
        <v>430</v>
      </c>
      <c r="P51" s="519">
        <v>270986506</v>
      </c>
      <c r="Q51" s="519" t="s">
        <v>430</v>
      </c>
      <c r="R51" s="519"/>
      <c r="S51" s="519" t="s">
        <v>345</v>
      </c>
    </row>
    <row r="52" spans="1:20" ht="18.75" customHeight="1">
      <c r="A52" s="513" t="str">
        <f t="shared" si="10"/>
        <v>TP</v>
      </c>
      <c r="B52" s="540">
        <f t="shared" si="11"/>
        <v>6</v>
      </c>
      <c r="C52" s="520" t="s">
        <v>452</v>
      </c>
      <c r="D52" s="539"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7"/>
      <c r="N52" s="520" t="s">
        <v>439</v>
      </c>
      <c r="O52" s="522" t="s">
        <v>430</v>
      </c>
      <c r="P52" s="519">
        <v>273042454</v>
      </c>
      <c r="Q52" s="519" t="s">
        <v>440</v>
      </c>
      <c r="R52" s="519" t="s">
        <v>441</v>
      </c>
      <c r="S52" s="519" t="s">
        <v>345</v>
      </c>
    </row>
    <row r="53" spans="1:20" ht="18.75" customHeight="1">
      <c r="A53" s="513" t="str">
        <f t="shared" si="10"/>
        <v>TP</v>
      </c>
      <c r="B53" s="540">
        <f t="shared" si="11"/>
        <v>7</v>
      </c>
      <c r="C53" s="520" t="s">
        <v>453</v>
      </c>
      <c r="D53" s="539"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7"/>
      <c r="N53" s="520" t="s">
        <v>443</v>
      </c>
      <c r="O53" s="522" t="s">
        <v>430</v>
      </c>
      <c r="P53" s="519">
        <v>273249576</v>
      </c>
      <c r="Q53" s="519" t="s">
        <v>430</v>
      </c>
      <c r="R53" s="519"/>
      <c r="S53" s="519" t="s">
        <v>345</v>
      </c>
    </row>
    <row r="54" spans="1:20" ht="18.75" customHeight="1">
      <c r="A54" s="513" t="str">
        <f t="shared" si="10"/>
        <v>TP</v>
      </c>
      <c r="B54" s="540">
        <f t="shared" si="11"/>
        <v>8</v>
      </c>
      <c r="C54" s="520" t="s">
        <v>454</v>
      </c>
      <c r="D54" s="539" t="s">
        <v>341</v>
      </c>
      <c r="E54" s="8">
        <v>0</v>
      </c>
      <c r="F54" s="8">
        <v>0</v>
      </c>
      <c r="G54" s="25">
        <f t="array" ref="G54">SUM(IF("155"&amp;C54=KHN&amp;MH,SL))</f>
        <v>18600</v>
      </c>
      <c r="H54" s="25">
        <f t="array" ref="H54">SUM(IF("155"&amp;C54=KHN&amp;MH,TH))</f>
        <v>3292706043</v>
      </c>
      <c r="I54" s="25">
        <f t="array" ref="I54">SUM(IF("155"&amp;C54=KHC&amp;MH,SL))</f>
        <v>18600</v>
      </c>
      <c r="J54" s="25">
        <f t="array" ref="J54">SUM(IF("155"&amp;C54=KHC&amp;MH,TH))</f>
        <v>3292706043.2924347</v>
      </c>
      <c r="K54" s="8">
        <f t="shared" si="9"/>
        <v>0</v>
      </c>
      <c r="L54" s="8">
        <f t="shared" si="9"/>
        <v>-0.2924346923828125</v>
      </c>
      <c r="M54" s="517"/>
      <c r="N54" s="520" t="s">
        <v>445</v>
      </c>
      <c r="O54" s="522" t="s">
        <v>430</v>
      </c>
      <c r="P54" s="519">
        <v>271642418</v>
      </c>
      <c r="Q54" s="519" t="s">
        <v>430</v>
      </c>
      <c r="R54" s="519"/>
      <c r="S54" s="519" t="s">
        <v>345</v>
      </c>
    </row>
    <row r="55" spans="1:20" ht="18.75" customHeight="1">
      <c r="A55" s="513" t="str">
        <f t="shared" si="10"/>
        <v/>
      </c>
      <c r="B55" s="540" t="str">
        <f>IF(C55&lt;&gt;"",#REF!+1,"")</f>
        <v/>
      </c>
      <c r="C55" s="544"/>
      <c r="D55" s="536"/>
      <c r="E55" s="8"/>
      <c r="F55" s="8"/>
      <c r="G55" s="537"/>
      <c r="H55" s="537"/>
      <c r="I55" s="537"/>
      <c r="J55" s="537"/>
      <c r="K55" s="537"/>
      <c r="L55" s="537"/>
      <c r="M55" s="517"/>
      <c r="N55" s="526" t="s">
        <v>447</v>
      </c>
      <c r="O55" s="522" t="s">
        <v>430</v>
      </c>
      <c r="P55" s="519">
        <v>273017840</v>
      </c>
      <c r="Q55" s="519" t="s">
        <v>448</v>
      </c>
      <c r="R55" s="519"/>
      <c r="S55" s="519" t="s">
        <v>345</v>
      </c>
    </row>
    <row r="56" spans="1:20" ht="19.5" customHeight="1">
      <c r="A56" s="513" t="str">
        <f t="shared" si="10"/>
        <v/>
      </c>
      <c r="B56" s="510"/>
      <c r="C56" s="534" t="s">
        <v>456</v>
      </c>
      <c r="D56" s="510"/>
      <c r="E56" s="13">
        <f t="shared" ref="E56:L56" si="12">SUM(E47:E55)</f>
        <v>73584</v>
      </c>
      <c r="F56" s="13">
        <f t="shared" si="12"/>
        <v>9386323824</v>
      </c>
      <c r="G56" s="13">
        <f t="shared" si="12"/>
        <v>58200</v>
      </c>
      <c r="H56" s="13">
        <f t="shared" si="12"/>
        <v>10479552225</v>
      </c>
      <c r="I56" s="13">
        <f t="shared" si="12"/>
        <v>58200</v>
      </c>
      <c r="J56" s="13">
        <f t="shared" si="12"/>
        <v>10479552225.292435</v>
      </c>
      <c r="K56" s="13">
        <f t="shared" si="12"/>
        <v>73584</v>
      </c>
      <c r="L56" s="13">
        <f t="shared" si="12"/>
        <v>9386323823.7075653</v>
      </c>
      <c r="M56" s="517"/>
      <c r="N56" s="520" t="s">
        <v>450</v>
      </c>
      <c r="O56" s="520"/>
      <c r="P56" s="520"/>
      <c r="Q56" s="520"/>
      <c r="R56" s="520"/>
      <c r="S56" s="520"/>
    </row>
    <row r="57" spans="1:20" ht="18.75" customHeight="1">
      <c r="A57" s="513" t="str">
        <f>IF(B57&lt;&gt;"","TP","")</f>
        <v/>
      </c>
      <c r="B57" s="968"/>
      <c r="C57" s="968"/>
      <c r="D57" s="967"/>
      <c r="E57" s="969">
        <f>F56-F57</f>
        <v>0</v>
      </c>
      <c r="F57" s="969">
        <f>CDPS!C26</f>
        <v>9386323824</v>
      </c>
      <c r="G57" s="969">
        <f>H56-H57</f>
        <v>0</v>
      </c>
      <c r="H57" s="969">
        <f>CDPS!E26</f>
        <v>10479552225</v>
      </c>
      <c r="I57" s="969">
        <f>J56-J57</f>
        <v>0</v>
      </c>
      <c r="J57" s="969">
        <f>CDPS!F26</f>
        <v>10479552225.292435</v>
      </c>
      <c r="K57" s="969">
        <f>L56-L57</f>
        <v>0</v>
      </c>
      <c r="L57" s="969">
        <f>CDPS!G26</f>
        <v>9386323823.7075653</v>
      </c>
      <c r="M57" s="541"/>
      <c r="N57" s="541"/>
      <c r="O57" s="541"/>
      <c r="P57" s="541"/>
      <c r="Q57" s="541"/>
      <c r="R57" s="541"/>
      <c r="S57" s="541"/>
      <c r="T57" s="541"/>
    </row>
    <row r="58" spans="1:20" ht="18.75" customHeight="1">
      <c r="M58" s="504"/>
      <c r="P58" s="541"/>
      <c r="Q58" s="541"/>
      <c r="R58" s="541"/>
      <c r="S58" s="541"/>
      <c r="T58" s="541"/>
    </row>
    <row r="59" spans="1:20" ht="19.5" customHeight="1">
      <c r="M59" s="504"/>
      <c r="P59" s="541"/>
      <c r="Q59" s="541"/>
      <c r="R59" s="541"/>
      <c r="S59" s="541"/>
    </row>
    <row r="60" spans="1:20" ht="19.5" customHeight="1">
      <c r="C60" s="1347"/>
      <c r="D60" s="1347"/>
      <c r="E60" s="1347"/>
      <c r="F60" s="546"/>
      <c r="G60" s="546"/>
      <c r="H60" s="546"/>
      <c r="I60" s="546"/>
      <c r="J60" s="1347" t="s">
        <v>460</v>
      </c>
      <c r="K60" s="1347"/>
      <c r="L60" s="1347"/>
      <c r="M60" s="504"/>
      <c r="Q60" s="542"/>
      <c r="R60" s="542"/>
      <c r="S60" s="542"/>
    </row>
    <row r="61" spans="1:20" ht="19.5" customHeight="1">
      <c r="C61" s="547" t="s">
        <v>11</v>
      </c>
      <c r="D61" s="547"/>
      <c r="E61" s="547"/>
      <c r="F61" s="1347" t="s">
        <v>12</v>
      </c>
      <c r="G61" s="1347"/>
      <c r="H61" s="1347"/>
      <c r="I61" s="546"/>
      <c r="J61" s="1347" t="s">
        <v>131</v>
      </c>
      <c r="K61" s="1347"/>
      <c r="L61" s="1347"/>
      <c r="M61" s="504"/>
      <c r="Q61" s="515" t="s">
        <v>442</v>
      </c>
      <c r="R61" s="515"/>
      <c r="S61" s="539">
        <v>4.5</v>
      </c>
    </row>
    <row r="62" spans="1:20" ht="19.5" customHeight="1">
      <c r="C62" s="547" t="s">
        <v>13</v>
      </c>
      <c r="D62" s="547" t="s">
        <v>463</v>
      </c>
      <c r="E62" s="547"/>
      <c r="F62" s="1347" t="s">
        <v>13</v>
      </c>
      <c r="G62" s="1347"/>
      <c r="H62" s="1347"/>
      <c r="I62" s="504"/>
      <c r="J62" s="1347" t="s">
        <v>161</v>
      </c>
      <c r="K62" s="1347"/>
      <c r="L62" s="1347"/>
      <c r="M62" s="504"/>
      <c r="Q62" s="520" t="s">
        <v>444</v>
      </c>
      <c r="R62" s="515"/>
      <c r="S62" s="539">
        <v>5</v>
      </c>
    </row>
    <row r="63" spans="1:20" ht="20.25" customHeight="1">
      <c r="M63" s="504"/>
      <c r="Q63" s="520" t="s">
        <v>446</v>
      </c>
      <c r="R63" s="515"/>
      <c r="S63" s="539">
        <v>5</v>
      </c>
    </row>
    <row r="64" spans="1:20" ht="20.25" customHeight="1">
      <c r="M64" s="504"/>
      <c r="Q64" s="520" t="s">
        <v>449</v>
      </c>
      <c r="R64" s="515"/>
      <c r="S64" s="539">
        <v>5</v>
      </c>
    </row>
    <row r="65" spans="13:19" ht="20.25" customHeight="1">
      <c r="M65" s="504"/>
      <c r="Q65" s="520" t="s">
        <v>451</v>
      </c>
      <c r="R65" s="520"/>
      <c r="S65" s="543"/>
    </row>
    <row r="66" spans="13:19" ht="20.25" customHeight="1">
      <c r="M66" s="504"/>
      <c r="Q66" s="520" t="s">
        <v>455</v>
      </c>
      <c r="R66" s="520"/>
      <c r="S66" s="543">
        <v>8</v>
      </c>
    </row>
    <row r="67" spans="13:19" ht="20.25" customHeight="1">
      <c r="M67" s="504"/>
      <c r="Q67" s="520" t="s">
        <v>457</v>
      </c>
      <c r="R67" s="520"/>
      <c r="S67" s="543">
        <v>9</v>
      </c>
    </row>
    <row r="68" spans="13:19" ht="20.25" customHeight="1">
      <c r="M68" s="504"/>
      <c r="Q68" s="520" t="s">
        <v>458</v>
      </c>
      <c r="R68" s="520"/>
      <c r="S68" s="543">
        <v>8</v>
      </c>
    </row>
    <row r="69" spans="13:19" ht="20.25" customHeight="1">
      <c r="M69" s="504"/>
      <c r="Q69" s="520" t="s">
        <v>454</v>
      </c>
      <c r="R69" s="520"/>
      <c r="S69" s="543">
        <v>8</v>
      </c>
    </row>
    <row r="70" spans="13:19" ht="19.5" customHeight="1">
      <c r="M70" s="504"/>
      <c r="Q70" s="520" t="s">
        <v>459</v>
      </c>
      <c r="R70" s="520"/>
      <c r="S70" s="543">
        <v>5</v>
      </c>
    </row>
    <row r="71" spans="13:19" ht="19.5" customHeight="1">
      <c r="M71" s="504"/>
      <c r="Q71" s="520" t="s">
        <v>461</v>
      </c>
      <c r="R71" s="520"/>
      <c r="S71" s="543">
        <v>5</v>
      </c>
    </row>
    <row r="72" spans="13:19" ht="19.5" customHeight="1">
      <c r="M72" s="504"/>
      <c r="Q72" s="520" t="s">
        <v>462</v>
      </c>
      <c r="R72" s="520"/>
      <c r="S72" s="543">
        <v>5</v>
      </c>
    </row>
    <row r="73" spans="13:19" ht="19.5" customHeight="1">
      <c r="M73" s="504"/>
      <c r="Q73" s="520" t="s">
        <v>464</v>
      </c>
      <c r="R73" s="520"/>
      <c r="S73" s="543">
        <v>4.5</v>
      </c>
    </row>
    <row r="74" spans="13:19" ht="19.5" customHeight="1">
      <c r="M74" s="504"/>
      <c r="Q74" s="520" t="s">
        <v>465</v>
      </c>
      <c r="R74" s="520"/>
      <c r="S74" s="543">
        <v>4.5</v>
      </c>
    </row>
    <row r="75" spans="13:19" ht="19.5" customHeight="1">
      <c r="M75" s="504"/>
      <c r="Q75" s="520" t="s">
        <v>452</v>
      </c>
      <c r="R75" s="520"/>
      <c r="S75" s="543">
        <v>11</v>
      </c>
    </row>
    <row r="76" spans="13:19" ht="19.5" customHeight="1">
      <c r="M76" s="504"/>
      <c r="Q76" s="520" t="s">
        <v>453</v>
      </c>
      <c r="R76" s="520"/>
      <c r="S76" s="543">
        <v>11</v>
      </c>
    </row>
    <row r="77" spans="13:19" ht="19.5" customHeight="1">
      <c r="M77" s="504"/>
      <c r="Q77" s="520" t="s">
        <v>466</v>
      </c>
      <c r="R77" s="520"/>
      <c r="S77" s="543">
        <v>4.4000000000000004</v>
      </c>
    </row>
    <row r="78" spans="13:19" ht="19.5" customHeight="1">
      <c r="M78" s="504"/>
      <c r="Q78" s="520" t="s">
        <v>467</v>
      </c>
      <c r="R78" s="520"/>
      <c r="S78" s="543">
        <v>4.5</v>
      </c>
    </row>
    <row r="79" spans="13:19" ht="19.5" customHeight="1">
      <c r="M79" s="504"/>
    </row>
    <row r="80" spans="13:19" ht="19.5" customHeight="1">
      <c r="M80" s="504"/>
    </row>
    <row r="81" spans="13:14" ht="19.5" customHeight="1">
      <c r="M81" s="504"/>
    </row>
    <row r="82" spans="13:14" ht="19.5" customHeight="1">
      <c r="M82" s="504"/>
    </row>
    <row r="83" spans="13:14" ht="19.5" customHeight="1">
      <c r="M83" s="504"/>
    </row>
    <row r="84" spans="13:14" ht="19.5" customHeight="1">
      <c r="M84" s="504"/>
    </row>
    <row r="85" spans="13:14" ht="19.5" customHeight="1">
      <c r="M85" s="504"/>
    </row>
    <row r="86" spans="13:14" ht="19.5" customHeight="1">
      <c r="M86" s="504"/>
    </row>
    <row r="87" spans="13:14" ht="19.5" customHeight="1">
      <c r="M87" s="504"/>
    </row>
    <row r="88" spans="13:14" ht="19.5" customHeight="1">
      <c r="N88" s="541"/>
    </row>
    <row r="89" spans="13:14">
      <c r="N89" s="541"/>
    </row>
    <row r="90" spans="13:14">
      <c r="N90" s="541"/>
    </row>
    <row r="91" spans="13:14">
      <c r="N91" s="541"/>
    </row>
    <row r="93" spans="13:14">
      <c r="N93" s="541"/>
    </row>
    <row r="94" spans="13:14">
      <c r="N94" s="541"/>
    </row>
    <row r="95" spans="13:14">
      <c r="N95" s="541"/>
    </row>
    <row r="96" spans="13:14">
      <c r="N96" s="541"/>
    </row>
    <row r="97" spans="14:14">
      <c r="N97" s="541"/>
    </row>
    <row r="98" spans="14:14">
      <c r="N98" s="541"/>
    </row>
    <row r="99" spans="14:14">
      <c r="N99" s="541"/>
    </row>
    <row r="100" spans="14:14">
      <c r="N100" s="541"/>
    </row>
    <row r="101" spans="14:14">
      <c r="N101" s="541"/>
    </row>
    <row r="102" spans="14:14">
      <c r="N102" s="541"/>
    </row>
    <row r="103" spans="14:14">
      <c r="N103" s="541"/>
    </row>
    <row r="104" spans="14:14">
      <c r="N104" s="541"/>
    </row>
    <row r="105" spans="14:14">
      <c r="N105" s="541"/>
    </row>
    <row r="106" spans="14:14">
      <c r="N106" s="541"/>
    </row>
    <row r="107" spans="14:14">
      <c r="N107" s="541"/>
    </row>
  </sheetData>
  <autoFilter ref="B11:O11"/>
  <mergeCells count="27">
    <mergeCell ref="F62:H62"/>
    <mergeCell ref="J62:L62"/>
    <mergeCell ref="S8:S10"/>
    <mergeCell ref="C60:E60"/>
    <mergeCell ref="J60:L60"/>
    <mergeCell ref="F61:H61"/>
    <mergeCell ref="J61:L61"/>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8" customWidth="1"/>
    <col min="2" max="2" width="29.7109375" style="548" customWidth="1"/>
    <col min="3" max="3" width="5.7109375" style="548" customWidth="1"/>
    <col min="4" max="4" width="6.7109375" style="548" customWidth="1"/>
    <col min="5" max="5" width="12.7109375" style="548" customWidth="1"/>
    <col min="6" max="6" width="9.85546875" style="548" customWidth="1"/>
    <col min="7" max="7" width="11" style="548" customWidth="1"/>
    <col min="8" max="8" width="14" style="548" customWidth="1"/>
    <col min="9" max="9" width="4.28515625" style="548" customWidth="1"/>
    <col min="10" max="10" width="5.7109375" style="548" customWidth="1"/>
    <col min="11" max="11" width="3.140625" style="548" customWidth="1"/>
    <col min="12" max="12" width="5.7109375" style="548" customWidth="1"/>
    <col min="13" max="13" width="2.7109375" style="548" customWidth="1"/>
    <col min="14" max="14" width="4" style="548" customWidth="1"/>
    <col min="15" max="15" width="3.7109375" style="548" customWidth="1"/>
    <col min="16" max="16384" width="9.140625" style="548"/>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9"/>
    </row>
    <row r="4" spans="1:16" ht="11.25" customHeight="1">
      <c r="G4" s="112" t="s">
        <v>238</v>
      </c>
      <c r="J4" s="550" t="s">
        <v>468</v>
      </c>
      <c r="M4" s="551"/>
      <c r="N4" s="115" t="s">
        <v>127</v>
      </c>
      <c r="O4" s="549"/>
    </row>
    <row r="5" spans="1:16" ht="18" customHeight="1">
      <c r="D5" s="552" t="str">
        <f>+IF(LEFT($L$5,1)="N","PHIẾU NHẬP KHO","PHIẾU XUẤT KHO")</f>
        <v>PHIẾU XUẤT KHO</v>
      </c>
      <c r="J5" s="553">
        <v>1</v>
      </c>
      <c r="K5" s="554"/>
      <c r="L5" s="555" t="s">
        <v>581</v>
      </c>
      <c r="M5" s="556"/>
      <c r="N5" s="557">
        <v>1</v>
      </c>
      <c r="O5" s="549"/>
      <c r="P5" s="549"/>
    </row>
    <row r="6" spans="1:16" s="558" customFormat="1" ht="12" customHeight="1">
      <c r="D6" s="559" t="str">
        <f ca="1">"Ngày  " &amp;DAY(IF(ROWS($1:1)&gt;COUNT(Dong10),"",OFFSET(TH!C$1,SMALL(Dong10,ROWS($1:1)),)))&amp;"  tháng  " &amp; MONTH(IF(ROWS($1:1)&gt;COUNT(Dong10),"",OFFSET(TH!C$1,SMALL(Dong10,ROWS($1:1)),)))&amp;"  năm  "&amp;YEAR(IF(ROWS($1:1)&gt;COUNT(Dong10),"",OFFSET(TH!C$1,SMALL(Dong10,ROWS($1:1)),)))</f>
        <v>Ngày  2  tháng  1  năm  2016</v>
      </c>
      <c r="E6" s="560"/>
      <c r="M6" s="561"/>
      <c r="O6" s="562"/>
    </row>
    <row r="7" spans="1:16" s="558" customFormat="1" ht="12" customHeight="1">
      <c r="C7" s="563" t="str">
        <f xml:space="preserve"> "Số:"</f>
        <v>Số:</v>
      </c>
      <c r="D7" s="564" t="str">
        <f xml:space="preserve"> RIGHT($L$5,2)&amp;"/"&amp;LEFT($L$5,1)&amp;IF($N$5&gt;=10,$N$5,"0"&amp;$N$5)</f>
        <v>VL/X01</v>
      </c>
      <c r="G7" s="558" t="str">
        <f ca="1">"Nợ:  "&amp;IF(ROWS($1:1)&gt;COUNT(Dong10),"",OFFSET(TH!N$1,SMALL(Dong10,ROWS($1:1)),))</f>
        <v>Nợ:  154</v>
      </c>
      <c r="M7" s="561"/>
      <c r="O7" s="562"/>
    </row>
    <row r="8" spans="1:16" s="558" customFormat="1" ht="12" customHeight="1">
      <c r="D8" s="112"/>
      <c r="G8" s="558" t="str">
        <f ca="1">"Có:  "&amp;IF(ROWS($1:1)&gt;COUNT(Dong10),"",OFFSET(TH!O$1,SMALL(Dong10,ROWS($1:1)),))</f>
        <v>Có:  1522</v>
      </c>
      <c r="M8" s="561"/>
      <c r="O8" s="565"/>
    </row>
    <row r="9" spans="1:16" s="558" customFormat="1" ht="12" customHeight="1">
      <c r="A9" s="55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1"/>
    </row>
    <row r="10" spans="1:16" s="558" customFormat="1" ht="12" customHeight="1">
      <c r="A10" s="558" t="str">
        <f>+IF(LEFT($D$7,1)="N","Theo……………………………………....…………..số………….…………….……ngày……...tháng…......năm……....","Lý do xuất :                                 Xuất dùng ")</f>
        <v xml:space="preserve">Lý do xuất :                                 Xuất dùng </v>
      </c>
    </row>
    <row r="11" spans="1:16" s="558" customFormat="1" ht="12" customHeight="1">
      <c r="A11" s="558" t="str">
        <f>+IF(LEFT($D$7,1)="N","của………………………………………………………………………………………………………………………………....","Xuất tại kho (ngăn lô) :            Công ty TNHH Hải Sản An Lạc                      Địa điểm :  Đức Hòa, Long An.")</f>
        <v>Xuất tại kho (ngăn lô) :            Công ty TNHH Hải Sản An Lạc                      Địa điểm :  Đức Hòa, Long An.</v>
      </c>
    </row>
    <row r="12" spans="1:16" s="558" customFormat="1" ht="12" customHeight="1">
      <c r="A12" s="558" t="str">
        <f>+IF(LEFT("x",1)="N","Nhập tại kho:       Công ty TNHH Hải Sản An Lạc                      Địa điểm:  Đức Hòa, Long An."," ")</f>
        <v/>
      </c>
    </row>
    <row r="13" spans="1:16" s="558" customFormat="1" ht="2.25" customHeight="1"/>
    <row r="14" spans="1:16" s="558" customFormat="1" ht="11.25" customHeight="1">
      <c r="A14" s="1348" t="s">
        <v>37</v>
      </c>
      <c r="B14" s="1348" t="s">
        <v>469</v>
      </c>
      <c r="C14" s="1348" t="s">
        <v>470</v>
      </c>
      <c r="D14" s="1348" t="s">
        <v>327</v>
      </c>
      <c r="E14" s="1350" t="s">
        <v>471</v>
      </c>
      <c r="F14" s="1350"/>
      <c r="G14" s="1348" t="s">
        <v>472</v>
      </c>
      <c r="H14" s="1348" t="s">
        <v>473</v>
      </c>
    </row>
    <row r="15" spans="1:16" s="558" customFormat="1" ht="19.5" customHeight="1">
      <c r="A15" s="1349"/>
      <c r="B15" s="1349"/>
      <c r="C15" s="1349"/>
      <c r="D15" s="1349"/>
      <c r="E15" s="566" t="s">
        <v>474</v>
      </c>
      <c r="F15" s="566" t="str">
        <f>IF(LEFT($D$7,1)="N","Thực nhập","Thực xuất")</f>
        <v>Thực xuất</v>
      </c>
      <c r="G15" s="1349"/>
      <c r="H15" s="1349"/>
    </row>
    <row r="16" spans="1:16" s="568" customFormat="1" ht="8.25" customHeight="1">
      <c r="A16" s="567" t="s">
        <v>2</v>
      </c>
      <c r="B16" s="567" t="s">
        <v>3</v>
      </c>
      <c r="C16" s="567" t="s">
        <v>4</v>
      </c>
      <c r="D16" s="567" t="s">
        <v>5</v>
      </c>
      <c r="E16" s="567">
        <v>1</v>
      </c>
      <c r="F16" s="567">
        <v>2</v>
      </c>
      <c r="G16" s="567">
        <v>3</v>
      </c>
      <c r="H16" s="567">
        <v>4</v>
      </c>
    </row>
    <row r="17" spans="1:8" s="558" customFormat="1" ht="12" customHeight="1">
      <c r="A17" s="569">
        <f ca="1">IF(B17="","",ROW()-16)</f>
        <v>1</v>
      </c>
      <c r="B17" s="570" t="str">
        <f ca="1">IF(ROWS($1:1)&gt;COUNT(Dong10),"",OFFSET(TH!F$1,SMALL(Dong10,ROWS($1:1)),))</f>
        <v>Bột ngọt</v>
      </c>
      <c r="C17" s="571"/>
      <c r="D17" s="572" t="str">
        <f ca="1">IF(ISNA(VLOOKUP(B17,NXT!$C$12:$D$55,2,0)),"",VLOOKUP(B17,NXT!$C$12:$D$55,2,0))</f>
        <v>kg</v>
      </c>
      <c r="E17" s="573"/>
      <c r="F17" s="574">
        <f ca="1">IF(ROWS($1:1)&gt;COUNT(Dong10),"",OFFSET(TH!I$1,SMALL(Dong10,ROWS($1:1)),))</f>
        <v>100</v>
      </c>
      <c r="G17" s="575">
        <f ca="1">IF(ROWS($1:1)&gt;COUNT(Dong10),"",OFFSET(TH!J$1,SMALL(Dong10,ROWS($1:1)),))</f>
        <v>35444.444444444445</v>
      </c>
      <c r="H17" s="573">
        <f t="shared" ref="H17:H23" ca="1" si="0">IF(F17&lt;&gt;"",ROUND(F17*G17,0),"")</f>
        <v>3544444</v>
      </c>
    </row>
    <row r="18" spans="1:8" s="558" customFormat="1" ht="12" customHeight="1">
      <c r="A18" s="569">
        <f t="shared" ref="A18:A23" ca="1" si="1">IF(B18="","",A17+1)</f>
        <v>2</v>
      </c>
      <c r="B18" s="570" t="str">
        <f ca="1">IF(ROWS($1:2)&gt;COUNT(Dong10),"",OFFSET(TH!F$1,SMALL(Dong10,ROWS($1:2)),))</f>
        <v>Bột biến tính</v>
      </c>
      <c r="C18" s="571"/>
      <c r="D18" s="572" t="str">
        <f ca="1">IF(ISNA(VLOOKUP(B18,NXT!$C$12:$D$55,2,0)),"",VLOOKUP(B18,NXT!$C$12:$D$55,2,0))</f>
        <v>kg</v>
      </c>
      <c r="E18" s="573"/>
      <c r="F18" s="574">
        <f ca="1">IF(ROWS($1:2)&gt;COUNT(Dong10),"",OFFSET(TH!I$1,SMALL(Dong10,ROWS($1:2)),))</f>
        <v>20</v>
      </c>
      <c r="G18" s="575">
        <f ca="1">IF(ROWS($1:2)&gt;COUNT(Dong10),"",OFFSET(TH!J$1,SMALL(Dong10,ROWS($1:2)),))</f>
        <v>46741.2</v>
      </c>
      <c r="H18" s="573">
        <f t="shared" ca="1" si="0"/>
        <v>934824</v>
      </c>
    </row>
    <row r="19" spans="1:8" s="558" customFormat="1" ht="12" customHeight="1">
      <c r="A19" s="569">
        <f t="shared" ca="1" si="1"/>
        <v>3</v>
      </c>
      <c r="B19" s="570" t="str">
        <f ca="1">IF(ROWS($1:3)&gt;COUNT(Dong10),"",OFFSET(TH!F$1,SMALL(Dong10,ROWS($1:3)),))</f>
        <v>Đường</v>
      </c>
      <c r="C19" s="571"/>
      <c r="D19" s="572" t="str">
        <f ca="1">IF(ISNA(VLOOKUP(B19,NXT!$C$12:$D$55,2,0)),"",VLOOKUP(B19,NXT!$C$12:$D$55,2,0))</f>
        <v>kg</v>
      </c>
      <c r="E19" s="573"/>
      <c r="F19" s="574">
        <f ca="1">IF(ROWS($1:3)&gt;COUNT(Dong10),"",OFFSET(TH!I$1,SMALL(Dong10,ROWS($1:3)),))</f>
        <v>150</v>
      </c>
      <c r="G19" s="575">
        <f ca="1">IF(ROWS($1:3)&gt;COUNT(Dong10),"",OFFSET(TH!J$1,SMALL(Dong10,ROWS($1:3)),))</f>
        <v>11666.673333333334</v>
      </c>
      <c r="H19" s="573">
        <f t="shared" ca="1" si="0"/>
        <v>1750001</v>
      </c>
    </row>
    <row r="20" spans="1:8" s="558" customFormat="1" ht="12" customHeight="1">
      <c r="A20" s="569" t="str">
        <f t="shared" ca="1" si="1"/>
        <v/>
      </c>
      <c r="B20" s="570" t="str">
        <f ca="1">IF(ROWS($1:4)&gt;COUNT(Dong10),"",OFFSET(TH!F$1,SMALL(Dong10,ROWS($1:4)),))</f>
        <v/>
      </c>
      <c r="C20" s="571"/>
      <c r="D20" s="572" t="str">
        <f ca="1">IF(ISNA(VLOOKUP(B20,NXT!$C$12:$D$55,2,0)),"",VLOOKUP(B20,NXT!$C$12:$D$55,2,0))</f>
        <v/>
      </c>
      <c r="E20" s="573"/>
      <c r="F20" s="574" t="str">
        <f ca="1">IF(ROWS($1:4)&gt;COUNT(Dong10),"",OFFSET(TH!I$1,SMALL(Dong10,ROWS($1:4)),))</f>
        <v/>
      </c>
      <c r="G20" s="575" t="str">
        <f ca="1">IF(ROWS($1:4)&gt;COUNT(Dong10),"",OFFSET(TH!J$1,SMALL(Dong10,ROWS($1:4)),))</f>
        <v/>
      </c>
      <c r="H20" s="573" t="str">
        <f t="shared" ca="1" si="0"/>
        <v/>
      </c>
    </row>
    <row r="21" spans="1:8" s="558" customFormat="1" ht="12" customHeight="1">
      <c r="A21" s="569" t="str">
        <f t="shared" ca="1" si="1"/>
        <v/>
      </c>
      <c r="B21" s="570" t="str">
        <f ca="1">IF(ROWS($1:5)&gt;COUNT(Dong10),"",OFFSET(TH!F$1,SMALL(Dong10,ROWS($1:5)),))</f>
        <v/>
      </c>
      <c r="C21" s="571"/>
      <c r="D21" s="572" t="str">
        <f ca="1">IF(ISNA(VLOOKUP(B21,NXT!$C$12:$D$55,2,0)),"",VLOOKUP(B21,NXT!$C$12:$D$55,2,0))</f>
        <v/>
      </c>
      <c r="E21" s="573"/>
      <c r="F21" s="574" t="str">
        <f ca="1">IF(ROWS($1:5)&gt;COUNT(Dong10),"",OFFSET(TH!I$1,SMALL(Dong10,ROWS($1:5)),))</f>
        <v/>
      </c>
      <c r="G21" s="575" t="str">
        <f ca="1">IF(ROWS($1:5)&gt;COUNT(Dong10),"",OFFSET(TH!J$1,SMALL(Dong10,ROWS($1:5)),))</f>
        <v/>
      </c>
      <c r="H21" s="573" t="str">
        <f t="shared" ca="1" si="0"/>
        <v/>
      </c>
    </row>
    <row r="22" spans="1:8" s="558" customFormat="1" ht="12" customHeight="1">
      <c r="A22" s="569" t="str">
        <f t="shared" ca="1" si="1"/>
        <v/>
      </c>
      <c r="B22" s="570" t="str">
        <f ca="1">IF(ROWS($1:6)&gt;COUNT(Dong10),"",OFFSET(TH!F$1,SMALL(Dong10,ROWS($1:6)),))</f>
        <v/>
      </c>
      <c r="C22" s="571"/>
      <c r="D22" s="572" t="str">
        <f ca="1">IF(ISNA(VLOOKUP(B22,NXT!$C$12:$D$55,2,0)),"",VLOOKUP(B22,NXT!$C$12:$D$55,2,0))</f>
        <v/>
      </c>
      <c r="E22" s="573"/>
      <c r="F22" s="574" t="str">
        <f ca="1">IF(ROWS($1:6)&gt;COUNT(Dong10),"",OFFSET(TH!I$1,SMALL(Dong10,ROWS($1:6)),))</f>
        <v/>
      </c>
      <c r="G22" s="575" t="str">
        <f ca="1">IF(ROWS($1:6)&gt;COUNT(Dong10),"",OFFSET(TH!J$1,SMALL(Dong10,ROWS($1:6)),))</f>
        <v/>
      </c>
      <c r="H22" s="573" t="str">
        <f t="shared" ca="1" si="0"/>
        <v/>
      </c>
    </row>
    <row r="23" spans="1:8" s="558" customFormat="1" ht="12" customHeight="1">
      <c r="A23" s="576" t="str">
        <f t="shared" ca="1" si="1"/>
        <v/>
      </c>
      <c r="B23" s="570" t="str">
        <f ca="1">IF(ROWS($1:7)&gt;COUNT(Dong10),"",OFFSET(TH!F$1,SMALL(Dong10,ROWS($1:7)),))</f>
        <v/>
      </c>
      <c r="C23" s="571"/>
      <c r="D23" s="572" t="str">
        <f ca="1">IF(ISNA(VLOOKUP(B23,NXT!$C$12:$D$55,2,0)),"",VLOOKUP(B23,NXT!$C$12:$D$55,2,0))</f>
        <v/>
      </c>
      <c r="E23" s="573"/>
      <c r="F23" s="574" t="str">
        <f ca="1">IF(ROWS($1:7)&gt;COUNT(Dong10),"",OFFSET(TH!I$1,SMALL(Dong10,ROWS($1:7)),))</f>
        <v/>
      </c>
      <c r="G23" s="575" t="str">
        <f ca="1">IF(ROWS($1:7)&gt;COUNT(Dong10),"",OFFSET(TH!J$1,SMALL(Dong10,ROWS($1:7)),))</f>
        <v/>
      </c>
      <c r="H23" s="577" t="str">
        <f t="shared" ca="1" si="0"/>
        <v/>
      </c>
    </row>
    <row r="24" spans="1:8" s="558" customFormat="1" ht="12" customHeight="1">
      <c r="A24" s="1350" t="s">
        <v>475</v>
      </c>
      <c r="B24" s="1350"/>
      <c r="C24" s="578"/>
      <c r="D24" s="578"/>
      <c r="E24" s="579"/>
      <c r="F24" s="579"/>
      <c r="G24" s="579"/>
      <c r="H24" s="579">
        <f ca="1">SUM(H17:H23)</f>
        <v>6229269</v>
      </c>
    </row>
    <row r="25" spans="1:8" s="558" customFormat="1" ht="3" customHeight="1">
      <c r="A25" s="580"/>
      <c r="B25" s="580"/>
      <c r="C25" s="561"/>
      <c r="D25" s="561"/>
      <c r="E25" s="581"/>
      <c r="F25" s="581"/>
      <c r="G25" s="581"/>
      <c r="H25" s="581"/>
    </row>
    <row r="26" spans="1:8" s="558" customFormat="1" ht="14.25" customHeight="1">
      <c r="A26" s="558" t="str">
        <f ca="1">"Tổng số tiền (viết bằng chữ):  "&amp; [3]!VND(H24, TRUE)</f>
        <v>Tổng số tiền (viết bằng chữ):  Sáu triệu, hai trăm hai mươi chín ngàn, hai trăm sáu mươi chín đồng</v>
      </c>
    </row>
    <row r="27" spans="1:8" s="558" customFormat="1" ht="14.25" customHeight="1">
      <c r="A27" s="558" t="str">
        <f>"Số chứng từ gốc kèm theo :  "</f>
        <v xml:space="preserve">Số chứng từ gốc kèm theo :  </v>
      </c>
    </row>
    <row r="28" spans="1:8" s="558" customFormat="1" ht="14.25" customHeight="1">
      <c r="F28" s="123" t="str">
        <f ca="1">+IF(LEFT($D$7,1)="N","                                                          "&amp;D6,"                                                                                           "&amp;D6)</f>
        <v xml:space="preserve">                                                                                           Ngày  2  tháng  1  năm  2016</v>
      </c>
    </row>
    <row r="29" spans="1:8" s="583" customFormat="1" ht="14.25" customHeight="1">
      <c r="A29" s="582" t="s">
        <v>476</v>
      </c>
      <c r="C29" s="584"/>
      <c r="E29" s="584"/>
      <c r="F29" s="584" t="str">
        <f>+IF(LEFT($D$7,1)="N","                                                       Kế toán trưởng","                                          Kế toán trưởng                           Giám đốc")</f>
        <v xml:space="preserve">                                          Kế toán trưởng                           Giám đốc</v>
      </c>
    </row>
    <row r="30" spans="1:8" s="558" customFormat="1" ht="12.75" customHeight="1">
      <c r="A30" s="564" t="s">
        <v>477</v>
      </c>
      <c r="C30" s="123"/>
      <c r="E30" s="123"/>
      <c r="F30" s="123" t="str">
        <f>+IF(LEFT($D$7,1)="N","                                                     (Ký, họ tên)","                (Ký, họ tên)                ")</f>
        <v xml:space="preserve">                (Ký, họ tên)                </v>
      </c>
      <c r="H30" s="564" t="str">
        <f>+IF(LEFT($D$7,1)="N","","  (Ký, họ tên)")</f>
        <v xml:space="preserve">  (Ký, họ tên)</v>
      </c>
    </row>
    <row r="31" spans="1:8" s="558" customFormat="1" ht="12.75" customHeight="1">
      <c r="G31" s="123"/>
    </row>
    <row r="32" spans="1:8" s="558" customFormat="1" ht="11.25" customHeight="1"/>
    <row r="33" spans="1:6" s="558" customFormat="1" ht="11.25" customHeight="1"/>
    <row r="34" spans="1:6" s="558" customFormat="1" ht="11.25" customHeight="1"/>
    <row r="35" spans="1:6" s="558" customFormat="1" ht="11.25" customHeight="1"/>
    <row r="36" spans="1:6" ht="11.25" customHeight="1">
      <c r="A36" s="585" t="s">
        <v>478</v>
      </c>
      <c r="F36" s="58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8" customWidth="1"/>
    <col min="2" max="2" width="8.5703125" style="588" customWidth="1"/>
    <col min="3" max="3" width="11" style="588" customWidth="1"/>
    <col min="4" max="4" width="41.7109375" style="588" customWidth="1"/>
    <col min="5" max="5" width="8" style="601" customWidth="1"/>
    <col min="6" max="6" width="8.85546875" style="588" customWidth="1"/>
    <col min="7" max="7" width="9" style="588" customWidth="1"/>
    <col min="8" max="8" width="14.140625" style="588" customWidth="1"/>
    <col min="9" max="9" width="8.85546875" style="588" customWidth="1"/>
    <col min="10" max="10" width="13.42578125" style="588" customWidth="1"/>
    <col min="11" max="11" width="10.140625" style="588" customWidth="1"/>
    <col min="12" max="12" width="13" style="588" customWidth="1"/>
    <col min="13" max="13" width="7.140625" style="588" customWidth="1"/>
    <col min="14" max="14" width="2" style="588" customWidth="1"/>
    <col min="15" max="15" width="5.5703125" style="588" customWidth="1"/>
    <col min="16" max="16" width="4.42578125" style="588" customWidth="1"/>
    <col min="17" max="16384" width="23.85546875" style="588"/>
  </cols>
  <sheetData>
    <row r="1" spans="1:17">
      <c r="A1" s="587" t="s">
        <v>479</v>
      </c>
      <c r="E1" s="588"/>
      <c r="O1" s="589"/>
    </row>
    <row r="2" spans="1:17" s="459" customFormat="1" ht="16.5" customHeight="1">
      <c r="B2" s="590" t="s">
        <v>317</v>
      </c>
      <c r="C2" s="591"/>
      <c r="D2" s="592"/>
      <c r="E2" s="593"/>
      <c r="F2" s="2"/>
      <c r="J2" s="1358" t="s">
        <v>480</v>
      </c>
      <c r="K2" s="1358"/>
      <c r="L2" s="1358"/>
      <c r="M2" s="1358"/>
      <c r="N2" s="594"/>
    </row>
    <row r="3" spans="1:17" s="459" customFormat="1" ht="16.5" customHeight="1">
      <c r="B3" s="590" t="s">
        <v>319</v>
      </c>
      <c r="C3" s="590"/>
      <c r="D3" s="590"/>
      <c r="E3" s="595"/>
      <c r="F3" s="590"/>
      <c r="J3" s="1359" t="s">
        <v>50</v>
      </c>
      <c r="K3" s="1359"/>
      <c r="L3" s="1359"/>
      <c r="M3" s="1359"/>
      <c r="N3" s="596"/>
    </row>
    <row r="4" spans="1:17" s="459" customFormat="1" ht="16.5" customHeight="1">
      <c r="B4" s="590"/>
      <c r="C4" s="590"/>
      <c r="D4" s="590"/>
      <c r="E4" s="595"/>
      <c r="F4" s="590"/>
      <c r="J4" s="1359"/>
      <c r="K4" s="1359"/>
      <c r="L4" s="1359"/>
      <c r="M4" s="1359"/>
      <c r="N4" s="596"/>
    </row>
    <row r="5" spans="1:17" ht="18.75" customHeight="1">
      <c r="B5" s="1360" t="s">
        <v>481</v>
      </c>
      <c r="C5" s="1360"/>
      <c r="D5" s="1360"/>
      <c r="E5" s="1360"/>
      <c r="F5" s="1360"/>
      <c r="G5" s="1360"/>
      <c r="H5" s="1360"/>
      <c r="I5" s="1360"/>
      <c r="J5" s="1360"/>
      <c r="K5" s="1360"/>
      <c r="L5" s="1360"/>
      <c r="M5" s="1360"/>
      <c r="N5" s="597"/>
    </row>
    <row r="6" spans="1:17" s="598" customFormat="1" ht="12.75">
      <c r="B6" s="1361" t="s">
        <v>482</v>
      </c>
      <c r="C6" s="1361"/>
      <c r="D6" s="1361"/>
      <c r="E6" s="1361"/>
      <c r="F6" s="1361"/>
      <c r="G6" s="1361"/>
      <c r="H6" s="1361"/>
      <c r="I6" s="1361"/>
      <c r="J6" s="1361"/>
      <c r="K6" s="1361"/>
      <c r="L6" s="1361"/>
      <c r="M6" s="1361"/>
      <c r="N6" s="599"/>
    </row>
    <row r="7" spans="1:17">
      <c r="C7" s="600"/>
      <c r="D7" s="600"/>
      <c r="F7" s="602" t="s">
        <v>936</v>
      </c>
      <c r="G7" s="949" t="str">
        <f>IF($O$10="VL","1522",IF($O$10="NL","1521",IF($O$10="TP","155","")))</f>
        <v>1522</v>
      </c>
      <c r="H7" s="602" t="s">
        <v>483</v>
      </c>
      <c r="I7" s="600" t="str">
        <f>IF($O$10="NL","Nguyên Liệu",IF($O$10="TP","Thành Phẩm",IF($O$10="VL","Vật Liệu","")))</f>
        <v>Vật Liệu</v>
      </c>
      <c r="J7" s="600"/>
      <c r="K7" s="600"/>
      <c r="L7" s="600"/>
      <c r="M7" s="600"/>
      <c r="N7" s="601"/>
    </row>
    <row r="8" spans="1:17">
      <c r="B8" s="601"/>
      <c r="C8" s="600"/>
      <c r="D8" s="600"/>
      <c r="F8" s="601" t="s">
        <v>484</v>
      </c>
      <c r="H8" s="600"/>
      <c r="I8" s="600"/>
      <c r="J8" s="1362" t="s">
        <v>385</v>
      </c>
      <c r="K8" s="1362"/>
      <c r="L8" s="1362"/>
      <c r="M8" s="600"/>
      <c r="N8" s="600"/>
    </row>
    <row r="9" spans="1:17">
      <c r="D9" s="603"/>
      <c r="E9" s="604"/>
      <c r="F9" s="603"/>
      <c r="G9" s="603"/>
      <c r="H9" s="603"/>
      <c r="I9" s="603"/>
      <c r="J9" s="603"/>
      <c r="K9" s="603" t="s">
        <v>148</v>
      </c>
      <c r="M9" s="605"/>
      <c r="N9" s="606"/>
    </row>
    <row r="10" spans="1:17" ht="15.75" customHeight="1">
      <c r="A10" s="1352" t="s">
        <v>37</v>
      </c>
      <c r="B10" s="1353" t="s">
        <v>1</v>
      </c>
      <c r="C10" s="1353"/>
      <c r="D10" s="1354" t="s">
        <v>0</v>
      </c>
      <c r="E10" s="1354" t="s">
        <v>485</v>
      </c>
      <c r="F10" s="1354" t="s">
        <v>472</v>
      </c>
      <c r="G10" s="1356" t="s">
        <v>486</v>
      </c>
      <c r="H10" s="1357"/>
      <c r="I10" s="1356" t="s">
        <v>487</v>
      </c>
      <c r="J10" s="1357"/>
      <c r="K10" s="1356" t="s">
        <v>488</v>
      </c>
      <c r="L10" s="1357"/>
      <c r="M10" s="1354" t="s">
        <v>152</v>
      </c>
      <c r="N10" s="607"/>
      <c r="O10" s="608" t="s">
        <v>489</v>
      </c>
    </row>
    <row r="11" spans="1:17" ht="31.5" customHeight="1">
      <c r="A11" s="1352"/>
      <c r="B11" s="609" t="s">
        <v>17</v>
      </c>
      <c r="C11" s="609" t="s">
        <v>34</v>
      </c>
      <c r="D11" s="1354"/>
      <c r="E11" s="1354"/>
      <c r="F11" s="1354"/>
      <c r="G11" s="609" t="s">
        <v>471</v>
      </c>
      <c r="H11" s="609" t="s">
        <v>473</v>
      </c>
      <c r="I11" s="609" t="s">
        <v>471</v>
      </c>
      <c r="J11" s="609" t="s">
        <v>473</v>
      </c>
      <c r="K11" s="609" t="s">
        <v>471</v>
      </c>
      <c r="L11" s="609" t="s">
        <v>473</v>
      </c>
      <c r="M11" s="1354"/>
      <c r="N11" s="607"/>
    </row>
    <row r="12" spans="1:17" s="601" customFormat="1">
      <c r="A12" s="610"/>
      <c r="B12" s="611" t="s">
        <v>2</v>
      </c>
      <c r="C12" s="612" t="s">
        <v>3</v>
      </c>
      <c r="D12" s="612" t="s">
        <v>4</v>
      </c>
      <c r="E12" s="611" t="s">
        <v>5</v>
      </c>
      <c r="F12" s="611">
        <v>1</v>
      </c>
      <c r="G12" s="611">
        <v>2</v>
      </c>
      <c r="H12" s="611" t="s">
        <v>490</v>
      </c>
      <c r="I12" s="611">
        <v>4</v>
      </c>
      <c r="J12" s="611" t="s">
        <v>491</v>
      </c>
      <c r="K12" s="611">
        <v>6</v>
      </c>
      <c r="L12" s="611" t="s">
        <v>492</v>
      </c>
      <c r="M12" s="611"/>
      <c r="N12" s="613"/>
    </row>
    <row r="13" spans="1:17">
      <c r="A13" s="614"/>
      <c r="B13" s="614"/>
      <c r="C13" s="614"/>
      <c r="D13" s="615" t="s">
        <v>174</v>
      </c>
      <c r="E13" s="616"/>
      <c r="F13" s="617">
        <f>L13/K13</f>
        <v>4466.322284402353</v>
      </c>
      <c r="G13" s="617"/>
      <c r="H13" s="617"/>
      <c r="I13" s="617"/>
      <c r="J13" s="617"/>
      <c r="K13" s="618">
        <f>VLOOKUP($J$8,NXT!$C$12:$L$55,3,0)</f>
        <v>13938</v>
      </c>
      <c r="L13" s="618">
        <f>VLOOKUP($J$8,NXT!$C$12:$L$55,4,0)</f>
        <v>62251600</v>
      </c>
      <c r="M13" s="617"/>
      <c r="N13" s="613"/>
    </row>
    <row r="14" spans="1:17">
      <c r="A14" s="569">
        <f ca="1">IF(B14="","",ROW()-13)</f>
        <v>1</v>
      </c>
      <c r="B14" s="619" t="str">
        <f ca="1">IF(ROWS($1:1)&gt;COUNT(Dong11),"",OFFSET(TH!D$1,SMALL(Dong11,ROWS($1:1)),))</f>
        <v>VL/X04</v>
      </c>
      <c r="C14" s="620">
        <f ca="1">IF(ROWS($1:1)&gt;COUNT(Dong11),"",OFFSET(TH!E$1,SMALL(Dong11,ROWS($1:1)),))</f>
        <v>42459</v>
      </c>
      <c r="D14" s="621" t="str">
        <f ca="1">IF(ROWS($1:1)&gt;COUNT(Dong11),"",OFFSET(TH!F$1,SMALL(Dong11,ROWS($1:1)),)&amp;" - "&amp;OFFSET(TH!H$1,SMALL(Dong11,ROWS($1:1)),))</f>
        <v>Thùng carton 30x20x15 - Xuất SX</v>
      </c>
      <c r="E14" s="619" t="str">
        <f ca="1">IF(ROWS($1:1)&gt;COUNT(Dong11),"",IF(OFFSET(TH!N$1,SMALL(Dong11,ROWS($1:1)),)=$G$7,OFFSET(TH!O$1,SMALL(Dong11,ROWS($1:1)),),OFFSET(TH!N$1,SMALL(Dong11,ROWS($1:1)),)))</f>
        <v>154</v>
      </c>
      <c r="F14" s="622">
        <f ca="1">IF(ROWS($1:1)&gt;COUNT(Dong11),0,OFFSET(TH!J$1,SMALL(Dong11,ROWS($1:1)),))</f>
        <v>4466.322284402353</v>
      </c>
      <c r="G14" s="622">
        <f ca="1">IF(ROWS($1:1)&gt;COUNT(Dong11),0,IF(MID(OFFSET(TH!D$1,SMALL(Dong11,ROWS($1:1)),),4,1)="N",OFFSET(TH!I$1,SMALL(Dong11,ROWS($1:1)),),0))</f>
        <v>0</v>
      </c>
      <c r="H14" s="623">
        <f ca="1">ROUND(F14*G14,0)</f>
        <v>0</v>
      </c>
      <c r="I14" s="622">
        <f ca="1">IF(ROWS($1:1)&gt;COUNT(Dong11),0,IF(MID(OFFSET(TH!D$1,SMALL(Dong11,ROWS($1:1)),),4,1)="X",OFFSET(TH!I$1,SMALL(Dong11,ROWS($1:1)),),0))</f>
        <v>2700</v>
      </c>
      <c r="J14" s="623">
        <f ca="1">ROUND(F14*I14,0)</f>
        <v>12059070</v>
      </c>
      <c r="K14" s="623">
        <f ca="1">IF(D14&lt;&gt;"",K13+G14-I14,0)</f>
        <v>11238</v>
      </c>
      <c r="L14" s="623">
        <f ca="1">IF(D14&lt;&gt;"",L13+H14-J14,0)</f>
        <v>50192530</v>
      </c>
      <c r="M14" s="623"/>
      <c r="N14" s="613"/>
    </row>
    <row r="15" spans="1:17">
      <c r="A15" s="569" t="str">
        <f t="shared" ref="A15:A31" ca="1" si="0">IF(B15="","",A14+1)</f>
        <v/>
      </c>
      <c r="B15" s="619" t="str">
        <f ca="1">IF(ROWS($1:2)&gt;COUNT(Dong11),"",OFFSET(TH!D$1,SMALL(Dong11,ROWS($1:2)),))</f>
        <v/>
      </c>
      <c r="C15" s="620" t="str">
        <f ca="1">IF(ROWS($1:2)&gt;COUNT(Dong11),"",OFFSET(TH!E$1,SMALL(Dong11,ROWS($1:2)),))</f>
        <v/>
      </c>
      <c r="D15" s="621" t="str">
        <f ca="1">IF(ROWS($1:2)&gt;COUNT(Dong11),"",OFFSET(TH!F$1,SMALL(Dong11,ROWS($1:2)),)&amp;" - "&amp;OFFSET(TH!H$1,SMALL(Dong11,ROWS($1:2)),))</f>
        <v/>
      </c>
      <c r="E15" s="619" t="str">
        <f ca="1">IF(ROWS($1:2)&gt;COUNT(Dong11),"",IF(OFFSET(TH!N$1,SMALL(Dong11,ROWS($1:2)),)=$G$7,OFFSET(TH!O$1,SMALL(Dong11,ROWS($1:2)),),OFFSET(TH!N$1,SMALL(Dong11,ROWS($1:2)),)))</f>
        <v/>
      </c>
      <c r="F15" s="622">
        <f ca="1">IF(ROWS($1:2)&gt;COUNT(Dong11),0,OFFSET(TH!J$1,SMALL(Dong11,ROWS($1:2)),))</f>
        <v>0</v>
      </c>
      <c r="G15" s="622">
        <f ca="1">IF(ROWS($1:2)&gt;COUNT(Dong11),0,IF(MID(OFFSET(TH!D$1,SMALL(Dong11,ROWS($1:2)),),4,1)="N",OFFSET(TH!I$1,SMALL(Dong11,ROWS($1:2)),),0))</f>
        <v>0</v>
      </c>
      <c r="H15" s="623">
        <f t="shared" ref="H15:H30" ca="1" si="1">ROUND(F15*G15,0)</f>
        <v>0</v>
      </c>
      <c r="I15" s="622">
        <f ca="1">IF(ROWS($1:2)&gt;COUNT(Dong11),0,IF(MID(OFFSET(TH!D$1,SMALL(Dong11,ROWS($1:2)),),4,1)="X",OFFSET(TH!I$1,SMALL(Dong11,ROWS($1:2)),),0))</f>
        <v>0</v>
      </c>
      <c r="J15" s="623">
        <f t="shared" ref="J15:J30" ca="1" si="2">ROUND(F15*I15,0)</f>
        <v>0</v>
      </c>
      <c r="K15" s="623">
        <f t="shared" ref="K15:K30" ca="1" si="3">IF(D15&lt;&gt;"",K14+G15-I15,0)</f>
        <v>0</v>
      </c>
      <c r="L15" s="623">
        <f t="shared" ref="L15:L30" ca="1" si="4">IF(D15&lt;&gt;"",L14+H15-J15,0)</f>
        <v>0</v>
      </c>
      <c r="M15" s="623"/>
      <c r="N15" s="613"/>
      <c r="Q15" s="624"/>
    </row>
    <row r="16" spans="1:17">
      <c r="A16" s="569" t="str">
        <f t="shared" ca="1" si="0"/>
        <v/>
      </c>
      <c r="B16" s="619" t="str">
        <f ca="1">IF(ROWS($1:3)&gt;COUNT(Dong11),"",OFFSET(TH!D$1,SMALL(Dong11,ROWS($1:3)),))</f>
        <v/>
      </c>
      <c r="C16" s="620" t="str">
        <f ca="1">IF(ROWS($1:3)&gt;COUNT(Dong11),"",OFFSET(TH!E$1,SMALL(Dong11,ROWS($1:3)),))</f>
        <v/>
      </c>
      <c r="D16" s="621" t="str">
        <f ca="1">IF(ROWS($1:3)&gt;COUNT(Dong11),"",OFFSET(TH!F$1,SMALL(Dong11,ROWS($1:3)),)&amp;" - "&amp;OFFSET(TH!H$1,SMALL(Dong11,ROWS($1:3)),))</f>
        <v/>
      </c>
      <c r="E16" s="619" t="str">
        <f ca="1">IF(ROWS($1:3)&gt;COUNT(Dong11),"",IF(OFFSET(TH!N$1,SMALL(Dong11,ROWS($1:3)),)=$G$7,OFFSET(TH!O$1,SMALL(Dong11,ROWS($1:3)),),OFFSET(TH!N$1,SMALL(Dong11,ROWS($1:3)),)))</f>
        <v/>
      </c>
      <c r="F16" s="622">
        <f ca="1">IF(ROWS($1:3)&gt;COUNT(Dong11),0,OFFSET(TH!J$1,SMALL(Dong11,ROWS($1:3)),))</f>
        <v>0</v>
      </c>
      <c r="G16" s="622">
        <f ca="1">IF(ROWS($1:3)&gt;COUNT(Dong11),0,IF(MID(OFFSET(TH!D$1,SMALL(Dong11,ROWS($1:3)),),4,1)="N",OFFSET(TH!I$1,SMALL(Dong11,ROWS($1:3)),),0))</f>
        <v>0</v>
      </c>
      <c r="H16" s="623">
        <f t="shared" ca="1" si="1"/>
        <v>0</v>
      </c>
      <c r="I16" s="622">
        <f ca="1">IF(ROWS($1:3)&gt;COUNT(Dong11),0,IF(MID(OFFSET(TH!D$1,SMALL(Dong11,ROWS($1:3)),),4,1)="X",OFFSET(TH!I$1,SMALL(Dong11,ROWS($1:3)),),0))</f>
        <v>0</v>
      </c>
      <c r="J16" s="623">
        <f t="shared" ca="1" si="2"/>
        <v>0</v>
      </c>
      <c r="K16" s="623">
        <f t="shared" ca="1" si="3"/>
        <v>0</v>
      </c>
      <c r="L16" s="623">
        <f t="shared" ca="1" si="4"/>
        <v>0</v>
      </c>
      <c r="M16" s="623"/>
      <c r="N16" s="613"/>
    </row>
    <row r="17" spans="1:16">
      <c r="A17" s="569" t="str">
        <f t="shared" ca="1" si="0"/>
        <v/>
      </c>
      <c r="B17" s="619" t="str">
        <f ca="1">IF(ROWS($1:4)&gt;COUNT(Dong11),"",OFFSET(TH!D$1,SMALL(Dong11,ROWS($1:4)),))</f>
        <v/>
      </c>
      <c r="C17" s="620" t="str">
        <f ca="1">IF(ROWS($1:4)&gt;COUNT(Dong11),"",OFFSET(TH!E$1,SMALL(Dong11,ROWS($1:4)),))</f>
        <v/>
      </c>
      <c r="D17" s="621" t="str">
        <f ca="1">IF(ROWS($1:4)&gt;COUNT(Dong11),"",OFFSET(TH!F$1,SMALL(Dong11,ROWS($1:4)),)&amp;" - "&amp;OFFSET(TH!H$1,SMALL(Dong11,ROWS($1:4)),))</f>
        <v/>
      </c>
      <c r="E17" s="619" t="str">
        <f ca="1">IF(ROWS($1:4)&gt;COUNT(Dong11),"",IF(OFFSET(TH!N$1,SMALL(Dong11,ROWS($1:4)),)=$G$7,OFFSET(TH!O$1,SMALL(Dong11,ROWS($1:4)),),OFFSET(TH!N$1,SMALL(Dong11,ROWS($1:4)),)))</f>
        <v/>
      </c>
      <c r="F17" s="622">
        <f ca="1">IF(ROWS($1:4)&gt;COUNT(Dong11),0,OFFSET(TH!J$1,SMALL(Dong11,ROWS($1:4)),))</f>
        <v>0</v>
      </c>
      <c r="G17" s="622">
        <f ca="1">IF(ROWS($1:4)&gt;COUNT(Dong11),0,IF(MID(OFFSET(TH!D$1,SMALL(Dong11,ROWS($1:4)),),4,1)="N",OFFSET(TH!I$1,SMALL(Dong11,ROWS($1:4)),),0))</f>
        <v>0</v>
      </c>
      <c r="H17" s="623">
        <f t="shared" ca="1" si="1"/>
        <v>0</v>
      </c>
      <c r="I17" s="622">
        <f ca="1">IF(ROWS($1:4)&gt;COUNT(Dong11),0,IF(MID(OFFSET(TH!D$1,SMALL(Dong11,ROWS($1:4)),),4,1)="X",OFFSET(TH!I$1,SMALL(Dong11,ROWS($1:4)),),0))</f>
        <v>0</v>
      </c>
      <c r="J17" s="623">
        <f t="shared" ca="1" si="2"/>
        <v>0</v>
      </c>
      <c r="K17" s="623">
        <f t="shared" ca="1" si="3"/>
        <v>0</v>
      </c>
      <c r="L17" s="623">
        <f t="shared" ca="1" si="4"/>
        <v>0</v>
      </c>
      <c r="M17" s="623"/>
      <c r="N17" s="613"/>
      <c r="P17" s="625"/>
    </row>
    <row r="18" spans="1:16">
      <c r="A18" s="569" t="str">
        <f t="shared" ca="1" si="0"/>
        <v/>
      </c>
      <c r="B18" s="619" t="str">
        <f ca="1">IF(ROWS($1:5)&gt;COUNT(Dong11),"",OFFSET(TH!D$1,SMALL(Dong11,ROWS($1:5)),))</f>
        <v/>
      </c>
      <c r="C18" s="620" t="str">
        <f ca="1">IF(ROWS($1:5)&gt;COUNT(Dong11),"",OFFSET(TH!E$1,SMALL(Dong11,ROWS($1:5)),))</f>
        <v/>
      </c>
      <c r="D18" s="621" t="str">
        <f ca="1">IF(ROWS($1:5)&gt;COUNT(Dong11),"",OFFSET(TH!F$1,SMALL(Dong11,ROWS($1:5)),)&amp;" - "&amp;OFFSET(TH!H$1,SMALL(Dong11,ROWS($1:5)),))</f>
        <v/>
      </c>
      <c r="E18" s="619" t="str">
        <f ca="1">IF(ROWS($1:5)&gt;COUNT(Dong11),"",IF(OFFSET(TH!N$1,SMALL(Dong11,ROWS($1:5)),)=$G$7,OFFSET(TH!O$1,SMALL(Dong11,ROWS($1:5)),),OFFSET(TH!N$1,SMALL(Dong11,ROWS($1:5)),)))</f>
        <v/>
      </c>
      <c r="F18" s="622">
        <f ca="1">IF(ROWS($1:5)&gt;COUNT(Dong11),0,OFFSET(TH!J$1,SMALL(Dong11,ROWS($1:5)),))</f>
        <v>0</v>
      </c>
      <c r="G18" s="622">
        <f ca="1">IF(ROWS($1:5)&gt;COUNT(Dong11),0,IF(MID(OFFSET(TH!D$1,SMALL(Dong11,ROWS($1:5)),),4,1)="N",OFFSET(TH!I$1,SMALL(Dong11,ROWS($1:5)),),0))</f>
        <v>0</v>
      </c>
      <c r="H18" s="623">
        <f t="shared" ca="1" si="1"/>
        <v>0</v>
      </c>
      <c r="I18" s="622">
        <f ca="1">IF(ROWS($1:5)&gt;COUNT(Dong11),0,IF(MID(OFFSET(TH!D$1,SMALL(Dong11,ROWS($1:5)),),4,1)="X",OFFSET(TH!I$1,SMALL(Dong11,ROWS($1:5)),),0))</f>
        <v>0</v>
      </c>
      <c r="J18" s="623">
        <f t="shared" ca="1" si="2"/>
        <v>0</v>
      </c>
      <c r="K18" s="623">
        <f t="shared" ca="1" si="3"/>
        <v>0</v>
      </c>
      <c r="L18" s="623">
        <f t="shared" ca="1" si="4"/>
        <v>0</v>
      </c>
      <c r="M18" s="623"/>
      <c r="N18" s="613"/>
    </row>
    <row r="19" spans="1:16">
      <c r="A19" s="569" t="str">
        <f t="shared" ca="1" si="0"/>
        <v/>
      </c>
      <c r="B19" s="619" t="str">
        <f ca="1">IF(ROWS($1:6)&gt;COUNT(Dong11),"",OFFSET(TH!D$1,SMALL(Dong11,ROWS($1:6)),))</f>
        <v/>
      </c>
      <c r="C19" s="620" t="str">
        <f ca="1">IF(ROWS($1:6)&gt;COUNT(Dong11),"",OFFSET(TH!E$1,SMALL(Dong11,ROWS($1:6)),))</f>
        <v/>
      </c>
      <c r="D19" s="621" t="str">
        <f ca="1">IF(ROWS($1:6)&gt;COUNT(Dong11),"",OFFSET(TH!F$1,SMALL(Dong11,ROWS($1:6)),)&amp;" - "&amp;OFFSET(TH!H$1,SMALL(Dong11,ROWS($1:6)),))</f>
        <v/>
      </c>
      <c r="E19" s="619" t="str">
        <f ca="1">IF(ROWS($1:6)&gt;COUNT(Dong11),"",IF(OFFSET(TH!N$1,SMALL(Dong11,ROWS($1:6)),)=$G$7,OFFSET(TH!O$1,SMALL(Dong11,ROWS($1:6)),),OFFSET(TH!N$1,SMALL(Dong11,ROWS($1:6)),)))</f>
        <v/>
      </c>
      <c r="F19" s="622">
        <f ca="1">IF(ROWS($1:6)&gt;COUNT(Dong11),0,OFFSET(TH!J$1,SMALL(Dong11,ROWS($1:6)),))</f>
        <v>0</v>
      </c>
      <c r="G19" s="622">
        <f ca="1">IF(ROWS($1:6)&gt;COUNT(Dong11),0,IF(MID(OFFSET(TH!D$1,SMALL(Dong11,ROWS($1:6)),),4,1)="N",OFFSET(TH!I$1,SMALL(Dong11,ROWS($1:6)),),0))</f>
        <v>0</v>
      </c>
      <c r="H19" s="623">
        <f t="shared" ca="1" si="1"/>
        <v>0</v>
      </c>
      <c r="I19" s="622">
        <f ca="1">IF(ROWS($1:6)&gt;COUNT(Dong11),0,IF(MID(OFFSET(TH!D$1,SMALL(Dong11,ROWS($1:6)),),4,1)="X",OFFSET(TH!I$1,SMALL(Dong11,ROWS($1:6)),),0))</f>
        <v>0</v>
      </c>
      <c r="J19" s="623">
        <f t="shared" ca="1" si="2"/>
        <v>0</v>
      </c>
      <c r="K19" s="623">
        <f t="shared" ca="1" si="3"/>
        <v>0</v>
      </c>
      <c r="L19" s="623">
        <f t="shared" ca="1" si="4"/>
        <v>0</v>
      </c>
      <c r="M19" s="623"/>
      <c r="N19" s="613"/>
    </row>
    <row r="20" spans="1:16">
      <c r="A20" s="569" t="str">
        <f t="shared" ca="1" si="0"/>
        <v/>
      </c>
      <c r="B20" s="619" t="str">
        <f ca="1">IF(ROWS($1:7)&gt;COUNT(Dong11),"",OFFSET(TH!D$1,SMALL(Dong11,ROWS($1:7)),))</f>
        <v/>
      </c>
      <c r="C20" s="620" t="str">
        <f ca="1">IF(ROWS($1:7)&gt;COUNT(Dong11),"",OFFSET(TH!E$1,SMALL(Dong11,ROWS($1:7)),))</f>
        <v/>
      </c>
      <c r="D20" s="621" t="str">
        <f ca="1">IF(ROWS($1:7)&gt;COUNT(Dong11),"",OFFSET(TH!F$1,SMALL(Dong11,ROWS($1:7)),)&amp;" - "&amp;OFFSET(TH!H$1,SMALL(Dong11,ROWS($1:7)),))</f>
        <v/>
      </c>
      <c r="E20" s="619" t="str">
        <f ca="1">IF(ROWS($1:7)&gt;COUNT(Dong11),"",IF(OFFSET(TH!N$1,SMALL(Dong11,ROWS($1:7)),)=$G$7,OFFSET(TH!O$1,SMALL(Dong11,ROWS($1:7)),),OFFSET(TH!N$1,SMALL(Dong11,ROWS($1:7)),)))</f>
        <v/>
      </c>
      <c r="F20" s="622">
        <f ca="1">IF(ROWS($1:7)&gt;COUNT(Dong11),0,OFFSET(TH!J$1,SMALL(Dong11,ROWS($1:7)),))</f>
        <v>0</v>
      </c>
      <c r="G20" s="622">
        <f ca="1">IF(ROWS($1:7)&gt;COUNT(Dong11),0,IF(MID(OFFSET(TH!D$1,SMALL(Dong11,ROWS($1:7)),),4,1)="N",OFFSET(TH!I$1,SMALL(Dong11,ROWS($1:7)),),0))</f>
        <v>0</v>
      </c>
      <c r="H20" s="623">
        <f t="shared" ca="1" si="1"/>
        <v>0</v>
      </c>
      <c r="I20" s="622">
        <f ca="1">IF(ROWS($1:7)&gt;COUNT(Dong11),0,IF(MID(OFFSET(TH!D$1,SMALL(Dong11,ROWS($1:7)),),4,1)="X",OFFSET(TH!I$1,SMALL(Dong11,ROWS($1:7)),),0))</f>
        <v>0</v>
      </c>
      <c r="J20" s="623">
        <f t="shared" ca="1" si="2"/>
        <v>0</v>
      </c>
      <c r="K20" s="623">
        <f t="shared" ca="1" si="3"/>
        <v>0</v>
      </c>
      <c r="L20" s="623">
        <f t="shared" ca="1" si="4"/>
        <v>0</v>
      </c>
      <c r="M20" s="623"/>
      <c r="N20" s="613"/>
    </row>
    <row r="21" spans="1:16">
      <c r="A21" s="569" t="str">
        <f t="shared" ca="1" si="0"/>
        <v/>
      </c>
      <c r="B21" s="619" t="str">
        <f ca="1">IF(ROWS($1:8)&gt;COUNT(Dong11),"",OFFSET(TH!D$1,SMALL(Dong11,ROWS($1:8)),))</f>
        <v/>
      </c>
      <c r="C21" s="620" t="str">
        <f ca="1">IF(ROWS($1:8)&gt;COUNT(Dong11),"",OFFSET(TH!E$1,SMALL(Dong11,ROWS($1:8)),))</f>
        <v/>
      </c>
      <c r="D21" s="621" t="str">
        <f ca="1">IF(ROWS($1:8)&gt;COUNT(Dong11),"",OFFSET(TH!F$1,SMALL(Dong11,ROWS($1:8)),)&amp;" - "&amp;OFFSET(TH!H$1,SMALL(Dong11,ROWS($1:8)),))</f>
        <v/>
      </c>
      <c r="E21" s="619" t="str">
        <f ca="1">IF(ROWS($1:8)&gt;COUNT(Dong11),"",IF(OFFSET(TH!N$1,SMALL(Dong11,ROWS($1:8)),)=$G$7,OFFSET(TH!O$1,SMALL(Dong11,ROWS($1:8)),),OFFSET(TH!N$1,SMALL(Dong11,ROWS($1:8)),)))</f>
        <v/>
      </c>
      <c r="F21" s="622">
        <f ca="1">IF(ROWS($1:8)&gt;COUNT(Dong11),0,OFFSET(TH!J$1,SMALL(Dong11,ROWS($1:8)),))</f>
        <v>0</v>
      </c>
      <c r="G21" s="622">
        <f ca="1">IF(ROWS($1:8)&gt;COUNT(Dong11),0,IF(MID(OFFSET(TH!D$1,SMALL(Dong11,ROWS($1:8)),),4,1)="N",OFFSET(TH!I$1,SMALL(Dong11,ROWS($1:8)),),0))</f>
        <v>0</v>
      </c>
      <c r="H21" s="623">
        <f t="shared" ca="1" si="1"/>
        <v>0</v>
      </c>
      <c r="I21" s="622">
        <f ca="1">IF(ROWS($1:8)&gt;COUNT(Dong11),0,IF(MID(OFFSET(TH!D$1,SMALL(Dong11,ROWS($1:8)),),4,1)="X",OFFSET(TH!I$1,SMALL(Dong11,ROWS($1:8)),),0))</f>
        <v>0</v>
      </c>
      <c r="J21" s="623">
        <f t="shared" ca="1" si="2"/>
        <v>0</v>
      </c>
      <c r="K21" s="623">
        <f t="shared" ca="1" si="3"/>
        <v>0</v>
      </c>
      <c r="L21" s="623">
        <f t="shared" ca="1" si="4"/>
        <v>0</v>
      </c>
      <c r="M21" s="623"/>
      <c r="N21" s="613"/>
    </row>
    <row r="22" spans="1:16">
      <c r="A22" s="569" t="str">
        <f t="shared" ca="1" si="0"/>
        <v/>
      </c>
      <c r="B22" s="619" t="str">
        <f ca="1">IF(ROWS($1:9)&gt;COUNT(Dong11),"",OFFSET(TH!D$1,SMALL(Dong11,ROWS($1:9)),))</f>
        <v/>
      </c>
      <c r="C22" s="620" t="str">
        <f ca="1">IF(ROWS($1:9)&gt;COUNT(Dong11),"",OFFSET(TH!E$1,SMALL(Dong11,ROWS($1:9)),))</f>
        <v/>
      </c>
      <c r="D22" s="621" t="str">
        <f ca="1">IF(ROWS($1:9)&gt;COUNT(Dong11),"",OFFSET(TH!F$1,SMALL(Dong11,ROWS($1:9)),)&amp;" - "&amp;OFFSET(TH!H$1,SMALL(Dong11,ROWS($1:9)),))</f>
        <v/>
      </c>
      <c r="E22" s="619" t="str">
        <f ca="1">IF(ROWS($1:9)&gt;COUNT(Dong11),"",IF(OFFSET(TH!N$1,SMALL(Dong11,ROWS($1:9)),)=$G$7,OFFSET(TH!O$1,SMALL(Dong11,ROWS($1:9)),),OFFSET(TH!N$1,SMALL(Dong11,ROWS($1:9)),)))</f>
        <v/>
      </c>
      <c r="F22" s="622">
        <f ca="1">IF(ROWS($1:9)&gt;COUNT(Dong11),0,OFFSET(TH!J$1,SMALL(Dong11,ROWS($1:9)),))</f>
        <v>0</v>
      </c>
      <c r="G22" s="622">
        <f ca="1">IF(ROWS($1:9)&gt;COUNT(Dong11),0,IF(MID(OFFSET(TH!D$1,SMALL(Dong11,ROWS($1:9)),),4,1)="N",OFFSET(TH!I$1,SMALL(Dong11,ROWS($1:9)),),0))</f>
        <v>0</v>
      </c>
      <c r="H22" s="623">
        <f t="shared" ca="1" si="1"/>
        <v>0</v>
      </c>
      <c r="I22" s="622">
        <f ca="1">IF(ROWS($1:9)&gt;COUNT(Dong11),0,IF(MID(OFFSET(TH!D$1,SMALL(Dong11,ROWS($1:9)),),4,1)="X",OFFSET(TH!I$1,SMALL(Dong11,ROWS($1:9)),),0))</f>
        <v>0</v>
      </c>
      <c r="J22" s="623">
        <f t="shared" ca="1" si="2"/>
        <v>0</v>
      </c>
      <c r="K22" s="623">
        <f t="shared" ca="1" si="3"/>
        <v>0</v>
      </c>
      <c r="L22" s="623">
        <f t="shared" ca="1" si="4"/>
        <v>0</v>
      </c>
      <c r="M22" s="623"/>
      <c r="N22" s="613"/>
    </row>
    <row r="23" spans="1:16">
      <c r="A23" s="569" t="str">
        <f t="shared" ca="1" si="0"/>
        <v/>
      </c>
      <c r="B23" s="619" t="str">
        <f ca="1">IF(ROWS($1:10)&gt;COUNT(Dong11),"",OFFSET(TH!D$1,SMALL(Dong11,ROWS($1:10)),))</f>
        <v/>
      </c>
      <c r="C23" s="620" t="str">
        <f ca="1">IF(ROWS($1:10)&gt;COUNT(Dong11),"",OFFSET(TH!E$1,SMALL(Dong11,ROWS($1:10)),))</f>
        <v/>
      </c>
      <c r="D23" s="621" t="str">
        <f ca="1">IF(ROWS($1:10)&gt;COUNT(Dong11),"",OFFSET(TH!F$1,SMALL(Dong11,ROWS($1:10)),)&amp;" - "&amp;OFFSET(TH!H$1,SMALL(Dong11,ROWS($1:10)),))</f>
        <v/>
      </c>
      <c r="E23" s="619" t="str">
        <f ca="1">IF(ROWS($1:10)&gt;COUNT(Dong11),"",IF(OFFSET(TH!N$1,SMALL(Dong11,ROWS($1:10)),)=$G$7,OFFSET(TH!O$1,SMALL(Dong11,ROWS($1:10)),),OFFSET(TH!N$1,SMALL(Dong11,ROWS($1:10)),)))</f>
        <v/>
      </c>
      <c r="F23" s="622">
        <f ca="1">IF(ROWS($1:10)&gt;COUNT(Dong11),0,OFFSET(TH!J$1,SMALL(Dong11,ROWS($1:10)),))</f>
        <v>0</v>
      </c>
      <c r="G23" s="622">
        <f ca="1">IF(ROWS($1:10)&gt;COUNT(Dong11),0,IF(MID(OFFSET(TH!D$1,SMALL(Dong11,ROWS($1:10)),),4,1)="N",OFFSET(TH!I$1,SMALL(Dong11,ROWS($1:10)),),0))</f>
        <v>0</v>
      </c>
      <c r="H23" s="623">
        <f t="shared" ca="1" si="1"/>
        <v>0</v>
      </c>
      <c r="I23" s="622">
        <f ca="1">IF(ROWS($1:10)&gt;COUNT(Dong11),0,IF(MID(OFFSET(TH!D$1,SMALL(Dong11,ROWS($1:10)),),4,1)="X",OFFSET(TH!I$1,SMALL(Dong11,ROWS($1:10)),),0))</f>
        <v>0</v>
      </c>
      <c r="J23" s="623">
        <f t="shared" ca="1" si="2"/>
        <v>0</v>
      </c>
      <c r="K23" s="623">
        <f t="shared" ca="1" si="3"/>
        <v>0</v>
      </c>
      <c r="L23" s="623">
        <f t="shared" ca="1" si="4"/>
        <v>0</v>
      </c>
      <c r="M23" s="623"/>
      <c r="N23" s="613"/>
    </row>
    <row r="24" spans="1:16">
      <c r="A24" s="569" t="str">
        <f t="shared" ca="1" si="0"/>
        <v/>
      </c>
      <c r="B24" s="619" t="str">
        <f ca="1">IF(ROWS($1:11)&gt;COUNT(Dong11),"",OFFSET(TH!D$1,SMALL(Dong11,ROWS($1:11)),))</f>
        <v/>
      </c>
      <c r="C24" s="620" t="str">
        <f ca="1">IF(ROWS($1:11)&gt;COUNT(Dong11),"",OFFSET(TH!E$1,SMALL(Dong11,ROWS($1:11)),))</f>
        <v/>
      </c>
      <c r="D24" s="621" t="str">
        <f ca="1">IF(ROWS($1:11)&gt;COUNT(Dong11),"",OFFSET(TH!F$1,SMALL(Dong11,ROWS($1:11)),)&amp;" - "&amp;OFFSET(TH!H$1,SMALL(Dong11,ROWS($1:11)),))</f>
        <v/>
      </c>
      <c r="E24" s="619" t="str">
        <f ca="1">IF(ROWS($1:11)&gt;COUNT(Dong11),"",IF(OFFSET(TH!N$1,SMALL(Dong11,ROWS($1:11)),)=$G$7,OFFSET(TH!O$1,SMALL(Dong11,ROWS($1:11)),),OFFSET(TH!N$1,SMALL(Dong11,ROWS($1:11)),)))</f>
        <v/>
      </c>
      <c r="F24" s="622">
        <f ca="1">IF(ROWS($1:11)&gt;COUNT(Dong11),0,OFFSET(TH!J$1,SMALL(Dong11,ROWS($1:11)),))</f>
        <v>0</v>
      </c>
      <c r="G24" s="622">
        <f ca="1">IF(ROWS($1:11)&gt;COUNT(Dong11),0,IF(MID(OFFSET(TH!D$1,SMALL(Dong11,ROWS($1:11)),),4,1)="N",OFFSET(TH!I$1,SMALL(Dong11,ROWS($1:11)),),0))</f>
        <v>0</v>
      </c>
      <c r="H24" s="623">
        <f t="shared" ca="1" si="1"/>
        <v>0</v>
      </c>
      <c r="I24" s="622">
        <f ca="1">IF(ROWS($1:11)&gt;COUNT(Dong11),0,IF(MID(OFFSET(TH!D$1,SMALL(Dong11,ROWS($1:11)),),4,1)="X",OFFSET(TH!I$1,SMALL(Dong11,ROWS($1:11)),),0))</f>
        <v>0</v>
      </c>
      <c r="J24" s="623">
        <f t="shared" ca="1" si="2"/>
        <v>0</v>
      </c>
      <c r="K24" s="623">
        <f t="shared" ca="1" si="3"/>
        <v>0</v>
      </c>
      <c r="L24" s="623">
        <f t="shared" ca="1" si="4"/>
        <v>0</v>
      </c>
      <c r="M24" s="623"/>
      <c r="N24" s="613"/>
    </row>
    <row r="25" spans="1:16">
      <c r="A25" s="569" t="str">
        <f t="shared" ca="1" si="0"/>
        <v/>
      </c>
      <c r="B25" s="619" t="str">
        <f ca="1">IF(ROWS($1:12)&gt;COUNT(Dong11),"",OFFSET(TH!D$1,SMALL(Dong11,ROWS($1:12)),))</f>
        <v/>
      </c>
      <c r="C25" s="620" t="str">
        <f ca="1">IF(ROWS($1:12)&gt;COUNT(Dong11),"",OFFSET(TH!E$1,SMALL(Dong11,ROWS($1:12)),))</f>
        <v/>
      </c>
      <c r="D25" s="621" t="str">
        <f ca="1">IF(ROWS($1:12)&gt;COUNT(Dong11),"",OFFSET(TH!F$1,SMALL(Dong11,ROWS($1:12)),)&amp;" - "&amp;OFFSET(TH!H$1,SMALL(Dong11,ROWS($1:12)),))</f>
        <v/>
      </c>
      <c r="E25" s="619" t="str">
        <f ca="1">IF(ROWS($1:12)&gt;COUNT(Dong11),"",IF(OFFSET(TH!N$1,SMALL(Dong11,ROWS($1:12)),)=$G$7,OFFSET(TH!O$1,SMALL(Dong11,ROWS($1:12)),),OFFSET(TH!N$1,SMALL(Dong11,ROWS($1:12)),)))</f>
        <v/>
      </c>
      <c r="F25" s="622">
        <f ca="1">IF(ROWS($1:12)&gt;COUNT(Dong11),0,OFFSET(TH!J$1,SMALL(Dong11,ROWS($1:12)),))</f>
        <v>0</v>
      </c>
      <c r="G25" s="622">
        <f ca="1">IF(ROWS($1:12)&gt;COUNT(Dong11),0,IF(MID(OFFSET(TH!D$1,SMALL(Dong11,ROWS($1:12)),),4,1)="N",OFFSET(TH!I$1,SMALL(Dong11,ROWS($1:12)),),0))</f>
        <v>0</v>
      </c>
      <c r="H25" s="623">
        <f t="shared" ca="1" si="1"/>
        <v>0</v>
      </c>
      <c r="I25" s="622">
        <f ca="1">IF(ROWS($1:12)&gt;COUNT(Dong11),0,IF(MID(OFFSET(TH!D$1,SMALL(Dong11,ROWS($1:12)),),4,1)="X",OFFSET(TH!I$1,SMALL(Dong11,ROWS($1:12)),),0))</f>
        <v>0</v>
      </c>
      <c r="J25" s="623">
        <f t="shared" ca="1" si="2"/>
        <v>0</v>
      </c>
      <c r="K25" s="623">
        <f t="shared" ca="1" si="3"/>
        <v>0</v>
      </c>
      <c r="L25" s="623">
        <f t="shared" ca="1" si="4"/>
        <v>0</v>
      </c>
      <c r="M25" s="623"/>
      <c r="N25" s="613"/>
    </row>
    <row r="26" spans="1:16">
      <c r="A26" s="569" t="str">
        <f t="shared" ca="1" si="0"/>
        <v/>
      </c>
      <c r="B26" s="619" t="str">
        <f ca="1">IF(ROWS($1:13)&gt;COUNT(Dong11),"",OFFSET(TH!D$1,SMALL(Dong11,ROWS($1:13)),))</f>
        <v/>
      </c>
      <c r="C26" s="620" t="str">
        <f ca="1">IF(ROWS($1:13)&gt;COUNT(Dong11),"",OFFSET(TH!E$1,SMALL(Dong11,ROWS($1:13)),))</f>
        <v/>
      </c>
      <c r="D26" s="621" t="str">
        <f ca="1">IF(ROWS($1:13)&gt;COUNT(Dong11),"",OFFSET(TH!F$1,SMALL(Dong11,ROWS($1:13)),)&amp;" - "&amp;OFFSET(TH!H$1,SMALL(Dong11,ROWS($1:13)),))</f>
        <v/>
      </c>
      <c r="E26" s="619" t="str">
        <f ca="1">IF(ROWS($1:13)&gt;COUNT(Dong11),"",IF(OFFSET(TH!N$1,SMALL(Dong11,ROWS($1:13)),)=$G$7,OFFSET(TH!O$1,SMALL(Dong11,ROWS($1:13)),),OFFSET(TH!N$1,SMALL(Dong11,ROWS($1:13)),)))</f>
        <v/>
      </c>
      <c r="F26" s="622">
        <f ca="1">IF(ROWS($1:13)&gt;COUNT(Dong11),0,OFFSET(TH!J$1,SMALL(Dong11,ROWS($1:13)),))</f>
        <v>0</v>
      </c>
      <c r="G26" s="622">
        <f ca="1">IF(ROWS($1:13)&gt;COUNT(Dong11),0,IF(MID(OFFSET(TH!D$1,SMALL(Dong11,ROWS($1:13)),),4,1)="N",OFFSET(TH!I$1,SMALL(Dong11,ROWS($1:13)),),0))</f>
        <v>0</v>
      </c>
      <c r="H26" s="623">
        <f t="shared" ca="1" si="1"/>
        <v>0</v>
      </c>
      <c r="I26" s="622">
        <f ca="1">IF(ROWS($1:13)&gt;COUNT(Dong11),0,IF(MID(OFFSET(TH!D$1,SMALL(Dong11,ROWS($1:13)),),4,1)="X",OFFSET(TH!I$1,SMALL(Dong11,ROWS($1:13)),),0))</f>
        <v>0</v>
      </c>
      <c r="J26" s="623">
        <f t="shared" ca="1" si="2"/>
        <v>0</v>
      </c>
      <c r="K26" s="623">
        <f t="shared" ca="1" si="3"/>
        <v>0</v>
      </c>
      <c r="L26" s="623">
        <f t="shared" ca="1" si="4"/>
        <v>0</v>
      </c>
      <c r="M26" s="623"/>
      <c r="N26" s="613"/>
    </row>
    <row r="27" spans="1:16">
      <c r="A27" s="569" t="str">
        <f t="shared" ca="1" si="0"/>
        <v/>
      </c>
      <c r="B27" s="619" t="str">
        <f ca="1">IF(ROWS($1:14)&gt;COUNT(Dong11),"",OFFSET(TH!D$1,SMALL(Dong11,ROWS($1:14)),))</f>
        <v/>
      </c>
      <c r="C27" s="620" t="str">
        <f ca="1">IF(ROWS($1:14)&gt;COUNT(Dong11),"",OFFSET(TH!E$1,SMALL(Dong11,ROWS($1:14)),))</f>
        <v/>
      </c>
      <c r="D27" s="621" t="str">
        <f ca="1">IF(ROWS($1:14)&gt;COUNT(Dong11),"",OFFSET(TH!F$1,SMALL(Dong11,ROWS($1:14)),)&amp;" - "&amp;OFFSET(TH!H$1,SMALL(Dong11,ROWS($1:14)),))</f>
        <v/>
      </c>
      <c r="E27" s="619" t="str">
        <f ca="1">IF(ROWS($1:14)&gt;COUNT(Dong11),"",IF(OFFSET(TH!N$1,SMALL(Dong11,ROWS($1:14)),)=$G$7,OFFSET(TH!O$1,SMALL(Dong11,ROWS($1:14)),),OFFSET(TH!N$1,SMALL(Dong11,ROWS($1:14)),)))</f>
        <v/>
      </c>
      <c r="F27" s="622">
        <f ca="1">IF(ROWS($1:14)&gt;COUNT(Dong11),0,OFFSET(TH!J$1,SMALL(Dong11,ROWS($1:14)),))</f>
        <v>0</v>
      </c>
      <c r="G27" s="622">
        <f ca="1">IF(ROWS($1:14)&gt;COUNT(Dong11),0,IF(MID(OFFSET(TH!D$1,SMALL(Dong11,ROWS($1:14)),),4,1)="N",OFFSET(TH!I$1,SMALL(Dong11,ROWS($1:14)),),0))</f>
        <v>0</v>
      </c>
      <c r="H27" s="623">
        <f t="shared" ca="1" si="1"/>
        <v>0</v>
      </c>
      <c r="I27" s="622">
        <f ca="1">IF(ROWS($1:14)&gt;COUNT(Dong11),0,IF(MID(OFFSET(TH!D$1,SMALL(Dong11,ROWS($1:14)),),4,1)="X",OFFSET(TH!I$1,SMALL(Dong11,ROWS($1:14)),),0))</f>
        <v>0</v>
      </c>
      <c r="J27" s="623">
        <f t="shared" ca="1" si="2"/>
        <v>0</v>
      </c>
      <c r="K27" s="623">
        <f t="shared" ca="1" si="3"/>
        <v>0</v>
      </c>
      <c r="L27" s="623">
        <f t="shared" ca="1" si="4"/>
        <v>0</v>
      </c>
      <c r="M27" s="623"/>
      <c r="N27" s="613"/>
    </row>
    <row r="28" spans="1:16">
      <c r="A28" s="569" t="str">
        <f t="shared" ca="1" si="0"/>
        <v/>
      </c>
      <c r="B28" s="619" t="str">
        <f ca="1">IF(ROWS($1:15)&gt;COUNT(Dong11),"",OFFSET(TH!D$1,SMALL(Dong11,ROWS($1:15)),))</f>
        <v/>
      </c>
      <c r="C28" s="620" t="str">
        <f ca="1">IF(ROWS($1:15)&gt;COUNT(Dong11),"",OFFSET(TH!E$1,SMALL(Dong11,ROWS($1:15)),))</f>
        <v/>
      </c>
      <c r="D28" s="621" t="str">
        <f ca="1">IF(ROWS($1:15)&gt;COUNT(Dong11),"",OFFSET(TH!F$1,SMALL(Dong11,ROWS($1:15)),)&amp;" - "&amp;OFFSET(TH!H$1,SMALL(Dong11,ROWS($1:15)),))</f>
        <v/>
      </c>
      <c r="E28" s="619" t="str">
        <f ca="1">IF(ROWS($1:15)&gt;COUNT(Dong11),"",IF(OFFSET(TH!N$1,SMALL(Dong11,ROWS($1:15)),)=$G$7,OFFSET(TH!O$1,SMALL(Dong11,ROWS($1:15)),),OFFSET(TH!N$1,SMALL(Dong11,ROWS($1:15)),)))</f>
        <v/>
      </c>
      <c r="F28" s="622">
        <f ca="1">IF(ROWS($1:15)&gt;COUNT(Dong11),0,OFFSET(TH!J$1,SMALL(Dong11,ROWS($1:15)),))</f>
        <v>0</v>
      </c>
      <c r="G28" s="622">
        <f ca="1">IF(ROWS($1:15)&gt;COUNT(Dong11),0,IF(MID(OFFSET(TH!D$1,SMALL(Dong11,ROWS($1:15)),),4,1)="N",OFFSET(TH!I$1,SMALL(Dong11,ROWS($1:15)),),0))</f>
        <v>0</v>
      </c>
      <c r="H28" s="623">
        <f t="shared" ca="1" si="1"/>
        <v>0</v>
      </c>
      <c r="I28" s="622">
        <f ca="1">IF(ROWS($1:15)&gt;COUNT(Dong11),0,IF(MID(OFFSET(TH!D$1,SMALL(Dong11,ROWS($1:15)),),4,1)="X",OFFSET(TH!I$1,SMALL(Dong11,ROWS($1:15)),),0))</f>
        <v>0</v>
      </c>
      <c r="J28" s="623">
        <f t="shared" ca="1" si="2"/>
        <v>0</v>
      </c>
      <c r="K28" s="623">
        <f t="shared" ca="1" si="3"/>
        <v>0</v>
      </c>
      <c r="L28" s="623">
        <f t="shared" ca="1" si="4"/>
        <v>0</v>
      </c>
      <c r="M28" s="623"/>
      <c r="N28" s="613"/>
    </row>
    <row r="29" spans="1:16">
      <c r="A29" s="569" t="str">
        <f t="shared" ca="1" si="0"/>
        <v/>
      </c>
      <c r="B29" s="619" t="str">
        <f ca="1">IF(ROWS($1:16)&gt;COUNT(Dong11),"",OFFSET(TH!D$1,SMALL(Dong11,ROWS($1:16)),))</f>
        <v/>
      </c>
      <c r="C29" s="620" t="str">
        <f ca="1">IF(ROWS($1:16)&gt;COUNT(Dong11),"",OFFSET(TH!E$1,SMALL(Dong11,ROWS($1:16)),))</f>
        <v/>
      </c>
      <c r="D29" s="621" t="str">
        <f ca="1">IF(ROWS($1:16)&gt;COUNT(Dong11),"",OFFSET(TH!F$1,SMALL(Dong11,ROWS($1:16)),)&amp;" - "&amp;OFFSET(TH!H$1,SMALL(Dong11,ROWS($1:16)),))</f>
        <v/>
      </c>
      <c r="E29" s="619" t="str">
        <f ca="1">IF(ROWS($1:16)&gt;COUNT(Dong11),"",IF(OFFSET(TH!N$1,SMALL(Dong11,ROWS($1:16)),)=$G$7,OFFSET(TH!O$1,SMALL(Dong11,ROWS($1:16)),),OFFSET(TH!N$1,SMALL(Dong11,ROWS($1:16)),)))</f>
        <v/>
      </c>
      <c r="F29" s="622">
        <f ca="1">IF(ROWS($1:16)&gt;COUNT(Dong11),0,OFFSET(TH!J$1,SMALL(Dong11,ROWS($1:16)),))</f>
        <v>0</v>
      </c>
      <c r="G29" s="622">
        <f ca="1">IF(ROWS($1:16)&gt;COUNT(Dong11),0,IF(MID(OFFSET(TH!D$1,SMALL(Dong11,ROWS($1:16)),),4,1)="N",OFFSET(TH!I$1,SMALL(Dong11,ROWS($1:16)),),0))</f>
        <v>0</v>
      </c>
      <c r="H29" s="623">
        <f t="shared" ca="1" si="1"/>
        <v>0</v>
      </c>
      <c r="I29" s="622">
        <f ca="1">IF(ROWS($1:16)&gt;COUNT(Dong11),0,IF(MID(OFFSET(TH!D$1,SMALL(Dong11,ROWS($1:16)),),4,1)="X",OFFSET(TH!I$1,SMALL(Dong11,ROWS($1:16)),),0))</f>
        <v>0</v>
      </c>
      <c r="J29" s="623">
        <f t="shared" ca="1" si="2"/>
        <v>0</v>
      </c>
      <c r="K29" s="623">
        <f t="shared" ca="1" si="3"/>
        <v>0</v>
      </c>
      <c r="L29" s="623">
        <f t="shared" ca="1" si="4"/>
        <v>0</v>
      </c>
      <c r="M29" s="623"/>
      <c r="N29" s="613"/>
    </row>
    <row r="30" spans="1:16">
      <c r="A30" s="569" t="str">
        <f t="shared" ca="1" si="0"/>
        <v/>
      </c>
      <c r="B30" s="619" t="str">
        <f ca="1">IF(ROWS($1:17)&gt;COUNT(Dong11),"",OFFSET(TH!D$1,SMALL(Dong11,ROWS($1:17)),))</f>
        <v/>
      </c>
      <c r="C30" s="620" t="str">
        <f ca="1">IF(ROWS($1:17)&gt;COUNT(Dong11),"",OFFSET(TH!E$1,SMALL(Dong11,ROWS($1:17)),))</f>
        <v/>
      </c>
      <c r="D30" s="621" t="str">
        <f ca="1">IF(ROWS($1:17)&gt;COUNT(Dong11),"",OFFSET(TH!F$1,SMALL(Dong11,ROWS($1:17)),)&amp;" - "&amp;OFFSET(TH!H$1,SMALL(Dong11,ROWS($1:17)),))</f>
        <v/>
      </c>
      <c r="E30" s="619" t="str">
        <f ca="1">IF(ROWS($1:17)&gt;COUNT(Dong11),"",IF(OFFSET(TH!N$1,SMALL(Dong11,ROWS($1:17)),)=$G$7,OFFSET(TH!O$1,SMALL(Dong11,ROWS($1:17)),),OFFSET(TH!N$1,SMALL(Dong11,ROWS($1:17)),)))</f>
        <v/>
      </c>
      <c r="F30" s="622">
        <f ca="1">IF(ROWS($1:17)&gt;COUNT(Dong11),0,OFFSET(TH!J$1,SMALL(Dong11,ROWS($1:17)),))</f>
        <v>0</v>
      </c>
      <c r="G30" s="622">
        <f ca="1">IF(ROWS($1:17)&gt;COUNT(Dong11),0,IF(MID(OFFSET(TH!D$1,SMALL(Dong11,ROWS($1:17)),),4,1)="N",OFFSET(TH!I$1,SMALL(Dong11,ROWS($1:17)),),0))</f>
        <v>0</v>
      </c>
      <c r="H30" s="623">
        <f t="shared" ca="1" si="1"/>
        <v>0</v>
      </c>
      <c r="I30" s="622">
        <f ca="1">IF(ROWS($1:17)&gt;COUNT(Dong11),0,IF(MID(OFFSET(TH!D$1,SMALL(Dong11,ROWS($1:17)),),4,1)="X",OFFSET(TH!I$1,SMALL(Dong11,ROWS($1:17)),),0))</f>
        <v>0</v>
      </c>
      <c r="J30" s="623">
        <f t="shared" ca="1" si="2"/>
        <v>0</v>
      </c>
      <c r="K30" s="623">
        <f t="shared" ca="1" si="3"/>
        <v>0</v>
      </c>
      <c r="L30" s="623">
        <f t="shared" ca="1" si="4"/>
        <v>0</v>
      </c>
      <c r="M30" s="623"/>
      <c r="N30" s="613"/>
    </row>
    <row r="31" spans="1:16">
      <c r="A31" s="569" t="str">
        <f t="shared" si="0"/>
        <v/>
      </c>
      <c r="B31" s="626"/>
      <c r="C31" s="627"/>
      <c r="D31" s="628"/>
      <c r="E31" s="629"/>
      <c r="F31" s="630"/>
      <c r="G31" s="615"/>
      <c r="H31" s="615"/>
      <c r="I31" s="615"/>
      <c r="J31" s="615"/>
      <c r="K31" s="615"/>
      <c r="L31" s="615"/>
      <c r="M31" s="631"/>
      <c r="N31" s="613"/>
    </row>
    <row r="32" spans="1:16">
      <c r="A32" s="632"/>
      <c r="B32" s="632"/>
      <c r="C32" s="632"/>
      <c r="D32" s="632" t="s">
        <v>493</v>
      </c>
      <c r="E32" s="611" t="s">
        <v>21</v>
      </c>
      <c r="F32" s="611" t="s">
        <v>21</v>
      </c>
      <c r="G32" s="633">
        <f ca="1">SUM(G14:G31)</f>
        <v>0</v>
      </c>
      <c r="H32" s="633">
        <f ca="1">SUM(H14:H31)</f>
        <v>0</v>
      </c>
      <c r="I32" s="633">
        <f ca="1">SUM(I14:I31)</f>
        <v>2700</v>
      </c>
      <c r="J32" s="633">
        <f ca="1">SUM(J14:J31)</f>
        <v>12059070</v>
      </c>
      <c r="K32" s="633">
        <f ca="1">K13+G32-I32</f>
        <v>11238</v>
      </c>
      <c r="L32" s="633">
        <f ca="1">L13+H32-J32</f>
        <v>50192530</v>
      </c>
      <c r="M32" s="632"/>
      <c r="N32" s="613"/>
    </row>
    <row r="33" spans="2:14">
      <c r="B33" s="634" t="s">
        <v>494</v>
      </c>
      <c r="G33" s="625"/>
      <c r="N33" s="613"/>
    </row>
    <row r="34" spans="2:14">
      <c r="B34" s="635"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5"/>
      <c r="I34" s="625"/>
      <c r="N34" s="613"/>
    </row>
    <row r="35" spans="2:14">
      <c r="B35" s="600"/>
      <c r="C35" s="600"/>
      <c r="D35" s="600"/>
      <c r="F35" s="600"/>
      <c r="G35" s="636"/>
      <c r="H35" s="601"/>
      <c r="I35" s="637"/>
      <c r="J35" s="1355" t="s">
        <v>460</v>
      </c>
      <c r="K35" s="1355"/>
      <c r="L35" s="1355"/>
      <c r="M35" s="1355"/>
      <c r="N35" s="613"/>
    </row>
    <row r="36" spans="2:14">
      <c r="C36" s="600"/>
      <c r="D36" s="1105" t="s">
        <v>11</v>
      </c>
      <c r="E36" s="1355" t="s">
        <v>12</v>
      </c>
      <c r="F36" s="1355"/>
      <c r="G36" s="1355"/>
      <c r="H36" s="1355"/>
      <c r="I36" s="1355"/>
      <c r="J36" s="1355" t="s">
        <v>131</v>
      </c>
      <c r="K36" s="1355"/>
      <c r="L36" s="1355"/>
      <c r="M36" s="1355"/>
      <c r="N36" s="613"/>
    </row>
    <row r="37" spans="2:14">
      <c r="C37" s="600"/>
      <c r="D37" s="1105" t="s">
        <v>13</v>
      </c>
      <c r="E37" s="1355" t="s">
        <v>13</v>
      </c>
      <c r="F37" s="1355"/>
      <c r="G37" s="1355"/>
      <c r="H37" s="1355" t="s">
        <v>161</v>
      </c>
      <c r="I37" s="1355"/>
      <c r="J37" s="1355" t="s">
        <v>161</v>
      </c>
      <c r="K37" s="1355"/>
      <c r="L37" s="1355"/>
      <c r="M37" s="1355"/>
      <c r="N37" s="613"/>
    </row>
    <row r="38" spans="2:14">
      <c r="N38" s="638"/>
    </row>
    <row r="39" spans="2:14">
      <c r="E39" s="588"/>
    </row>
    <row r="41" spans="2:14" customFormat="1" ht="12.75">
      <c r="E41" s="639"/>
    </row>
    <row r="46" spans="2:14">
      <c r="D46" s="1138" t="s">
        <v>230</v>
      </c>
      <c r="E46" s="1138"/>
      <c r="J46" s="1351" t="s">
        <v>125</v>
      </c>
      <c r="K46" s="1351"/>
      <c r="L46" s="1351"/>
      <c r="M46" s="1351"/>
      <c r="N46" s="1139"/>
    </row>
  </sheetData>
  <mergeCells count="20">
    <mergeCell ref="J2:M2"/>
    <mergeCell ref="J3:M4"/>
    <mergeCell ref="B5:M5"/>
    <mergeCell ref="B6:M6"/>
    <mergeCell ref="J8:L8"/>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5" customWidth="1"/>
    <col min="2" max="2" width="9.140625" style="645"/>
    <col min="3" max="3" width="9.140625" style="709" customWidth="1"/>
    <col min="4" max="4" width="10.85546875" style="709" customWidth="1"/>
    <col min="5" max="5" width="39.42578125" style="710" customWidth="1"/>
    <col min="6" max="6" width="10.85546875" style="711" customWidth="1"/>
    <col min="7" max="7" width="9" style="712" customWidth="1"/>
    <col min="8" max="8" width="9.5703125" style="712" customWidth="1"/>
    <col min="9" max="9" width="10" style="712" customWidth="1"/>
    <col min="10" max="10" width="8" style="645" customWidth="1"/>
    <col min="11" max="11" width="2.42578125" style="645" customWidth="1"/>
    <col min="12" max="12" width="6.5703125" style="645" customWidth="1"/>
    <col min="13" max="16384" width="9.140625" style="645"/>
  </cols>
  <sheetData>
    <row r="1" spans="1:12" ht="15" customHeight="1">
      <c r="A1" s="640" t="s">
        <v>182</v>
      </c>
      <c r="B1" s="641"/>
      <c r="C1" s="641"/>
      <c r="D1" s="641"/>
      <c r="E1" s="642"/>
      <c r="F1" s="641"/>
      <c r="G1" s="643"/>
      <c r="H1" s="644" t="s">
        <v>495</v>
      </c>
      <c r="I1" s="645"/>
      <c r="J1" s="646"/>
      <c r="K1" s="646"/>
      <c r="L1" s="647"/>
    </row>
    <row r="2" spans="1:12" ht="15" customHeight="1">
      <c r="A2" s="648" t="s">
        <v>319</v>
      </c>
      <c r="B2" s="649"/>
      <c r="C2" s="649"/>
      <c r="D2" s="649"/>
      <c r="E2" s="650"/>
      <c r="F2" s="651"/>
      <c r="G2" s="652"/>
      <c r="H2" s="653" t="s">
        <v>320</v>
      </c>
      <c r="I2" s="645"/>
      <c r="J2" s="646"/>
      <c r="K2" s="646"/>
    </row>
    <row r="3" spans="1:12" ht="15">
      <c r="A3" s="649"/>
      <c r="B3" s="649"/>
      <c r="C3" s="649"/>
      <c r="D3" s="649"/>
      <c r="E3" s="650"/>
      <c r="F3" s="651"/>
      <c r="G3" s="652"/>
      <c r="H3" s="653" t="s">
        <v>238</v>
      </c>
      <c r="I3" s="645"/>
      <c r="J3" s="646"/>
      <c r="K3" s="646"/>
    </row>
    <row r="4" spans="1:12" ht="18.75" customHeight="1">
      <c r="A4" s="654"/>
      <c r="B4" s="654"/>
      <c r="C4" s="654"/>
      <c r="D4" s="654"/>
      <c r="E4" s="655" t="s">
        <v>496</v>
      </c>
      <c r="F4" s="654"/>
      <c r="G4" s="654"/>
      <c r="H4" s="654"/>
      <c r="I4" s="654"/>
      <c r="J4" s="646"/>
      <c r="K4" s="646"/>
    </row>
    <row r="5" spans="1:12" ht="15">
      <c r="A5" s="656"/>
      <c r="B5" s="656"/>
      <c r="C5" s="656"/>
      <c r="D5" s="656"/>
      <c r="E5" s="657" t="str">
        <f ca="1">IF(ISERROR("Ngày lập thẻ: ngày "&amp;DAY(B14)&amp;"/"&amp;MONTH(B14)&amp;"/"&amp;YEAR(B14)),"Ngày lập thẻ: ngày 01/ 01/2016 ","Ngày lập thẻ: ngày "&amp;DAY(B14)&amp;"/"&amp;MONTH(B14)&amp;"/"&amp;YEAR(B14))</f>
        <v>Ngày lập thẻ: ngày 5/1/2016</v>
      </c>
      <c r="F5" s="656"/>
      <c r="G5" s="656"/>
      <c r="H5" s="656"/>
      <c r="I5" s="656"/>
      <c r="J5" s="646"/>
      <c r="K5" s="646"/>
    </row>
    <row r="6" spans="1:12" ht="15">
      <c r="A6" s="656"/>
      <c r="B6" s="656"/>
      <c r="C6" s="656"/>
      <c r="D6" s="656"/>
      <c r="E6" s="657" t="s">
        <v>497</v>
      </c>
      <c r="F6" s="656"/>
      <c r="G6" s="656"/>
      <c r="H6" s="656"/>
      <c r="I6" s="656"/>
      <c r="J6" s="646"/>
      <c r="K6" s="646"/>
    </row>
    <row r="7" spans="1:12" ht="15">
      <c r="A7" s="635" t="s">
        <v>498</v>
      </c>
      <c r="B7" s="635"/>
      <c r="C7" s="658"/>
      <c r="D7" s="658"/>
      <c r="E7" s="659" t="s">
        <v>349</v>
      </c>
      <c r="F7" s="651"/>
      <c r="G7" s="660"/>
      <c r="H7" s="660"/>
      <c r="I7" s="660"/>
      <c r="J7" s="646"/>
      <c r="K7" s="646"/>
    </row>
    <row r="8" spans="1:12" ht="15">
      <c r="A8" s="635" t="s">
        <v>499</v>
      </c>
      <c r="B8" s="635"/>
      <c r="C8" s="646" t="str">
        <f>VLOOKUP($E$7,NXT!$C$12:$L$56,2,0)</f>
        <v>kg</v>
      </c>
      <c r="D8" s="635"/>
      <c r="E8" s="659"/>
      <c r="F8" s="651"/>
      <c r="G8" s="660"/>
      <c r="H8" s="660"/>
      <c r="I8" s="660"/>
      <c r="J8" s="646"/>
      <c r="K8" s="646"/>
    </row>
    <row r="9" spans="1:12" ht="15">
      <c r="A9" s="1363" t="s">
        <v>500</v>
      </c>
      <c r="B9" s="1364"/>
      <c r="C9" s="1364"/>
      <c r="D9" s="1364"/>
      <c r="E9" s="659"/>
      <c r="F9" s="651"/>
      <c r="G9" s="660"/>
      <c r="H9" s="660"/>
      <c r="I9" s="660"/>
      <c r="J9" s="661"/>
      <c r="K9" s="661"/>
    </row>
    <row r="10" spans="1:12" ht="19.5" customHeight="1">
      <c r="A10" s="1365" t="s">
        <v>501</v>
      </c>
      <c r="B10" s="1366" t="s">
        <v>502</v>
      </c>
      <c r="C10" s="1368" t="s">
        <v>17</v>
      </c>
      <c r="D10" s="1369"/>
      <c r="E10" s="1370" t="s">
        <v>0</v>
      </c>
      <c r="F10" s="1379" t="s">
        <v>503</v>
      </c>
      <c r="G10" s="1373" t="s">
        <v>471</v>
      </c>
      <c r="H10" s="1373"/>
      <c r="I10" s="1369"/>
      <c r="J10" s="1374" t="s">
        <v>504</v>
      </c>
      <c r="K10" s="662"/>
      <c r="L10" s="663" t="s">
        <v>489</v>
      </c>
    </row>
    <row r="11" spans="1:12" ht="19.5" customHeight="1">
      <c r="A11" s="1365"/>
      <c r="B11" s="1367"/>
      <c r="C11" s="664" t="s">
        <v>486</v>
      </c>
      <c r="D11" s="664" t="s">
        <v>487</v>
      </c>
      <c r="E11" s="1371"/>
      <c r="F11" s="1380"/>
      <c r="G11" s="665" t="s">
        <v>486</v>
      </c>
      <c r="H11" s="665" t="s">
        <v>487</v>
      </c>
      <c r="I11" s="665" t="s">
        <v>488</v>
      </c>
      <c r="J11" s="1375"/>
      <c r="K11" s="662"/>
    </row>
    <row r="12" spans="1:12" ht="15">
      <c r="A12" s="666" t="s">
        <v>2</v>
      </c>
      <c r="B12" s="667" t="s">
        <v>3</v>
      </c>
      <c r="C12" s="668" t="s">
        <v>4</v>
      </c>
      <c r="D12" s="668" t="s">
        <v>5</v>
      </c>
      <c r="E12" s="669" t="s">
        <v>6</v>
      </c>
      <c r="F12" s="667" t="s">
        <v>155</v>
      </c>
      <c r="G12" s="670">
        <v>1</v>
      </c>
      <c r="H12" s="670">
        <v>2</v>
      </c>
      <c r="I12" s="670">
        <v>3</v>
      </c>
      <c r="J12" s="668" t="s">
        <v>156</v>
      </c>
      <c r="K12" s="671"/>
    </row>
    <row r="13" spans="1:12" ht="16.5" customHeight="1">
      <c r="A13" s="672"/>
      <c r="B13" s="673"/>
      <c r="C13" s="674"/>
      <c r="D13" s="674"/>
      <c r="E13" s="675" t="s">
        <v>334</v>
      </c>
      <c r="F13" s="673"/>
      <c r="G13" s="676"/>
      <c r="H13" s="676"/>
      <c r="I13" s="677">
        <f>VLOOKUP($E$7,NXT!$C$12:$L$56,3,0)</f>
        <v>300</v>
      </c>
      <c r="J13" s="672"/>
      <c r="K13" s="678"/>
    </row>
    <row r="14" spans="1:12" ht="16.5" customHeight="1">
      <c r="A14" s="679">
        <f ca="1">IF(B14&lt;&gt;"",ROW()-(ROW()-1),"")</f>
        <v>1</v>
      </c>
      <c r="B14" s="680">
        <f ca="1">IF(ROWS($1:1)&gt;COUNT(Dong12),"",OFFSET(TH!E$1,SMALL(Dong12,ROWS($1:1)),))</f>
        <v>42374</v>
      </c>
      <c r="C14" s="871" t="str">
        <f ca="1">IF(ROWS($1:1)&gt;COUNT(Dong12),"",IF(MID(OFFSET(TH!D$1,SMALL(Dong12,ROWS($1:1)),),4,1)="N",OFFSET(TH!D$1,SMALL(Dong12,ROWS($1:1)),),""))</f>
        <v>VL/N01</v>
      </c>
      <c r="D14" s="680" t="str">
        <f ca="1">IF(ROWS($1:1)&gt;COUNT(Dong12),"",IF(MID(OFFSET(TH!D$1,SMALL(Dong12,ROWS($1:1)),),4,1)="X",OFFSET(TH!D$1,SMALL(Dong12,ROWS($1:1)),),""))</f>
        <v/>
      </c>
      <c r="E14" s="681" t="str">
        <f ca="1">IF(ROWS($1:1)&gt;COUNT(Dong12),"",OFFSET(TH!F$1,SMALL(Dong12,ROWS($1:1)),)&amp;" - "&amp;OFFSET(TH!H$1,SMALL(Dong12,ROWS($1:1)),))</f>
        <v>Đường - Cty TNHH TM - DV Thanh Thanh</v>
      </c>
      <c r="F14" s="680">
        <f ca="1">B14</f>
        <v>42374</v>
      </c>
      <c r="G14" s="682">
        <f ca="1">IF(ROWS($1:1)&gt;COUNT(Dong12),0,IF(MID(OFFSET(TH!D$1,SMALL(Dong12,ROWS($1:1)),),4,1)="N",OFFSET(TH!I$1,SMALL(Dong12,ROWS($1:1)),),0))</f>
        <v>1000</v>
      </c>
      <c r="H14" s="682">
        <f ca="1">IF(ROWS($1:1)&gt;COUNT(Dong12),0,IF(MID(OFFSET(TH!D$1,SMALL(Dong12,ROWS($1:1)),),4,1)="X",OFFSET(TH!I$1,SMALL(Dong12,ROWS($1:1)),),0))</f>
        <v>0</v>
      </c>
      <c r="I14" s="683">
        <f ca="1">IF(E14&lt;&gt;"",I13+G14-H14,0)</f>
        <v>1300</v>
      </c>
      <c r="J14" s="684"/>
      <c r="K14" s="685"/>
    </row>
    <row r="15" spans="1:12" ht="16.5" customHeight="1">
      <c r="A15" s="686">
        <f ca="1">IF(B15&lt;&gt;"",A14+1,"")</f>
        <v>2</v>
      </c>
      <c r="B15" s="680">
        <f ca="1">IF(ROWS($1:2)&gt;COUNT(Dong12),"",OFFSET(TH!E$1,SMALL(Dong12,ROWS($1:2)),))</f>
        <v>42387</v>
      </c>
      <c r="C15" s="871" t="str">
        <f ca="1">IF(ROWS($1:2)&gt;COUNT(Dong12),"",IF(MID(OFFSET(TH!D$1,SMALL(Dong12,ROWS($1:2)),),4,1)="N",OFFSET(TH!D$1,SMALL(Dong12,ROWS($1:2)),),""))</f>
        <v>VL/N05</v>
      </c>
      <c r="D15" s="680" t="str">
        <f ca="1">IF(ROWS($1:2)&gt;COUNT(Dong12),"",IF(MID(OFFSET(TH!D$1,SMALL(Dong12,ROWS($1:2)),),4,1)="X",OFFSET(TH!D$1,SMALL(Dong12,ROWS($1:2)),),""))</f>
        <v/>
      </c>
      <c r="E15" s="681" t="str">
        <f ca="1">IF(ROWS($1:2)&gt;COUNT(Dong12),"",OFFSET(TH!F$1,SMALL(Dong12,ROWS($1:2)),)&amp;" - "&amp;OFFSET(TH!H$1,SMALL(Dong12,ROWS($1:2)),))</f>
        <v>Đường - Cty TNHH TM - DV Thanh Thanh</v>
      </c>
      <c r="F15" s="680">
        <f t="shared" ref="F15:F30" ca="1" si="0">B15</f>
        <v>42387</v>
      </c>
      <c r="G15" s="682">
        <f ca="1">IF(ROWS($1:2)&gt;COUNT(Dong12),0,IF(MID(OFFSET(TH!D$1,SMALL(Dong12,ROWS($1:2)),),4,1)="N",OFFSET(TH!I$1,SMALL(Dong12,ROWS($1:2)),),0))</f>
        <v>1000</v>
      </c>
      <c r="H15" s="682">
        <f ca="1">IF(ROWS($1:2)&gt;COUNT(Dong12),0,IF(MID(OFFSET(TH!D$1,SMALL(Dong12,ROWS($1:2)),),4,1)="X",OFFSET(TH!I$1,SMALL(Dong12,ROWS($1:2)),),0))</f>
        <v>0</v>
      </c>
      <c r="I15" s="683">
        <f t="shared" ref="I15:I30" ca="1" si="1">IF(E15&lt;&gt;"",I14+G15-H15,0)</f>
        <v>2300</v>
      </c>
      <c r="J15" s="684"/>
      <c r="K15" s="685"/>
    </row>
    <row r="16" spans="1:12" ht="16.5" customHeight="1">
      <c r="A16" s="686">
        <f t="shared" ref="A16:A30" ca="1" si="2">IF(B16&lt;&gt;"",A15+1,"")</f>
        <v>3</v>
      </c>
      <c r="B16" s="680">
        <f ca="1">IF(ROWS($1:3)&gt;COUNT(Dong12),"",OFFSET(TH!E$1,SMALL(Dong12,ROWS($1:3)),))</f>
        <v>42371</v>
      </c>
      <c r="C16" s="871" t="str">
        <f ca="1">IF(ROWS($1:3)&gt;COUNT(Dong12),"",IF(MID(OFFSET(TH!D$1,SMALL(Dong12,ROWS($1:3)),),4,1)="N",OFFSET(TH!D$1,SMALL(Dong12,ROWS($1:3)),),""))</f>
        <v/>
      </c>
      <c r="D16" s="680" t="str">
        <f ca="1">IF(ROWS($1:3)&gt;COUNT(Dong12),"",IF(MID(OFFSET(TH!D$1,SMALL(Dong12,ROWS($1:3)),),4,1)="X",OFFSET(TH!D$1,SMALL(Dong12,ROWS($1:3)),),""))</f>
        <v>VL/X01</v>
      </c>
      <c r="E16" s="681" t="str">
        <f ca="1">IF(ROWS($1:3)&gt;COUNT(Dong12),"",OFFSET(TH!F$1,SMALL(Dong12,ROWS($1:3)),)&amp;" - "&amp;OFFSET(TH!H$1,SMALL(Dong12,ROWS($1:3)),))</f>
        <v>Đường - Xuất SX</v>
      </c>
      <c r="F16" s="680">
        <f t="shared" ca="1" si="0"/>
        <v>42371</v>
      </c>
      <c r="G16" s="682">
        <f ca="1">IF(ROWS($1:3)&gt;COUNT(Dong12),0,IF(MID(OFFSET(TH!D$1,SMALL(Dong12,ROWS($1:3)),),4,1)="N",OFFSET(TH!I$1,SMALL(Dong12,ROWS($1:3)),),0))</f>
        <v>0</v>
      </c>
      <c r="H16" s="682">
        <f ca="1">IF(ROWS($1:3)&gt;COUNT(Dong12),0,IF(MID(OFFSET(TH!D$1,SMALL(Dong12,ROWS($1:3)),),4,1)="X",OFFSET(TH!I$1,SMALL(Dong12,ROWS($1:3)),),0))</f>
        <v>150</v>
      </c>
      <c r="I16" s="683">
        <f t="shared" ca="1" si="1"/>
        <v>2150</v>
      </c>
      <c r="J16" s="684"/>
      <c r="K16" s="685"/>
    </row>
    <row r="17" spans="1:11" ht="16.5" customHeight="1">
      <c r="A17" s="686">
        <f t="shared" ca="1" si="2"/>
        <v>4</v>
      </c>
      <c r="B17" s="680">
        <f ca="1">IF(ROWS($1:4)&gt;COUNT(Dong12),"",OFFSET(TH!E$1,SMALL(Dong12,ROWS($1:4)),))</f>
        <v>42415</v>
      </c>
      <c r="C17" s="871" t="str">
        <f ca="1">IF(ROWS($1:4)&gt;COUNT(Dong12),"",IF(MID(OFFSET(TH!D$1,SMALL(Dong12,ROWS($1:4)),),4,1)="N",OFFSET(TH!D$1,SMALL(Dong12,ROWS($1:4)),),""))</f>
        <v/>
      </c>
      <c r="D17" s="680" t="str">
        <f ca="1">IF(ROWS($1:4)&gt;COUNT(Dong12),"",IF(MID(OFFSET(TH!D$1,SMALL(Dong12,ROWS($1:4)),),4,1)="X",OFFSET(TH!D$1,SMALL(Dong12,ROWS($1:4)),),""))</f>
        <v>VL/X02</v>
      </c>
      <c r="E17" s="681" t="str">
        <f ca="1">IF(ROWS($1:4)&gt;COUNT(Dong12),"",OFFSET(TH!F$1,SMALL(Dong12,ROWS($1:4)),)&amp;" - "&amp;OFFSET(TH!H$1,SMALL(Dong12,ROWS($1:4)),))</f>
        <v>Đường - Xuất SX</v>
      </c>
      <c r="F17" s="680">
        <f t="shared" ca="1" si="0"/>
        <v>42415</v>
      </c>
      <c r="G17" s="682">
        <f ca="1">IF(ROWS($1:4)&gt;COUNT(Dong12),0,IF(MID(OFFSET(TH!D$1,SMALL(Dong12,ROWS($1:4)),),4,1)="N",OFFSET(TH!I$1,SMALL(Dong12,ROWS($1:4)),),0))</f>
        <v>0</v>
      </c>
      <c r="H17" s="682">
        <f ca="1">IF(ROWS($1:4)&gt;COUNT(Dong12),0,IF(MID(OFFSET(TH!D$1,SMALL(Dong12,ROWS($1:4)),),4,1)="X",OFFSET(TH!I$1,SMALL(Dong12,ROWS($1:4)),),0))</f>
        <v>150</v>
      </c>
      <c r="I17" s="683">
        <f t="shared" ca="1" si="1"/>
        <v>2000</v>
      </c>
      <c r="J17" s="684"/>
      <c r="K17" s="685"/>
    </row>
    <row r="18" spans="1:11" ht="16.5" customHeight="1">
      <c r="A18" s="686">
        <f t="shared" ca="1" si="2"/>
        <v>5</v>
      </c>
      <c r="B18" s="680">
        <f ca="1">IF(ROWS($1:5)&gt;COUNT(Dong12),"",OFFSET(TH!E$1,SMALL(Dong12,ROWS($1:5)),))</f>
        <v>42437</v>
      </c>
      <c r="C18" s="871" t="str">
        <f ca="1">IF(ROWS($1:5)&gt;COUNT(Dong12),"",IF(MID(OFFSET(TH!D$1,SMALL(Dong12,ROWS($1:5)),),4,1)="N",OFFSET(TH!D$1,SMALL(Dong12,ROWS($1:5)),),""))</f>
        <v>VL/N02</v>
      </c>
      <c r="D18" s="680" t="str">
        <f ca="1">IF(ROWS($1:5)&gt;COUNT(Dong12),"",IF(MID(OFFSET(TH!D$1,SMALL(Dong12,ROWS($1:5)),),4,1)="X",OFFSET(TH!D$1,SMALL(Dong12,ROWS($1:5)),),""))</f>
        <v/>
      </c>
      <c r="E18" s="681" t="str">
        <f ca="1">IF(ROWS($1:5)&gt;COUNT(Dong12),"",OFFSET(TH!F$1,SMALL(Dong12,ROWS($1:5)),)&amp;" - "&amp;OFFSET(TH!H$1,SMALL(Dong12,ROWS($1:5)),))</f>
        <v>Đường - Cty TNHH TM - DV Thanh Thanh</v>
      </c>
      <c r="F18" s="680">
        <f t="shared" ca="1" si="0"/>
        <v>42437</v>
      </c>
      <c r="G18" s="682">
        <f ca="1">IF(ROWS($1:5)&gt;COUNT(Dong12),0,IF(MID(OFFSET(TH!D$1,SMALL(Dong12,ROWS($1:5)),),4,1)="N",OFFSET(TH!I$1,SMALL(Dong12,ROWS($1:5)),),0))</f>
        <v>1000</v>
      </c>
      <c r="H18" s="682">
        <f ca="1">IF(ROWS($1:5)&gt;COUNT(Dong12),0,IF(MID(OFFSET(TH!D$1,SMALL(Dong12,ROWS($1:5)),),4,1)="X",OFFSET(TH!I$1,SMALL(Dong12,ROWS($1:5)),),0))</f>
        <v>0</v>
      </c>
      <c r="I18" s="683">
        <f t="shared" ca="1" si="1"/>
        <v>3000</v>
      </c>
      <c r="J18" s="684"/>
      <c r="K18" s="685"/>
    </row>
    <row r="19" spans="1:11" ht="16.5" customHeight="1">
      <c r="A19" s="686">
        <f t="shared" ca="1" si="2"/>
        <v>6</v>
      </c>
      <c r="B19" s="680">
        <f ca="1">IF(ROWS($1:6)&gt;COUNT(Dong12),"",OFFSET(TH!E$1,SMALL(Dong12,ROWS($1:6)),))</f>
        <v>42457</v>
      </c>
      <c r="C19" s="871" t="str">
        <f ca="1">IF(ROWS($1:6)&gt;COUNT(Dong12),"",IF(MID(OFFSET(TH!D$1,SMALL(Dong12,ROWS($1:6)),),4,1)="N",OFFSET(TH!D$1,SMALL(Dong12,ROWS($1:6)),),""))</f>
        <v>VL/N04</v>
      </c>
      <c r="D19" s="680" t="str">
        <f ca="1">IF(ROWS($1:6)&gt;COUNT(Dong12),"",IF(MID(OFFSET(TH!D$1,SMALL(Dong12,ROWS($1:6)),),4,1)="X",OFFSET(TH!D$1,SMALL(Dong12,ROWS($1:6)),),""))</f>
        <v/>
      </c>
      <c r="E19" s="681" t="str">
        <f ca="1">IF(ROWS($1:6)&gt;COUNT(Dong12),"",OFFSET(TH!F$1,SMALL(Dong12,ROWS($1:6)),)&amp;" - "&amp;OFFSET(TH!H$1,SMALL(Dong12,ROWS($1:6)),))</f>
        <v>Đường - Cty TNHH TM - DV Thanh Thanh</v>
      </c>
      <c r="F19" s="680">
        <f t="shared" ca="1" si="0"/>
        <v>42457</v>
      </c>
      <c r="G19" s="682">
        <f ca="1">IF(ROWS($1:6)&gt;COUNT(Dong12),0,IF(MID(OFFSET(TH!D$1,SMALL(Dong12,ROWS($1:6)),),4,1)="N",OFFSET(TH!I$1,SMALL(Dong12,ROWS($1:6)),),0))</f>
        <v>1000</v>
      </c>
      <c r="H19" s="682">
        <f ca="1">IF(ROWS($1:6)&gt;COUNT(Dong12),0,IF(MID(OFFSET(TH!D$1,SMALL(Dong12,ROWS($1:6)),),4,1)="X",OFFSET(TH!I$1,SMALL(Dong12,ROWS($1:6)),),0))</f>
        <v>0</v>
      </c>
      <c r="I19" s="683">
        <f t="shared" ca="1" si="1"/>
        <v>4000</v>
      </c>
      <c r="J19" s="684"/>
      <c r="K19" s="685"/>
    </row>
    <row r="20" spans="1:11" ht="16.5" customHeight="1">
      <c r="A20" s="686">
        <f t="shared" ca="1" si="2"/>
        <v>7</v>
      </c>
      <c r="B20" s="680">
        <f ca="1">IF(ROWS($1:7)&gt;COUNT(Dong12),"",OFFSET(TH!E$1,SMALL(Dong12,ROWS($1:7)),))</f>
        <v>42431</v>
      </c>
      <c r="C20" s="871" t="str">
        <f ca="1">IF(ROWS($1:7)&gt;COUNT(Dong12),"",IF(MID(OFFSET(TH!D$1,SMALL(Dong12,ROWS($1:7)),),4,1)="N",OFFSET(TH!D$1,SMALL(Dong12,ROWS($1:7)),),""))</f>
        <v/>
      </c>
      <c r="D20" s="680" t="str">
        <f ca="1">IF(ROWS($1:7)&gt;COUNT(Dong12),"",IF(MID(OFFSET(TH!D$1,SMALL(Dong12,ROWS($1:7)),),4,1)="X",OFFSET(TH!D$1,SMALL(Dong12,ROWS($1:7)),),""))</f>
        <v>VL/X01</v>
      </c>
      <c r="E20" s="681" t="str">
        <f ca="1">IF(ROWS($1:7)&gt;COUNT(Dong12),"",OFFSET(TH!F$1,SMALL(Dong12,ROWS($1:7)),)&amp;" - "&amp;OFFSET(TH!H$1,SMALL(Dong12,ROWS($1:7)),))</f>
        <v>Đường - Xuất SX</v>
      </c>
      <c r="F20" s="680">
        <f t="shared" ca="1" si="0"/>
        <v>42431</v>
      </c>
      <c r="G20" s="682">
        <f ca="1">IF(ROWS($1:7)&gt;COUNT(Dong12),0,IF(MID(OFFSET(TH!D$1,SMALL(Dong12,ROWS($1:7)),),4,1)="N",OFFSET(TH!I$1,SMALL(Dong12,ROWS($1:7)),),0))</f>
        <v>0</v>
      </c>
      <c r="H20" s="682">
        <f ca="1">IF(ROWS($1:7)&gt;COUNT(Dong12),0,IF(MID(OFFSET(TH!D$1,SMALL(Dong12,ROWS($1:7)),),4,1)="X",OFFSET(TH!I$1,SMALL(Dong12,ROWS($1:7)),),0))</f>
        <v>150</v>
      </c>
      <c r="I20" s="683">
        <f t="shared" ca="1" si="1"/>
        <v>3850</v>
      </c>
      <c r="J20" s="684"/>
      <c r="K20" s="685"/>
    </row>
    <row r="21" spans="1:11" ht="16.5" customHeight="1">
      <c r="A21" s="686" t="str">
        <f t="shared" ca="1" si="2"/>
        <v/>
      </c>
      <c r="B21" s="680" t="str">
        <f ca="1">IF(ROWS($1:8)&gt;COUNT(Dong12),"",OFFSET(TH!E$1,SMALL(Dong12,ROWS($1:8)),))</f>
        <v/>
      </c>
      <c r="C21" s="871" t="str">
        <f ca="1">IF(ROWS($1:8)&gt;COUNT(Dong12),"",IF(MID(OFFSET(TH!D$1,SMALL(Dong12,ROWS($1:8)),),4,1)="N",OFFSET(TH!D$1,SMALL(Dong12,ROWS($1:8)),),""))</f>
        <v/>
      </c>
      <c r="D21" s="680" t="str">
        <f ca="1">IF(ROWS($1:8)&gt;COUNT(Dong12),"",IF(MID(OFFSET(TH!D$1,SMALL(Dong12,ROWS($1:8)),),4,1)="X",OFFSET(TH!D$1,SMALL(Dong12,ROWS($1:8)),),""))</f>
        <v/>
      </c>
      <c r="E21" s="681" t="str">
        <f ca="1">IF(ROWS($1:8)&gt;COUNT(Dong12),"",OFFSET(TH!F$1,SMALL(Dong12,ROWS($1:8)),)&amp;" - "&amp;OFFSET(TH!H$1,SMALL(Dong12,ROWS($1:8)),))</f>
        <v/>
      </c>
      <c r="F21" s="680" t="str">
        <f t="shared" ca="1" si="0"/>
        <v/>
      </c>
      <c r="G21" s="682">
        <f ca="1">IF(ROWS($1:8)&gt;COUNT(Dong12),0,IF(MID(OFFSET(TH!D$1,SMALL(Dong12,ROWS($1:8)),),4,1)="N",OFFSET(TH!I$1,SMALL(Dong12,ROWS($1:8)),),0))</f>
        <v>0</v>
      </c>
      <c r="H21" s="682">
        <f ca="1">IF(ROWS($1:8)&gt;COUNT(Dong12),0,IF(MID(OFFSET(TH!D$1,SMALL(Dong12,ROWS($1:8)),),4,1)="X",OFFSET(TH!I$1,SMALL(Dong12,ROWS($1:8)),),0))</f>
        <v>0</v>
      </c>
      <c r="I21" s="683">
        <f t="shared" ca="1" si="1"/>
        <v>0</v>
      </c>
      <c r="J21" s="684"/>
      <c r="K21" s="685"/>
    </row>
    <row r="22" spans="1:11" ht="16.5" customHeight="1">
      <c r="A22" s="686" t="str">
        <f t="shared" ca="1" si="2"/>
        <v/>
      </c>
      <c r="B22" s="680" t="str">
        <f ca="1">IF(ROWS($1:9)&gt;COUNT(Dong12),"",OFFSET(TH!E$1,SMALL(Dong12,ROWS($1:9)),))</f>
        <v/>
      </c>
      <c r="C22" s="871" t="str">
        <f ca="1">IF(ROWS($1:9)&gt;COUNT(Dong12),"",IF(MID(OFFSET(TH!D$1,SMALL(Dong12,ROWS($1:9)),),4,1)="N",OFFSET(TH!D$1,SMALL(Dong12,ROWS($1:9)),),""))</f>
        <v/>
      </c>
      <c r="D22" s="680" t="str">
        <f ca="1">IF(ROWS($1:9)&gt;COUNT(Dong12),"",IF(MID(OFFSET(TH!D$1,SMALL(Dong12,ROWS($1:9)),),4,1)="X",OFFSET(TH!D$1,SMALL(Dong12,ROWS($1:9)),),""))</f>
        <v/>
      </c>
      <c r="E22" s="681" t="str">
        <f ca="1">IF(ROWS($1:9)&gt;COUNT(Dong12),"",OFFSET(TH!F$1,SMALL(Dong12,ROWS($1:9)),)&amp;" - "&amp;OFFSET(TH!H$1,SMALL(Dong12,ROWS($1:9)),))</f>
        <v/>
      </c>
      <c r="F22" s="680" t="str">
        <f t="shared" ca="1" si="0"/>
        <v/>
      </c>
      <c r="G22" s="682">
        <f ca="1">IF(ROWS($1:9)&gt;COUNT(Dong12),0,IF(MID(OFFSET(TH!D$1,SMALL(Dong12,ROWS($1:9)),),4,1)="N",OFFSET(TH!I$1,SMALL(Dong12,ROWS($1:9)),),0))</f>
        <v>0</v>
      </c>
      <c r="H22" s="682">
        <f ca="1">IF(ROWS($1:9)&gt;COUNT(Dong12),0,IF(MID(OFFSET(TH!D$1,SMALL(Dong12,ROWS($1:9)),),4,1)="X",OFFSET(TH!I$1,SMALL(Dong12,ROWS($1:9)),),0))</f>
        <v>0</v>
      </c>
      <c r="I22" s="683">
        <f t="shared" ca="1" si="1"/>
        <v>0</v>
      </c>
      <c r="J22" s="684"/>
      <c r="K22" s="685"/>
    </row>
    <row r="23" spans="1:11" ht="16.5" customHeight="1">
      <c r="A23" s="686" t="str">
        <f t="shared" ca="1" si="2"/>
        <v/>
      </c>
      <c r="B23" s="680" t="str">
        <f ca="1">IF(ROWS($1:10)&gt;COUNT(Dong12),"",OFFSET(TH!E$1,SMALL(Dong12,ROWS($1:10)),))</f>
        <v/>
      </c>
      <c r="C23" s="871" t="str">
        <f ca="1">IF(ROWS($1:10)&gt;COUNT(Dong12),"",IF(MID(OFFSET(TH!D$1,SMALL(Dong12,ROWS($1:10)),),4,1)="N",OFFSET(TH!D$1,SMALL(Dong12,ROWS($1:10)),),""))</f>
        <v/>
      </c>
      <c r="D23" s="680" t="str">
        <f ca="1">IF(ROWS($1:10)&gt;COUNT(Dong12),"",IF(MID(OFFSET(TH!D$1,SMALL(Dong12,ROWS($1:10)),),4,1)="X",OFFSET(TH!D$1,SMALL(Dong12,ROWS($1:10)),),""))</f>
        <v/>
      </c>
      <c r="E23" s="681" t="str">
        <f ca="1">IF(ROWS($1:10)&gt;COUNT(Dong12),"",OFFSET(TH!F$1,SMALL(Dong12,ROWS($1:10)),)&amp;" - "&amp;OFFSET(TH!H$1,SMALL(Dong12,ROWS($1:10)),))</f>
        <v/>
      </c>
      <c r="F23" s="680" t="str">
        <f t="shared" ca="1" si="0"/>
        <v/>
      </c>
      <c r="G23" s="682">
        <f ca="1">IF(ROWS($1:10)&gt;COUNT(Dong12),0,IF(MID(OFFSET(TH!D$1,SMALL(Dong12,ROWS($1:10)),),4,1)="N",OFFSET(TH!I$1,SMALL(Dong12,ROWS($1:10)),),0))</f>
        <v>0</v>
      </c>
      <c r="H23" s="682">
        <f ca="1">IF(ROWS($1:10)&gt;COUNT(Dong12),0,IF(MID(OFFSET(TH!D$1,SMALL(Dong12,ROWS($1:10)),),4,1)="X",OFFSET(TH!I$1,SMALL(Dong12,ROWS($1:10)),),0))</f>
        <v>0</v>
      </c>
      <c r="I23" s="683">
        <f t="shared" ca="1" si="1"/>
        <v>0</v>
      </c>
      <c r="J23" s="684"/>
      <c r="K23" s="685"/>
    </row>
    <row r="24" spans="1:11" ht="16.5" customHeight="1">
      <c r="A24" s="686" t="str">
        <f t="shared" ca="1" si="2"/>
        <v/>
      </c>
      <c r="B24" s="680" t="str">
        <f ca="1">IF(ROWS($1:11)&gt;COUNT(Dong12),"",OFFSET(TH!E$1,SMALL(Dong12,ROWS($1:11)),))</f>
        <v/>
      </c>
      <c r="C24" s="871" t="str">
        <f ca="1">IF(ROWS($1:11)&gt;COUNT(Dong12),"",IF(MID(OFFSET(TH!D$1,SMALL(Dong12,ROWS($1:11)),),4,1)="N",OFFSET(TH!D$1,SMALL(Dong12,ROWS($1:11)),),""))</f>
        <v/>
      </c>
      <c r="D24" s="680" t="str">
        <f ca="1">IF(ROWS($1:11)&gt;COUNT(Dong12),"",IF(MID(OFFSET(TH!D$1,SMALL(Dong12,ROWS($1:11)),),4,1)="X",OFFSET(TH!D$1,SMALL(Dong12,ROWS($1:11)),),""))</f>
        <v/>
      </c>
      <c r="E24" s="681" t="str">
        <f ca="1">IF(ROWS($1:11)&gt;COUNT(Dong12),"",OFFSET(TH!F$1,SMALL(Dong12,ROWS($1:11)),)&amp;" - "&amp;OFFSET(TH!H$1,SMALL(Dong12,ROWS($1:11)),))</f>
        <v/>
      </c>
      <c r="F24" s="680" t="str">
        <f t="shared" ca="1" si="0"/>
        <v/>
      </c>
      <c r="G24" s="682">
        <f ca="1">IF(ROWS($1:11)&gt;COUNT(Dong12),0,IF(MID(OFFSET(TH!D$1,SMALL(Dong12,ROWS($1:11)),),4,1)="N",OFFSET(TH!I$1,SMALL(Dong12,ROWS($1:11)),),0))</f>
        <v>0</v>
      </c>
      <c r="H24" s="682">
        <f ca="1">IF(ROWS($1:11)&gt;COUNT(Dong12),0,IF(MID(OFFSET(TH!D$1,SMALL(Dong12,ROWS($1:11)),),4,1)="X",OFFSET(TH!I$1,SMALL(Dong12,ROWS($1:11)),),0))</f>
        <v>0</v>
      </c>
      <c r="I24" s="683">
        <f t="shared" ca="1" si="1"/>
        <v>0</v>
      </c>
      <c r="J24" s="684"/>
      <c r="K24" s="685"/>
    </row>
    <row r="25" spans="1:11" ht="16.5" customHeight="1">
      <c r="A25" s="686" t="str">
        <f t="shared" ca="1" si="2"/>
        <v/>
      </c>
      <c r="B25" s="680" t="str">
        <f ca="1">IF(ROWS($1:12)&gt;COUNT(Dong12),"",OFFSET(TH!E$1,SMALL(Dong12,ROWS($1:12)),))</f>
        <v/>
      </c>
      <c r="C25" s="871" t="str">
        <f ca="1">IF(ROWS($1:12)&gt;COUNT(Dong12),"",IF(MID(OFFSET(TH!D$1,SMALL(Dong12,ROWS($1:12)),),4,1)="N",OFFSET(TH!D$1,SMALL(Dong12,ROWS($1:12)),),""))</f>
        <v/>
      </c>
      <c r="D25" s="680" t="str">
        <f ca="1">IF(ROWS($1:12)&gt;COUNT(Dong12),"",IF(MID(OFFSET(TH!D$1,SMALL(Dong12,ROWS($1:12)),),4,1)="X",OFFSET(TH!D$1,SMALL(Dong12,ROWS($1:12)),),""))</f>
        <v/>
      </c>
      <c r="E25" s="681" t="str">
        <f ca="1">IF(ROWS($1:12)&gt;COUNT(Dong12),"",OFFSET(TH!F$1,SMALL(Dong12,ROWS($1:12)),)&amp;" - "&amp;OFFSET(TH!H$1,SMALL(Dong12,ROWS($1:12)),))</f>
        <v/>
      </c>
      <c r="F25" s="680" t="str">
        <f t="shared" ca="1" si="0"/>
        <v/>
      </c>
      <c r="G25" s="682">
        <f ca="1">IF(ROWS($1:12)&gt;COUNT(Dong12),0,IF(MID(OFFSET(TH!D$1,SMALL(Dong12,ROWS($1:12)),),4,1)="N",OFFSET(TH!I$1,SMALL(Dong12,ROWS($1:12)),),0))</f>
        <v>0</v>
      </c>
      <c r="H25" s="682">
        <f ca="1">IF(ROWS($1:12)&gt;COUNT(Dong12),0,IF(MID(OFFSET(TH!D$1,SMALL(Dong12,ROWS($1:12)),),4,1)="X",OFFSET(TH!I$1,SMALL(Dong12,ROWS($1:12)),),0))</f>
        <v>0</v>
      </c>
      <c r="I25" s="683">
        <f t="shared" ca="1" si="1"/>
        <v>0</v>
      </c>
      <c r="J25" s="684"/>
      <c r="K25" s="685"/>
    </row>
    <row r="26" spans="1:11" ht="16.5" customHeight="1">
      <c r="A26" s="686" t="str">
        <f t="shared" ca="1" si="2"/>
        <v/>
      </c>
      <c r="B26" s="680" t="str">
        <f ca="1">IF(ROWS($1:13)&gt;COUNT(Dong12),"",OFFSET(TH!E$1,SMALL(Dong12,ROWS($1:13)),))</f>
        <v/>
      </c>
      <c r="C26" s="871" t="str">
        <f ca="1">IF(ROWS($1:13)&gt;COUNT(Dong12),"",IF(MID(OFFSET(TH!D$1,SMALL(Dong12,ROWS($1:13)),),4,1)="N",OFFSET(TH!D$1,SMALL(Dong12,ROWS($1:13)),),""))</f>
        <v/>
      </c>
      <c r="D26" s="680" t="str">
        <f ca="1">IF(ROWS($1:13)&gt;COUNT(Dong12),"",IF(MID(OFFSET(TH!D$1,SMALL(Dong12,ROWS($1:13)),),4,1)="X",OFFSET(TH!D$1,SMALL(Dong12,ROWS($1:13)),),""))</f>
        <v/>
      </c>
      <c r="E26" s="681" t="str">
        <f ca="1">IF(ROWS($1:13)&gt;COUNT(Dong12),"",OFFSET(TH!F$1,SMALL(Dong12,ROWS($1:13)),)&amp;" - "&amp;OFFSET(TH!H$1,SMALL(Dong12,ROWS($1:13)),))</f>
        <v/>
      </c>
      <c r="F26" s="680" t="str">
        <f t="shared" ca="1" si="0"/>
        <v/>
      </c>
      <c r="G26" s="682">
        <f ca="1">IF(ROWS($1:13)&gt;COUNT(Dong12),0,IF(MID(OFFSET(TH!D$1,SMALL(Dong12,ROWS($1:13)),),4,1)="N",OFFSET(TH!I$1,SMALL(Dong12,ROWS($1:13)),),0))</f>
        <v>0</v>
      </c>
      <c r="H26" s="682">
        <f ca="1">IF(ROWS($1:13)&gt;COUNT(Dong12),0,IF(MID(OFFSET(TH!D$1,SMALL(Dong12,ROWS($1:13)),),4,1)="X",OFFSET(TH!I$1,SMALL(Dong12,ROWS($1:13)),),0))</f>
        <v>0</v>
      </c>
      <c r="I26" s="683">
        <f t="shared" ca="1" si="1"/>
        <v>0</v>
      </c>
      <c r="J26" s="684"/>
      <c r="K26" s="685"/>
    </row>
    <row r="27" spans="1:11" ht="16.5" customHeight="1">
      <c r="A27" s="686" t="str">
        <f t="shared" ca="1" si="2"/>
        <v/>
      </c>
      <c r="B27" s="680" t="str">
        <f ca="1">IF(ROWS($1:14)&gt;COUNT(Dong12),"",OFFSET(TH!E$1,SMALL(Dong12,ROWS($1:14)),))</f>
        <v/>
      </c>
      <c r="C27" s="871" t="str">
        <f ca="1">IF(ROWS($1:14)&gt;COUNT(Dong12),"",IF(MID(OFFSET(TH!D$1,SMALL(Dong12,ROWS($1:14)),),4,1)="N",OFFSET(TH!D$1,SMALL(Dong12,ROWS($1:14)),),""))</f>
        <v/>
      </c>
      <c r="D27" s="680" t="str">
        <f ca="1">IF(ROWS($1:14)&gt;COUNT(Dong12),"",IF(MID(OFFSET(TH!D$1,SMALL(Dong12,ROWS($1:14)),),4,1)="X",OFFSET(TH!D$1,SMALL(Dong12,ROWS($1:14)),),""))</f>
        <v/>
      </c>
      <c r="E27" s="681" t="str">
        <f ca="1">IF(ROWS($1:14)&gt;COUNT(Dong12),"",OFFSET(TH!F$1,SMALL(Dong12,ROWS($1:14)),)&amp;" - "&amp;OFFSET(TH!H$1,SMALL(Dong12,ROWS($1:14)),))</f>
        <v/>
      </c>
      <c r="F27" s="680" t="str">
        <f t="shared" ca="1" si="0"/>
        <v/>
      </c>
      <c r="G27" s="682">
        <f ca="1">IF(ROWS($1:14)&gt;COUNT(Dong12),0,IF(MID(OFFSET(TH!D$1,SMALL(Dong12,ROWS($1:14)),),4,1)="N",OFFSET(TH!I$1,SMALL(Dong12,ROWS($1:14)),),0))</f>
        <v>0</v>
      </c>
      <c r="H27" s="682">
        <f ca="1">IF(ROWS($1:14)&gt;COUNT(Dong12),0,IF(MID(OFFSET(TH!D$1,SMALL(Dong12,ROWS($1:14)),),4,1)="X",OFFSET(TH!I$1,SMALL(Dong12,ROWS($1:14)),),0))</f>
        <v>0</v>
      </c>
      <c r="I27" s="683">
        <f t="shared" ca="1" si="1"/>
        <v>0</v>
      </c>
      <c r="J27" s="684"/>
      <c r="K27" s="685"/>
    </row>
    <row r="28" spans="1:11" ht="16.5" customHeight="1">
      <c r="A28" s="686" t="str">
        <f t="shared" ca="1" si="2"/>
        <v/>
      </c>
      <c r="B28" s="680" t="str">
        <f ca="1">IF(ROWS($1:15)&gt;COUNT(Dong12),"",OFFSET(TH!E$1,SMALL(Dong12,ROWS($1:15)),))</f>
        <v/>
      </c>
      <c r="C28" s="871" t="str">
        <f ca="1">IF(ROWS($1:15)&gt;COUNT(Dong12),"",IF(MID(OFFSET(TH!D$1,SMALL(Dong12,ROWS($1:15)),),4,1)="N",OFFSET(TH!D$1,SMALL(Dong12,ROWS($1:15)),),""))</f>
        <v/>
      </c>
      <c r="D28" s="680" t="str">
        <f ca="1">IF(ROWS($1:15)&gt;COUNT(Dong12),"",IF(MID(OFFSET(TH!D$1,SMALL(Dong12,ROWS($1:15)),),4,1)="X",OFFSET(TH!D$1,SMALL(Dong12,ROWS($1:15)),),""))</f>
        <v/>
      </c>
      <c r="E28" s="681" t="str">
        <f ca="1">IF(ROWS($1:15)&gt;COUNT(Dong12),"",OFFSET(TH!F$1,SMALL(Dong12,ROWS($1:15)),)&amp;" - "&amp;OFFSET(TH!H$1,SMALL(Dong12,ROWS($1:15)),))</f>
        <v/>
      </c>
      <c r="F28" s="680" t="str">
        <f t="shared" ca="1" si="0"/>
        <v/>
      </c>
      <c r="G28" s="682">
        <f ca="1">IF(ROWS($1:15)&gt;COUNT(Dong12),0,IF(MID(OFFSET(TH!D$1,SMALL(Dong12,ROWS($1:15)),),4,1)="N",OFFSET(TH!I$1,SMALL(Dong12,ROWS($1:15)),),0))</f>
        <v>0</v>
      </c>
      <c r="H28" s="682">
        <f ca="1">IF(ROWS($1:15)&gt;COUNT(Dong12),0,IF(MID(OFFSET(TH!D$1,SMALL(Dong12,ROWS($1:15)),),4,1)="X",OFFSET(TH!I$1,SMALL(Dong12,ROWS($1:15)),),0))</f>
        <v>0</v>
      </c>
      <c r="I28" s="683">
        <f t="shared" ca="1" si="1"/>
        <v>0</v>
      </c>
      <c r="J28" s="684"/>
      <c r="K28" s="685"/>
    </row>
    <row r="29" spans="1:11" ht="16.5" customHeight="1">
      <c r="A29" s="686" t="str">
        <f t="shared" ca="1" si="2"/>
        <v/>
      </c>
      <c r="B29" s="680" t="str">
        <f ca="1">IF(ROWS($1:16)&gt;COUNT(Dong12),"",OFFSET(TH!E$1,SMALL(Dong12,ROWS($1:16)),))</f>
        <v/>
      </c>
      <c r="C29" s="871" t="str">
        <f ca="1">IF(ROWS($1:16)&gt;COUNT(Dong12),"",IF(MID(OFFSET(TH!D$1,SMALL(Dong12,ROWS($1:16)),),4,1)="N",OFFSET(TH!D$1,SMALL(Dong12,ROWS($1:16)),),""))</f>
        <v/>
      </c>
      <c r="D29" s="680" t="str">
        <f ca="1">IF(ROWS($1:16)&gt;COUNT(Dong12),"",IF(MID(OFFSET(TH!D$1,SMALL(Dong12,ROWS($1:16)),),4,1)="X",OFFSET(TH!D$1,SMALL(Dong12,ROWS($1:16)),),""))</f>
        <v/>
      </c>
      <c r="E29" s="681" t="str">
        <f ca="1">IF(ROWS($1:16)&gt;COUNT(Dong12),"",OFFSET(TH!F$1,SMALL(Dong12,ROWS($1:16)),)&amp;" - "&amp;OFFSET(TH!H$1,SMALL(Dong12,ROWS($1:16)),))</f>
        <v/>
      </c>
      <c r="F29" s="680" t="str">
        <f t="shared" ca="1" si="0"/>
        <v/>
      </c>
      <c r="G29" s="682">
        <f ca="1">IF(ROWS($1:16)&gt;COUNT(Dong12),0,IF(MID(OFFSET(TH!D$1,SMALL(Dong12,ROWS($1:16)),),4,1)="N",OFFSET(TH!I$1,SMALL(Dong12,ROWS($1:16)),),0))</f>
        <v>0</v>
      </c>
      <c r="H29" s="682">
        <f ca="1">IF(ROWS($1:16)&gt;COUNT(Dong12),0,IF(MID(OFFSET(TH!D$1,SMALL(Dong12,ROWS($1:16)),),4,1)="X",OFFSET(TH!I$1,SMALL(Dong12,ROWS($1:16)),),0))</f>
        <v>0</v>
      </c>
      <c r="I29" s="683">
        <f t="shared" ca="1" si="1"/>
        <v>0</v>
      </c>
      <c r="J29" s="684"/>
      <c r="K29" s="685"/>
    </row>
    <row r="30" spans="1:11" ht="16.5" customHeight="1">
      <c r="A30" s="686" t="str">
        <f t="shared" ca="1" si="2"/>
        <v/>
      </c>
      <c r="B30" s="680" t="str">
        <f ca="1">IF(ROWS($1:17)&gt;COUNT(Dong12),"",OFFSET(TH!E$1,SMALL(Dong12,ROWS($1:17)),))</f>
        <v/>
      </c>
      <c r="C30" s="871" t="str">
        <f ca="1">IF(ROWS($1:17)&gt;COUNT(Dong12),"",IF(MID(OFFSET(TH!D$1,SMALL(Dong12,ROWS($1:17)),),4,1)="N",OFFSET(TH!D$1,SMALL(Dong12,ROWS($1:17)),),""))</f>
        <v/>
      </c>
      <c r="D30" s="680" t="str">
        <f ca="1">IF(ROWS($1:17)&gt;COUNT(Dong12),"",IF(MID(OFFSET(TH!D$1,SMALL(Dong12,ROWS($1:17)),),4,1)="X",OFFSET(TH!D$1,SMALL(Dong12,ROWS($1:17)),),""))</f>
        <v/>
      </c>
      <c r="E30" s="681" t="str">
        <f ca="1">IF(ROWS($1:17)&gt;COUNT(Dong12),"",OFFSET(TH!F$1,SMALL(Dong12,ROWS($1:17)),)&amp;" - "&amp;OFFSET(TH!H$1,SMALL(Dong12,ROWS($1:17)),))</f>
        <v/>
      </c>
      <c r="F30" s="680" t="str">
        <f t="shared" ca="1" si="0"/>
        <v/>
      </c>
      <c r="G30" s="682">
        <f ca="1">IF(ROWS($1:17)&gt;COUNT(Dong12),0,IF(MID(OFFSET(TH!D$1,SMALL(Dong12,ROWS($1:17)),),4,1)="N",OFFSET(TH!I$1,SMALL(Dong12,ROWS($1:17)),),0))</f>
        <v>0</v>
      </c>
      <c r="H30" s="682">
        <f ca="1">IF(ROWS($1:17)&gt;COUNT(Dong12),0,IF(MID(OFFSET(TH!D$1,SMALL(Dong12,ROWS($1:17)),),4,1)="X",OFFSET(TH!I$1,SMALL(Dong12,ROWS($1:17)),),0))</f>
        <v>0</v>
      </c>
      <c r="I30" s="683">
        <f t="shared" ca="1" si="1"/>
        <v>0</v>
      </c>
      <c r="J30" s="684"/>
      <c r="K30" s="685"/>
    </row>
    <row r="31" spans="1:11" ht="16.5" customHeight="1">
      <c r="A31" s="687" t="str">
        <f>IF(D31&lt;&gt;"",A21+1,"")</f>
        <v/>
      </c>
      <c r="B31" s="688"/>
      <c r="C31" s="689"/>
      <c r="D31" s="689"/>
      <c r="E31" s="690"/>
      <c r="F31" s="688"/>
      <c r="G31" s="691"/>
      <c r="H31" s="691"/>
      <c r="I31" s="691"/>
      <c r="J31" s="692"/>
      <c r="K31" s="685"/>
    </row>
    <row r="32" spans="1:11" ht="16.5" customHeight="1">
      <c r="A32" s="674"/>
      <c r="B32" s="693"/>
      <c r="C32" s="674"/>
      <c r="D32" s="674"/>
      <c r="E32" s="675" t="s">
        <v>505</v>
      </c>
      <c r="F32" s="694" t="s">
        <v>21</v>
      </c>
      <c r="G32" s="695">
        <f ca="1">SUM(G14:G31)</f>
        <v>4000</v>
      </c>
      <c r="H32" s="695">
        <f ca="1">SUM(H14:H31)</f>
        <v>450</v>
      </c>
      <c r="I32" s="695">
        <f ca="1">I13+G32-H32</f>
        <v>3850</v>
      </c>
      <c r="J32" s="674" t="s">
        <v>21</v>
      </c>
      <c r="K32" s="696"/>
    </row>
    <row r="33" spans="1:11" ht="12.75" customHeight="1">
      <c r="A33" s="697"/>
      <c r="B33" s="651"/>
      <c r="C33" s="697"/>
      <c r="D33" s="697"/>
      <c r="E33" s="659"/>
      <c r="F33" s="651"/>
      <c r="G33" s="660"/>
      <c r="H33" s="660"/>
      <c r="I33" s="660"/>
      <c r="J33" s="646"/>
      <c r="K33" s="646"/>
    </row>
    <row r="34" spans="1:11" ht="15">
      <c r="A34" s="698" t="s">
        <v>506</v>
      </c>
      <c r="B34" s="698"/>
      <c r="C34" s="699"/>
      <c r="D34" s="699"/>
      <c r="E34" s="659"/>
      <c r="F34" s="651"/>
      <c r="G34" s="660"/>
      <c r="H34" s="660"/>
      <c r="I34" s="660"/>
      <c r="J34" s="646"/>
      <c r="K34" s="646"/>
    </row>
    <row r="35" spans="1:11" ht="15">
      <c r="A35" s="1376"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77"/>
      <c r="C35" s="1377"/>
      <c r="D35" s="1377"/>
      <c r="E35" s="1377"/>
      <c r="F35" s="651"/>
      <c r="G35" s="660"/>
      <c r="H35" s="660"/>
      <c r="I35" s="660"/>
      <c r="J35" s="646"/>
      <c r="K35" s="646"/>
    </row>
    <row r="36" spans="1:11" ht="15">
      <c r="A36" s="700"/>
      <c r="B36" s="701"/>
      <c r="C36" s="702"/>
      <c r="D36" s="697"/>
      <c r="E36" s="659"/>
      <c r="F36" s="651"/>
      <c r="H36" s="546"/>
      <c r="I36" s="1104" t="s">
        <v>460</v>
      </c>
      <c r="J36" s="546"/>
      <c r="K36" s="547"/>
    </row>
    <row r="37" spans="1:11" ht="15" customHeight="1">
      <c r="A37" s="700"/>
      <c r="C37" s="703" t="s">
        <v>507</v>
      </c>
      <c r="D37" s="697"/>
      <c r="E37" s="1378" t="s">
        <v>12</v>
      </c>
      <c r="F37" s="1378"/>
      <c r="G37" s="660"/>
      <c r="I37" s="1142" t="s">
        <v>131</v>
      </c>
      <c r="J37" s="649"/>
      <c r="K37" s="700"/>
    </row>
    <row r="38" spans="1:11" ht="15" customHeight="1">
      <c r="A38" s="704"/>
      <c r="C38" s="705" t="s">
        <v>13</v>
      </c>
      <c r="D38" s="706"/>
      <c r="E38" s="1372" t="s">
        <v>13</v>
      </c>
      <c r="F38" s="1372"/>
      <c r="G38" s="660"/>
      <c r="I38" s="1143" t="s">
        <v>161</v>
      </c>
      <c r="J38" s="1141"/>
      <c r="K38" s="704"/>
    </row>
    <row r="39" spans="1:11" ht="15">
      <c r="A39" s="704"/>
      <c r="C39" s="705"/>
      <c r="D39" s="697"/>
      <c r="E39" s="707"/>
      <c r="F39" s="708"/>
      <c r="G39" s="660"/>
      <c r="H39" s="704"/>
      <c r="I39" s="704"/>
      <c r="J39" s="704"/>
      <c r="K39" s="704"/>
    </row>
    <row r="40" spans="1:11" ht="15">
      <c r="A40" s="704"/>
      <c r="B40" s="705"/>
      <c r="C40" s="704"/>
      <c r="D40" s="697"/>
      <c r="E40" s="707"/>
      <c r="F40" s="708"/>
      <c r="G40" s="660"/>
      <c r="H40" s="704"/>
      <c r="I40" s="704"/>
      <c r="J40" s="704"/>
      <c r="K40" s="704"/>
    </row>
    <row r="41" spans="1:11" ht="15">
      <c r="A41" s="704"/>
      <c r="B41" s="705"/>
      <c r="C41" s="704"/>
      <c r="D41" s="697"/>
      <c r="E41" s="707"/>
      <c r="F41" s="708"/>
      <c r="G41" s="660"/>
      <c r="H41" s="704"/>
      <c r="I41" s="704"/>
      <c r="J41" s="704"/>
      <c r="K41" s="704"/>
    </row>
    <row r="46" spans="1:11" ht="15">
      <c r="C46" s="1144" t="s">
        <v>1342</v>
      </c>
      <c r="H46" s="1140"/>
      <c r="I46" s="1139" t="s">
        <v>125</v>
      </c>
      <c r="J46" s="1140"/>
    </row>
  </sheetData>
  <mergeCells count="11">
    <mergeCell ref="E38:F38"/>
    <mergeCell ref="G10:I10"/>
    <mergeCell ref="J10:J11"/>
    <mergeCell ref="A35:E35"/>
    <mergeCell ref="E37:F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4"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84" t="s">
        <v>508</v>
      </c>
      <c r="B1" s="1384"/>
      <c r="C1" s="1384"/>
      <c r="D1" s="1384"/>
      <c r="E1" s="1384"/>
      <c r="F1" s="1384"/>
      <c r="G1" s="1384"/>
      <c r="H1" s="1384"/>
      <c r="I1" s="1384"/>
      <c r="J1" s="1385" t="s">
        <v>509</v>
      </c>
      <c r="K1" s="1386"/>
      <c r="L1" s="713"/>
      <c r="M1" s="713"/>
      <c r="N1" s="714"/>
    </row>
    <row r="2" spans="1:14" ht="15.75">
      <c r="A2" s="1384"/>
      <c r="B2" s="1384"/>
      <c r="C2" s="1384"/>
      <c r="D2" s="1384"/>
      <c r="E2" s="1384"/>
      <c r="F2" s="1384"/>
      <c r="G2" s="1384"/>
      <c r="H2" s="1384"/>
      <c r="I2" s="1384"/>
      <c r="J2" s="1387"/>
      <c r="K2" s="1388"/>
      <c r="L2" s="713"/>
      <c r="M2" s="713"/>
      <c r="N2" s="714"/>
    </row>
    <row r="3" spans="1:14" ht="15.75">
      <c r="A3" s="1384"/>
      <c r="B3" s="1384"/>
      <c r="C3" s="1384"/>
      <c r="D3" s="1384"/>
      <c r="E3" s="1384"/>
      <c r="F3" s="1384"/>
      <c r="G3" s="1384"/>
      <c r="H3" s="1384"/>
      <c r="I3" s="1384"/>
      <c r="J3" s="1387"/>
      <c r="K3" s="1388"/>
      <c r="L3" s="713"/>
      <c r="M3" s="713"/>
      <c r="N3" s="714"/>
    </row>
    <row r="4" spans="1:14" ht="16.5">
      <c r="A4" s="1391" t="str">
        <f>"( " &amp; IF(OR($M$11=1,$M$11=4,$M$11=6,$M$11=9,$M$11=11),"Ngày  30  tháng  "&amp;$M$11&amp;"  năm 2016",IF(OR($M$11=3,$M$11=5,$M$11=7,$M$11=8,$M$11=10,$M$11=12),"Ngày  31  tháng  "&amp;$M$11&amp;"  năm 2016","Ngày  29  tháng  "&amp;$M$11&amp;"  năm 2016")) &amp; " ) "</f>
        <v xml:space="preserve">( Ngày  29  tháng  2  năm 2016 ) </v>
      </c>
      <c r="B4" s="1391"/>
      <c r="C4" s="1391"/>
      <c r="D4" s="1391"/>
      <c r="E4" s="1391"/>
      <c r="F4" s="1391"/>
      <c r="G4" s="1391"/>
      <c r="H4" s="1391"/>
      <c r="I4" s="1391"/>
      <c r="J4" s="1389"/>
      <c r="K4" s="1390"/>
      <c r="L4" s="713"/>
      <c r="M4" s="713"/>
      <c r="N4" s="714"/>
    </row>
    <row r="5" spans="1:14" ht="20.25">
      <c r="A5" s="715"/>
      <c r="B5" s="713"/>
      <c r="C5" s="713"/>
      <c r="D5" s="713"/>
      <c r="E5" s="1157"/>
      <c r="F5" s="716"/>
      <c r="G5" s="713"/>
      <c r="H5" s="717"/>
      <c r="I5" s="717"/>
      <c r="J5" s="713"/>
      <c r="K5" s="713"/>
      <c r="L5" s="713"/>
      <c r="M5" s="714"/>
      <c r="N5" s="714"/>
    </row>
    <row r="6" spans="1:14" ht="15.75">
      <c r="A6" s="715" t="s">
        <v>510</v>
      </c>
      <c r="B6" s="713"/>
      <c r="C6" s="713"/>
      <c r="D6" s="713"/>
      <c r="E6" s="1158"/>
      <c r="F6" s="713"/>
      <c r="G6" s="713" t="s">
        <v>511</v>
      </c>
      <c r="H6" s="717"/>
      <c r="I6" s="717"/>
      <c r="J6" s="713"/>
      <c r="K6" s="713"/>
      <c r="L6" s="713"/>
      <c r="M6" s="714"/>
      <c r="N6" s="714"/>
    </row>
    <row r="7" spans="1:14" ht="15.75">
      <c r="A7" s="715" t="s">
        <v>512</v>
      </c>
      <c r="B7" s="713"/>
      <c r="C7" s="713"/>
      <c r="D7" s="713"/>
      <c r="E7" s="1158"/>
      <c r="F7" s="713"/>
      <c r="G7" s="713"/>
      <c r="H7" s="717"/>
      <c r="I7" s="717"/>
      <c r="J7" s="713"/>
      <c r="K7" s="713"/>
      <c r="L7" s="713"/>
      <c r="M7" s="714"/>
      <c r="N7" s="714"/>
    </row>
    <row r="8" spans="1:14" ht="15.75">
      <c r="A8" s="715" t="s">
        <v>513</v>
      </c>
      <c r="B8" s="713"/>
      <c r="C8" s="713"/>
      <c r="D8" s="713"/>
      <c r="E8" s="1158"/>
      <c r="F8" s="713"/>
      <c r="G8" s="713"/>
      <c r="H8" s="717"/>
      <c r="I8" s="717"/>
      <c r="J8" s="713"/>
      <c r="K8" s="713"/>
      <c r="L8" s="713"/>
      <c r="M8" s="714"/>
      <c r="N8" s="714"/>
    </row>
    <row r="9" spans="1:14" ht="15.75">
      <c r="A9" s="715" t="s">
        <v>514</v>
      </c>
      <c r="B9" s="713"/>
      <c r="C9" s="713"/>
      <c r="D9" s="713"/>
      <c r="E9" s="1158"/>
      <c r="F9" s="713"/>
      <c r="G9" s="713"/>
      <c r="H9" s="717"/>
      <c r="I9" s="717"/>
      <c r="J9" s="713"/>
      <c r="K9" s="713"/>
      <c r="L9" s="713"/>
      <c r="M9" s="714"/>
      <c r="N9" s="714"/>
    </row>
    <row r="10" spans="1:14" ht="16.5" thickBot="1">
      <c r="A10" s="715"/>
      <c r="B10" s="713"/>
      <c r="C10" s="713"/>
      <c r="D10" s="713"/>
      <c r="E10" s="1158"/>
      <c r="F10" s="713"/>
      <c r="G10" s="713"/>
      <c r="H10" s="717"/>
      <c r="I10" s="717"/>
      <c r="J10" s="713"/>
      <c r="K10" s="713"/>
      <c r="L10" s="713"/>
      <c r="M10" s="718"/>
      <c r="N10" s="714"/>
    </row>
    <row r="11" spans="1:14" ht="15.75" thickBot="1">
      <c r="A11" s="1392" t="s">
        <v>582</v>
      </c>
      <c r="B11" s="1394" t="s">
        <v>515</v>
      </c>
      <c r="C11" s="1395"/>
      <c r="D11" s="1395"/>
      <c r="E11" s="1395"/>
      <c r="F11" s="1396"/>
      <c r="G11" s="1397" t="s">
        <v>516</v>
      </c>
      <c r="H11" s="1397"/>
      <c r="I11" s="1397"/>
      <c r="J11" s="1397"/>
      <c r="K11" s="1398" t="s">
        <v>152</v>
      </c>
      <c r="L11" s="719"/>
      <c r="M11" s="1156">
        <v>2</v>
      </c>
      <c r="N11" s="721"/>
    </row>
    <row r="12" spans="1:14" ht="36" customHeight="1">
      <c r="A12" s="1393"/>
      <c r="B12" s="722" t="s">
        <v>517</v>
      </c>
      <c r="C12" s="722"/>
      <c r="D12" s="722" t="s">
        <v>518</v>
      </c>
      <c r="E12" s="722" t="s">
        <v>519</v>
      </c>
      <c r="F12" s="722" t="s">
        <v>520</v>
      </c>
      <c r="G12" s="722" t="s">
        <v>521</v>
      </c>
      <c r="H12" s="723" t="s">
        <v>471</v>
      </c>
      <c r="I12" s="723" t="s">
        <v>472</v>
      </c>
      <c r="J12" s="722" t="s">
        <v>522</v>
      </c>
      <c r="K12" s="1399"/>
      <c r="L12" s="724"/>
      <c r="M12" s="725"/>
      <c r="N12" s="725"/>
    </row>
    <row r="13" spans="1:14">
      <c r="A13" s="726" t="s">
        <v>173</v>
      </c>
      <c r="B13" s="727">
        <v>2</v>
      </c>
      <c r="C13" s="727"/>
      <c r="D13" s="727"/>
      <c r="E13" s="1159">
        <v>3</v>
      </c>
      <c r="F13" s="727">
        <v>4</v>
      </c>
      <c r="G13" s="727">
        <v>5</v>
      </c>
      <c r="H13" s="728" t="s">
        <v>523</v>
      </c>
      <c r="I13" s="728" t="s">
        <v>524</v>
      </c>
      <c r="J13" s="727">
        <v>8</v>
      </c>
      <c r="K13" s="727">
        <v>9</v>
      </c>
      <c r="L13" s="729"/>
      <c r="M13" s="729"/>
      <c r="N13" s="729"/>
    </row>
    <row r="14" spans="1:14" ht="27" customHeight="1">
      <c r="A14" s="227">
        <f ca="1">IF(ROWS($1:1)&gt;COUNT(Dong13),"",OFFSET(TH!E$1,SMALL(Dong13,ROWS($1:1)),))</f>
        <v>42417</v>
      </c>
      <c r="B14" s="230" t="str">
        <f ca="1">IF(ROWS($1:1)&gt;COUNT(Dong13),"",OFFSET(TH!H$1,SMALL(Dong13,ROWS($1:1)),))</f>
        <v>Võ Thị Bảy</v>
      </c>
      <c r="C14" s="730" t="str">
        <f ca="1">IF(ISNA(VLOOKUP($B14,DSNL,6,0)),"",VLOOKUP($B14,DSNL,6,0))</f>
        <v>Hai</v>
      </c>
      <c r="D14" s="730" t="str">
        <f ca="1">IF(ROWS($1:1)&gt;COUNT(Dong13),"",OFFSET(TH!D$1,SMALL(Dong13,ROWS($1:1)),))</f>
        <v>NL/N12</v>
      </c>
      <c r="E14" s="1160" t="str">
        <f t="shared" ref="E14:E40" ca="1" si="0">IF(ISNA(VLOOKUP($B14,DSNL,4,0)),"",VLOOKUP($B14,DSNL,4,0))</f>
        <v>Vũng Tàu</v>
      </c>
      <c r="F14" s="731">
        <f t="shared" ref="F14:F40" ca="1" si="1">IF(ISNA(VLOOKUP($B14,DSNL,3,0)),"",VLOOKUP($B14,DSNL,3,0))</f>
        <v>270106056</v>
      </c>
      <c r="G14" s="732" t="str">
        <f ca="1">IF(ROWS($1:1)&gt;COUNT(Dong13),"",OFFSET(TH!F$1,SMALL(Dong13,ROWS($1:1)),))</f>
        <v>Cá bò NL</v>
      </c>
      <c r="H14" s="733">
        <f ca="1">IF(ROWS($1:1)&gt;COUNT(Dong13),"",OFFSET(TH!I$1,SMALL(Dong13,ROWS($1:1)),))</f>
        <v>7043</v>
      </c>
      <c r="I14" s="733">
        <f ca="1">IF(ROWS($1:1)&gt;COUNT(Dong13),"",OFFSET(TH!J$1,SMALL(Dong13,ROWS($1:1)),))</f>
        <v>13200</v>
      </c>
      <c r="J14" s="734">
        <f ca="1">IF(B14&lt;&gt;"",H14*I14,0)</f>
        <v>92967600</v>
      </c>
      <c r="K14" s="734"/>
      <c r="L14" s="735"/>
      <c r="M14" s="714"/>
      <c r="N14" s="714"/>
    </row>
    <row r="15" spans="1:14" ht="27" customHeight="1">
      <c r="A15" s="227">
        <f ca="1">IF(ROWS($1:2)&gt;COUNT(Dong13),"",OFFSET(TH!E$1,SMALL(Dong13,ROWS($1:2)),))</f>
        <v>42417</v>
      </c>
      <c r="B15" s="230" t="str">
        <f ca="1">IF(ROWS($1:2)&gt;COUNT(Dong13),"",OFFSET(TH!H$1,SMALL(Dong13,ROWS($1:2)),))</f>
        <v>Nguyễn Thanh Vinh</v>
      </c>
      <c r="C15" s="730" t="str">
        <f t="shared" ref="C15:C40" ca="1" si="2">IF(ISNA(VLOOKUP($B15,DSNL,6,0)),"",VLOOKUP($B15,DSNL,6,0))</f>
        <v>Hai</v>
      </c>
      <c r="D15" s="730" t="str">
        <f ca="1">IF(ROWS($1:2)&gt;COUNT(Dong13),"",OFFSET(TH!D$1,SMALL(Dong13,ROWS($1:2)),))</f>
        <v>NL/N13</v>
      </c>
      <c r="E15" s="1160" t="str">
        <f t="shared" ca="1" si="0"/>
        <v>Vũng Tàu</v>
      </c>
      <c r="F15" s="731">
        <f t="shared" ca="1" si="1"/>
        <v>271181056</v>
      </c>
      <c r="G15" s="732" t="str">
        <f ca="1">IF(ROWS($1:2)&gt;COUNT(Dong13),"",OFFSET(TH!F$1,SMALL(Dong13,ROWS($1:2)),))</f>
        <v>Cá bò NL</v>
      </c>
      <c r="H15" s="733">
        <f ca="1">IF(ROWS($1:2)&gt;COUNT(Dong13),"",OFFSET(TH!I$1,SMALL(Dong13,ROWS($1:2)),))</f>
        <v>7150</v>
      </c>
      <c r="I15" s="733">
        <f ca="1">IF(ROWS($1:2)&gt;COUNT(Dong13),"",OFFSET(TH!J$1,SMALL(Dong13,ROWS($1:2)),))</f>
        <v>13200</v>
      </c>
      <c r="J15" s="734">
        <f t="shared" ref="J15:J40" ca="1" si="3">IF(B15&lt;&gt;"",H15*I15,0)</f>
        <v>94380000</v>
      </c>
      <c r="K15" s="736"/>
      <c r="L15" s="735"/>
      <c r="M15" s="714"/>
      <c r="N15" s="714"/>
    </row>
    <row r="16" spans="1:14" ht="27" customHeight="1">
      <c r="A16" s="227">
        <f ca="1">IF(ROWS($1:3)&gt;COUNT(Dong13),"",OFFSET(TH!E$1,SMALL(Dong13,ROWS($1:3)),))</f>
        <v>42417</v>
      </c>
      <c r="B16" s="230" t="str">
        <f ca="1">IF(ROWS($1:3)&gt;COUNT(Dong13),"",OFFSET(TH!H$1,SMALL(Dong13,ROWS($1:3)),))</f>
        <v>Hồ Thị Mỹ</v>
      </c>
      <c r="C16" s="730" t="str">
        <f t="shared" ca="1" si="2"/>
        <v>Hai</v>
      </c>
      <c r="D16" s="730" t="str">
        <f ca="1">IF(ROWS($1:3)&gt;COUNT(Dong13),"",OFFSET(TH!D$1,SMALL(Dong13,ROWS($1:3)),))</f>
        <v>NL/N14</v>
      </c>
      <c r="E16" s="1160" t="str">
        <f t="shared" ca="1" si="0"/>
        <v>Vũng Tàu</v>
      </c>
      <c r="F16" s="731">
        <f t="shared" ca="1" si="1"/>
        <v>270986506</v>
      </c>
      <c r="G16" s="732" t="str">
        <f ca="1">IF(ROWS($1:3)&gt;COUNT(Dong13),"",OFFSET(TH!F$1,SMALL(Dong13,ROWS($1:3)),))</f>
        <v>Cá bò NL</v>
      </c>
      <c r="H16" s="733">
        <f ca="1">IF(ROWS($1:3)&gt;COUNT(Dong13),"",OFFSET(TH!I$1,SMALL(Dong13,ROWS($1:3)),))</f>
        <v>6970</v>
      </c>
      <c r="I16" s="733">
        <f ca="1">IF(ROWS($1:3)&gt;COUNT(Dong13),"",OFFSET(TH!J$1,SMALL(Dong13,ROWS($1:3)),))</f>
        <v>13200</v>
      </c>
      <c r="J16" s="734">
        <f t="shared" ca="1" si="3"/>
        <v>92004000</v>
      </c>
      <c r="K16" s="736"/>
      <c r="L16" s="735"/>
      <c r="M16" s="714"/>
      <c r="N16" s="714"/>
    </row>
    <row r="17" spans="1:14" ht="27" customHeight="1">
      <c r="A17" s="227">
        <f ca="1">IF(ROWS($1:4)&gt;COUNT(Dong13),"",OFFSET(TH!E$1,SMALL(Dong13,ROWS($1:4)),))</f>
        <v>42417</v>
      </c>
      <c r="B17" s="230" t="str">
        <f ca="1">IF(ROWS($1:4)&gt;COUNT(Dong13),"",OFFSET(TH!H$1,SMALL(Dong13,ROWS($1:4)),))</f>
        <v>Đỗ Văn Tâm</v>
      </c>
      <c r="C17" s="730" t="str">
        <f t="shared" ca="1" si="2"/>
        <v>Hai</v>
      </c>
      <c r="D17" s="730" t="str">
        <f ca="1">IF(ROWS($1:4)&gt;COUNT(Dong13),"",OFFSET(TH!D$1,SMALL(Dong13,ROWS($1:4)),))</f>
        <v>NL/N15</v>
      </c>
      <c r="E17" s="1160" t="str">
        <f t="shared" ca="1" si="0"/>
        <v>Vũng Tàu</v>
      </c>
      <c r="F17" s="731">
        <f t="shared" ca="1" si="1"/>
        <v>271642418</v>
      </c>
      <c r="G17" s="732" t="str">
        <f ca="1">IF(ROWS($1:4)&gt;COUNT(Dong13),"",OFFSET(TH!F$1,SMALL(Dong13,ROWS($1:4)),))</f>
        <v>Cá bò NL</v>
      </c>
      <c r="H17" s="733">
        <f ca="1">IF(ROWS($1:4)&gt;COUNT(Dong13),"",OFFSET(TH!I$1,SMALL(Dong13,ROWS($1:4)),))</f>
        <v>7450</v>
      </c>
      <c r="I17" s="733">
        <f ca="1">IF(ROWS($1:4)&gt;COUNT(Dong13),"",OFFSET(TH!J$1,SMALL(Dong13,ROWS($1:4)),))</f>
        <v>13200</v>
      </c>
      <c r="J17" s="734">
        <f t="shared" ca="1" si="3"/>
        <v>98340000</v>
      </c>
      <c r="K17" s="736"/>
      <c r="L17" s="735"/>
      <c r="M17" s="714"/>
      <c r="N17" s="714"/>
    </row>
    <row r="18" spans="1:14" ht="27" customHeight="1">
      <c r="A18" s="227">
        <f ca="1">IF(ROWS($1:5)&gt;COUNT(Dong13),"",OFFSET(TH!E$1,SMALL(Dong13,ROWS($1:5)),))</f>
        <v>42424</v>
      </c>
      <c r="B18" s="230" t="str">
        <f ca="1">IF(ROWS($1:5)&gt;COUNT(Dong13),"",OFFSET(TH!H$1,SMALL(Dong13,ROWS($1:5)),))</f>
        <v>Nguyễn Thanh Vinh</v>
      </c>
      <c r="C18" s="730" t="str">
        <f t="shared" ca="1" si="2"/>
        <v>Hai</v>
      </c>
      <c r="D18" s="730" t="str">
        <f ca="1">IF(ROWS($1:5)&gt;COUNT(Dong13),"",OFFSET(TH!D$1,SMALL(Dong13,ROWS($1:5)),))</f>
        <v>NL/N16</v>
      </c>
      <c r="E18" s="1160" t="str">
        <f t="shared" ca="1" si="0"/>
        <v>Vũng Tàu</v>
      </c>
      <c r="F18" s="731">
        <f t="shared" ca="1" si="1"/>
        <v>271181056</v>
      </c>
      <c r="G18" s="732" t="str">
        <f ca="1">IF(ROWS($1:5)&gt;COUNT(Dong13),"",OFFSET(TH!F$1,SMALL(Dong13,ROWS($1:5)),))</f>
        <v>Cá bò NL</v>
      </c>
      <c r="H18" s="733">
        <f ca="1">IF(ROWS($1:5)&gt;COUNT(Dong13),"",OFFSET(TH!I$1,SMALL(Dong13,ROWS($1:5)),))</f>
        <v>7460</v>
      </c>
      <c r="I18" s="733">
        <f ca="1">IF(ROWS($1:5)&gt;COUNT(Dong13),"",OFFSET(TH!J$1,SMALL(Dong13,ROWS($1:5)),))</f>
        <v>13200</v>
      </c>
      <c r="J18" s="734">
        <f t="shared" ca="1" si="3"/>
        <v>98472000</v>
      </c>
      <c r="K18" s="736"/>
      <c r="L18" s="735"/>
      <c r="M18" s="714"/>
      <c r="N18" s="714"/>
    </row>
    <row r="19" spans="1:14" ht="27" customHeight="1">
      <c r="A19" s="227">
        <f ca="1">IF(ROWS($1:6)&gt;COUNT(Dong13),"",OFFSET(TH!E$1,SMALL(Dong13,ROWS($1:6)),))</f>
        <v>42424</v>
      </c>
      <c r="B19" s="230" t="str">
        <f ca="1">IF(ROWS($1:6)&gt;COUNT(Dong13),"",OFFSET(TH!H$1,SMALL(Dong13,ROWS($1:6)),))</f>
        <v>Hồ Thị Mỹ</v>
      </c>
      <c r="C19" s="730" t="str">
        <f t="shared" ca="1" si="2"/>
        <v>Hai</v>
      </c>
      <c r="D19" s="730" t="str">
        <f ca="1">IF(ROWS($1:6)&gt;COUNT(Dong13),"",OFFSET(TH!D$1,SMALL(Dong13,ROWS($1:6)),))</f>
        <v>NL/N17</v>
      </c>
      <c r="E19" s="1160" t="str">
        <f t="shared" ca="1" si="0"/>
        <v>Vũng Tàu</v>
      </c>
      <c r="F19" s="731">
        <f t="shared" ca="1" si="1"/>
        <v>270986506</v>
      </c>
      <c r="G19" s="732" t="str">
        <f ca="1">IF(ROWS($1:6)&gt;COUNT(Dong13),"",OFFSET(TH!F$1,SMALL(Dong13,ROWS($1:6)),))</f>
        <v>Cá bò NL</v>
      </c>
      <c r="H19" s="733">
        <f ca="1">IF(ROWS($1:6)&gt;COUNT(Dong13),"",OFFSET(TH!I$1,SMALL(Dong13,ROWS($1:6)),))</f>
        <v>7328</v>
      </c>
      <c r="I19" s="733">
        <f ca="1">IF(ROWS($1:6)&gt;COUNT(Dong13),"",OFFSET(TH!J$1,SMALL(Dong13,ROWS($1:6)),))</f>
        <v>13200</v>
      </c>
      <c r="J19" s="734">
        <f t="shared" ca="1" si="3"/>
        <v>96729600</v>
      </c>
      <c r="K19" s="736"/>
      <c r="L19" s="735"/>
      <c r="M19" s="714"/>
      <c r="N19" s="714"/>
    </row>
    <row r="20" spans="1:14" ht="31.5" customHeight="1">
      <c r="A20" s="227">
        <f ca="1">IF(ROWS($1:7)&gt;COUNT(Dong13),"",OFFSET(TH!E$1,SMALL(Dong13,ROWS($1:7)),))</f>
        <v>42424</v>
      </c>
      <c r="B20" s="230" t="str">
        <f ca="1">IF(ROWS($1:7)&gt;COUNT(Dong13),"",OFFSET(TH!H$1,SMALL(Dong13,ROWS($1:7)),))</f>
        <v>Phạm Thị Ngọc</v>
      </c>
      <c r="C20" s="730" t="str">
        <f t="shared" ca="1" si="2"/>
        <v>Hai</v>
      </c>
      <c r="D20" s="730" t="str">
        <f ca="1">IF(ROWS($1:7)&gt;COUNT(Dong13),"",OFFSET(TH!D$1,SMALL(Dong13,ROWS($1:7)),))</f>
        <v>NL/N18</v>
      </c>
      <c r="E20" s="1160" t="str">
        <f t="shared" ca="1" si="0"/>
        <v>62 Đinh Tiên Hoàng, P2, Bà Rịa Vũng Tàu</v>
      </c>
      <c r="F20" s="731">
        <f t="shared" ca="1" si="1"/>
        <v>273042454</v>
      </c>
      <c r="G20" s="732" t="str">
        <f ca="1">IF(ROWS($1:7)&gt;COUNT(Dong13),"",OFFSET(TH!F$1,SMALL(Dong13,ROWS($1:7)),))</f>
        <v>Cá bò NL</v>
      </c>
      <c r="H20" s="733">
        <f ca="1">IF(ROWS($1:7)&gt;COUNT(Dong13),"",OFFSET(TH!I$1,SMALL(Dong13,ROWS($1:7)),))</f>
        <v>6099</v>
      </c>
      <c r="I20" s="733">
        <f ca="1">IF(ROWS($1:7)&gt;COUNT(Dong13),"",OFFSET(TH!J$1,SMALL(Dong13,ROWS($1:7)),))</f>
        <v>13200</v>
      </c>
      <c r="J20" s="734">
        <f t="shared" ca="1" si="3"/>
        <v>80506800</v>
      </c>
      <c r="K20" s="736"/>
      <c r="L20" s="735"/>
      <c r="M20" s="714"/>
      <c r="N20" s="714"/>
    </row>
    <row r="21" spans="1:14" ht="27" customHeight="1">
      <c r="A21" s="227" t="str">
        <f ca="1">IF(ROWS($1:8)&gt;COUNT(Dong13),"",OFFSET(TH!E$1,SMALL(Dong13,ROWS($1:8)),))</f>
        <v/>
      </c>
      <c r="B21" s="230" t="str">
        <f ca="1">IF(ROWS($1:8)&gt;COUNT(Dong13),"",OFFSET(TH!H$1,SMALL(Dong13,ROWS($1:8)),))</f>
        <v/>
      </c>
      <c r="C21" s="730" t="str">
        <f t="shared" ca="1" si="2"/>
        <v/>
      </c>
      <c r="D21" s="730" t="str">
        <f ca="1">IF(ROWS($1:8)&gt;COUNT(Dong13),"",OFFSET(TH!D$1,SMALL(Dong13,ROWS($1:8)),))</f>
        <v/>
      </c>
      <c r="E21" s="1160" t="str">
        <f t="shared" ca="1" si="0"/>
        <v/>
      </c>
      <c r="F21" s="731" t="str">
        <f t="shared" ca="1" si="1"/>
        <v/>
      </c>
      <c r="G21" s="732" t="str">
        <f ca="1">IF(ROWS($1:8)&gt;COUNT(Dong13),"",OFFSET(TH!F$1,SMALL(Dong13,ROWS($1:8)),))</f>
        <v/>
      </c>
      <c r="H21" s="733" t="str">
        <f ca="1">IF(ROWS($1:8)&gt;COUNT(Dong13),"",OFFSET(TH!I$1,SMALL(Dong13,ROWS($1:8)),))</f>
        <v/>
      </c>
      <c r="I21" s="733" t="str">
        <f ca="1">IF(ROWS($1:8)&gt;COUNT(Dong13),"",OFFSET(TH!J$1,SMALL(Dong13,ROWS($1:8)),))</f>
        <v/>
      </c>
      <c r="J21" s="734">
        <f t="shared" ca="1" si="3"/>
        <v>0</v>
      </c>
      <c r="K21" s="736"/>
      <c r="L21" s="735"/>
      <c r="M21" s="714"/>
      <c r="N21" s="714"/>
    </row>
    <row r="22" spans="1:14" ht="27" customHeight="1">
      <c r="A22" s="227" t="str">
        <f ca="1">IF(ROWS($1:9)&gt;COUNT(Dong13),"",OFFSET(TH!E$1,SMALL(Dong13,ROWS($1:9)),))</f>
        <v/>
      </c>
      <c r="B22" s="230" t="str">
        <f ca="1">IF(ROWS($1:9)&gt;COUNT(Dong13),"",OFFSET(TH!H$1,SMALL(Dong13,ROWS($1:9)),))</f>
        <v/>
      </c>
      <c r="C22" s="730" t="str">
        <f t="shared" ca="1" si="2"/>
        <v/>
      </c>
      <c r="D22" s="730" t="str">
        <f ca="1">IF(ROWS($1:9)&gt;COUNT(Dong13),"",OFFSET(TH!D$1,SMALL(Dong13,ROWS($1:9)),))</f>
        <v/>
      </c>
      <c r="E22" s="1160" t="str">
        <f t="shared" ca="1" si="0"/>
        <v/>
      </c>
      <c r="F22" s="731" t="str">
        <f t="shared" ca="1" si="1"/>
        <v/>
      </c>
      <c r="G22" s="732" t="str">
        <f ca="1">IF(ROWS($1:9)&gt;COUNT(Dong13),"",OFFSET(TH!F$1,SMALL(Dong13,ROWS($1:9)),))</f>
        <v/>
      </c>
      <c r="H22" s="733" t="str">
        <f ca="1">IF(ROWS($1:9)&gt;COUNT(Dong13),"",OFFSET(TH!I$1,SMALL(Dong13,ROWS($1:9)),))</f>
        <v/>
      </c>
      <c r="I22" s="733" t="str">
        <f ca="1">IF(ROWS($1:9)&gt;COUNT(Dong13),"",OFFSET(TH!J$1,SMALL(Dong13,ROWS($1:9)),))</f>
        <v/>
      </c>
      <c r="J22" s="734">
        <f t="shared" ca="1" si="3"/>
        <v>0</v>
      </c>
      <c r="K22" s="736"/>
      <c r="L22" s="735"/>
      <c r="M22" s="714"/>
      <c r="N22" s="714"/>
    </row>
    <row r="23" spans="1:14" ht="27" customHeight="1">
      <c r="A23" s="227" t="str">
        <f ca="1">IF(ROWS($1:10)&gt;COUNT(Dong13),"",OFFSET(TH!E$1,SMALL(Dong13,ROWS($1:10)),))</f>
        <v/>
      </c>
      <c r="B23" s="230" t="str">
        <f ca="1">IF(ROWS($1:10)&gt;COUNT(Dong13),"",OFFSET(TH!H$1,SMALL(Dong13,ROWS($1:10)),))</f>
        <v/>
      </c>
      <c r="C23" s="730" t="str">
        <f t="shared" ca="1" si="2"/>
        <v/>
      </c>
      <c r="D23" s="730" t="str">
        <f ca="1">IF(ROWS($1:10)&gt;COUNT(Dong13),"",OFFSET(TH!D$1,SMALL(Dong13,ROWS($1:10)),))</f>
        <v/>
      </c>
      <c r="E23" s="1160" t="str">
        <f t="shared" ca="1" si="0"/>
        <v/>
      </c>
      <c r="F23" s="731" t="str">
        <f t="shared" ca="1" si="1"/>
        <v/>
      </c>
      <c r="G23" s="732" t="str">
        <f ca="1">IF(ROWS($1:10)&gt;COUNT(Dong13),"",OFFSET(TH!F$1,SMALL(Dong13,ROWS($1:10)),))</f>
        <v/>
      </c>
      <c r="H23" s="733" t="str">
        <f ca="1">IF(ROWS($1:10)&gt;COUNT(Dong13),"",OFFSET(TH!I$1,SMALL(Dong13,ROWS($1:10)),))</f>
        <v/>
      </c>
      <c r="I23" s="733" t="str">
        <f ca="1">IF(ROWS($1:10)&gt;COUNT(Dong13),"",OFFSET(TH!J$1,SMALL(Dong13,ROWS($1:10)),))</f>
        <v/>
      </c>
      <c r="J23" s="734">
        <f t="shared" ca="1" si="3"/>
        <v>0</v>
      </c>
      <c r="K23" s="736"/>
      <c r="L23" s="735"/>
      <c r="M23" s="714"/>
      <c r="N23" s="714"/>
    </row>
    <row r="24" spans="1:14" ht="27" customHeight="1">
      <c r="A24" s="227" t="str">
        <f ca="1">IF(ROWS($1:11)&gt;COUNT(Dong13),"",OFFSET(TH!E$1,SMALL(Dong13,ROWS($1:11)),))</f>
        <v/>
      </c>
      <c r="B24" s="230" t="str">
        <f ca="1">IF(ROWS($1:11)&gt;COUNT(Dong13),"",OFFSET(TH!H$1,SMALL(Dong13,ROWS($1:11)),))</f>
        <v/>
      </c>
      <c r="C24" s="730" t="str">
        <f t="shared" ca="1" si="2"/>
        <v/>
      </c>
      <c r="D24" s="730" t="str">
        <f ca="1">IF(ROWS($1:11)&gt;COUNT(Dong13),"",OFFSET(TH!D$1,SMALL(Dong13,ROWS($1:11)),))</f>
        <v/>
      </c>
      <c r="E24" s="1160" t="str">
        <f t="shared" ca="1" si="0"/>
        <v/>
      </c>
      <c r="F24" s="731" t="str">
        <f t="shared" ca="1" si="1"/>
        <v/>
      </c>
      <c r="G24" s="732" t="str">
        <f ca="1">IF(ROWS($1:11)&gt;COUNT(Dong13),"",OFFSET(TH!F$1,SMALL(Dong13,ROWS($1:11)),))</f>
        <v/>
      </c>
      <c r="H24" s="733" t="str">
        <f ca="1">IF(ROWS($1:11)&gt;COUNT(Dong13),"",OFFSET(TH!I$1,SMALL(Dong13,ROWS($1:11)),))</f>
        <v/>
      </c>
      <c r="I24" s="733" t="str">
        <f ca="1">IF(ROWS($1:11)&gt;COUNT(Dong13),"",OFFSET(TH!J$1,SMALL(Dong13,ROWS($1:11)),))</f>
        <v/>
      </c>
      <c r="J24" s="734">
        <f t="shared" ca="1" si="3"/>
        <v>0</v>
      </c>
      <c r="K24" s="736"/>
      <c r="L24" s="735"/>
      <c r="M24" s="714"/>
      <c r="N24" s="714"/>
    </row>
    <row r="25" spans="1:14" ht="27" customHeight="1">
      <c r="A25" s="227" t="str">
        <f ca="1">IF(ROWS($1:12)&gt;COUNT(Dong13),"",OFFSET(TH!E$1,SMALL(Dong13,ROWS($1:12)),))</f>
        <v/>
      </c>
      <c r="B25" s="230" t="str">
        <f ca="1">IF(ROWS($1:12)&gt;COUNT(Dong13),"",OFFSET(TH!H$1,SMALL(Dong13,ROWS($1:12)),))</f>
        <v/>
      </c>
      <c r="C25" s="730" t="str">
        <f t="shared" ca="1" si="2"/>
        <v/>
      </c>
      <c r="D25" s="730" t="str">
        <f ca="1">IF(ROWS($1:12)&gt;COUNT(Dong13),"",OFFSET(TH!D$1,SMALL(Dong13,ROWS($1:12)),))</f>
        <v/>
      </c>
      <c r="E25" s="1160" t="str">
        <f t="shared" ca="1" si="0"/>
        <v/>
      </c>
      <c r="F25" s="731" t="str">
        <f t="shared" ca="1" si="1"/>
        <v/>
      </c>
      <c r="G25" s="732" t="str">
        <f ca="1">IF(ROWS($1:12)&gt;COUNT(Dong13),"",OFFSET(TH!F$1,SMALL(Dong13,ROWS($1:12)),))</f>
        <v/>
      </c>
      <c r="H25" s="733" t="str">
        <f ca="1">IF(ROWS($1:12)&gt;COUNT(Dong13),"",OFFSET(TH!I$1,SMALL(Dong13,ROWS($1:12)),))</f>
        <v/>
      </c>
      <c r="I25" s="733" t="str">
        <f ca="1">IF(ROWS($1:12)&gt;COUNT(Dong13),"",OFFSET(TH!J$1,SMALL(Dong13,ROWS($1:12)),))</f>
        <v/>
      </c>
      <c r="J25" s="734">
        <f t="shared" ca="1" si="3"/>
        <v>0</v>
      </c>
      <c r="K25" s="736"/>
      <c r="L25" s="735"/>
      <c r="M25" s="714"/>
      <c r="N25" s="714"/>
    </row>
    <row r="26" spans="1:14" ht="27" customHeight="1">
      <c r="A26" s="227" t="str">
        <f ca="1">IF(ROWS($1:13)&gt;COUNT(Dong13),"",OFFSET(TH!E$1,SMALL(Dong13,ROWS($1:13)),))</f>
        <v/>
      </c>
      <c r="B26" s="230" t="str">
        <f ca="1">IF(ROWS($1:13)&gt;COUNT(Dong13),"",OFFSET(TH!H$1,SMALL(Dong13,ROWS($1:13)),))</f>
        <v/>
      </c>
      <c r="C26" s="730" t="str">
        <f t="shared" ca="1" si="2"/>
        <v/>
      </c>
      <c r="D26" s="730" t="str">
        <f ca="1">IF(ROWS($1:13)&gt;COUNT(Dong13),"",OFFSET(TH!D$1,SMALL(Dong13,ROWS($1:13)),))</f>
        <v/>
      </c>
      <c r="E26" s="1160" t="str">
        <f t="shared" ca="1" si="0"/>
        <v/>
      </c>
      <c r="F26" s="731" t="str">
        <f t="shared" ca="1" si="1"/>
        <v/>
      </c>
      <c r="G26" s="732" t="str">
        <f ca="1">IF(ROWS($1:13)&gt;COUNT(Dong13),"",OFFSET(TH!F$1,SMALL(Dong13,ROWS($1:13)),))</f>
        <v/>
      </c>
      <c r="H26" s="733" t="str">
        <f ca="1">IF(ROWS($1:13)&gt;COUNT(Dong13),"",OFFSET(TH!I$1,SMALL(Dong13,ROWS($1:13)),))</f>
        <v/>
      </c>
      <c r="I26" s="733" t="str">
        <f ca="1">IF(ROWS($1:13)&gt;COUNT(Dong13),"",OFFSET(TH!J$1,SMALL(Dong13,ROWS($1:13)),))</f>
        <v/>
      </c>
      <c r="J26" s="734">
        <f t="shared" ca="1" si="3"/>
        <v>0</v>
      </c>
      <c r="K26" s="736"/>
      <c r="L26" s="735"/>
      <c r="M26" s="714"/>
      <c r="N26" s="714"/>
    </row>
    <row r="27" spans="1:14" ht="27" customHeight="1">
      <c r="A27" s="227" t="str">
        <f ca="1">IF(ROWS($1:14)&gt;COUNT(Dong13),"",OFFSET(TH!E$1,SMALL(Dong13,ROWS($1:14)),))</f>
        <v/>
      </c>
      <c r="B27" s="230" t="str">
        <f ca="1">IF(ROWS($1:14)&gt;COUNT(Dong13),"",OFFSET(TH!H$1,SMALL(Dong13,ROWS($1:14)),))</f>
        <v/>
      </c>
      <c r="C27" s="730" t="str">
        <f t="shared" ca="1" si="2"/>
        <v/>
      </c>
      <c r="D27" s="730" t="str">
        <f ca="1">IF(ROWS($1:14)&gt;COUNT(Dong13),"",OFFSET(TH!D$1,SMALL(Dong13,ROWS($1:14)),))</f>
        <v/>
      </c>
      <c r="E27" s="1160" t="str">
        <f t="shared" ca="1" si="0"/>
        <v/>
      </c>
      <c r="F27" s="731" t="str">
        <f t="shared" ca="1" si="1"/>
        <v/>
      </c>
      <c r="G27" s="732" t="str">
        <f ca="1">IF(ROWS($1:14)&gt;COUNT(Dong13),"",OFFSET(TH!F$1,SMALL(Dong13,ROWS($1:14)),))</f>
        <v/>
      </c>
      <c r="H27" s="733" t="str">
        <f ca="1">IF(ROWS($1:14)&gt;COUNT(Dong13),"",OFFSET(TH!I$1,SMALL(Dong13,ROWS($1:14)),))</f>
        <v/>
      </c>
      <c r="I27" s="733" t="str">
        <f ca="1">IF(ROWS($1:14)&gt;COUNT(Dong13),"",OFFSET(TH!J$1,SMALL(Dong13,ROWS($1:14)),))</f>
        <v/>
      </c>
      <c r="J27" s="734">
        <f t="shared" ca="1" si="3"/>
        <v>0</v>
      </c>
      <c r="K27" s="736"/>
      <c r="L27" s="735"/>
      <c r="M27" s="714"/>
      <c r="N27" s="714"/>
    </row>
    <row r="28" spans="1:14" ht="27" customHeight="1">
      <c r="A28" s="227" t="str">
        <f ca="1">IF(ROWS($1:15)&gt;COUNT(Dong13),"",OFFSET(TH!E$1,SMALL(Dong13,ROWS($1:15)),))</f>
        <v/>
      </c>
      <c r="B28" s="230" t="str">
        <f ca="1">IF(ROWS($1:15)&gt;COUNT(Dong13),"",OFFSET(TH!H$1,SMALL(Dong13,ROWS($1:15)),))</f>
        <v/>
      </c>
      <c r="C28" s="730" t="str">
        <f t="shared" ca="1" si="2"/>
        <v/>
      </c>
      <c r="D28" s="730" t="str">
        <f ca="1">IF(ROWS($1:15)&gt;COUNT(Dong13),"",OFFSET(TH!D$1,SMALL(Dong13,ROWS($1:15)),))</f>
        <v/>
      </c>
      <c r="E28" s="1160" t="str">
        <f t="shared" ca="1" si="0"/>
        <v/>
      </c>
      <c r="F28" s="731" t="str">
        <f t="shared" ca="1" si="1"/>
        <v/>
      </c>
      <c r="G28" s="732" t="str">
        <f ca="1">IF(ROWS($1:15)&gt;COUNT(Dong13),"",OFFSET(TH!F$1,SMALL(Dong13,ROWS($1:15)),))</f>
        <v/>
      </c>
      <c r="H28" s="733" t="str">
        <f ca="1">IF(ROWS($1:15)&gt;COUNT(Dong13),"",OFFSET(TH!I$1,SMALL(Dong13,ROWS($1:15)),))</f>
        <v/>
      </c>
      <c r="I28" s="733" t="str">
        <f ca="1">IF(ROWS($1:15)&gt;COUNT(Dong13),"",OFFSET(TH!J$1,SMALL(Dong13,ROWS($1:15)),))</f>
        <v/>
      </c>
      <c r="J28" s="734">
        <f t="shared" ca="1" si="3"/>
        <v>0</v>
      </c>
      <c r="K28" s="736"/>
      <c r="L28" s="735"/>
      <c r="M28" s="714"/>
      <c r="N28" s="714"/>
    </row>
    <row r="29" spans="1:14" ht="27" customHeight="1">
      <c r="A29" s="227" t="str">
        <f ca="1">IF(ROWS($1:16)&gt;COUNT(Dong13),"",OFFSET(TH!E$1,SMALL(Dong13,ROWS($1:16)),))</f>
        <v/>
      </c>
      <c r="B29" s="230" t="str">
        <f ca="1">IF(ROWS($1:16)&gt;COUNT(Dong13),"",OFFSET(TH!H$1,SMALL(Dong13,ROWS($1:16)),))</f>
        <v/>
      </c>
      <c r="C29" s="730" t="str">
        <f t="shared" ca="1" si="2"/>
        <v/>
      </c>
      <c r="D29" s="730" t="str">
        <f ca="1">IF(ROWS($1:16)&gt;COUNT(Dong13),"",OFFSET(TH!D$1,SMALL(Dong13,ROWS($1:16)),))</f>
        <v/>
      </c>
      <c r="E29" s="1160" t="str">
        <f t="shared" ca="1" si="0"/>
        <v/>
      </c>
      <c r="F29" s="731" t="str">
        <f t="shared" ca="1" si="1"/>
        <v/>
      </c>
      <c r="G29" s="732" t="str">
        <f ca="1">IF(ROWS($1:16)&gt;COUNT(Dong13),"",OFFSET(TH!F$1,SMALL(Dong13,ROWS($1:16)),))</f>
        <v/>
      </c>
      <c r="H29" s="733" t="str">
        <f ca="1">IF(ROWS($1:16)&gt;COUNT(Dong13),"",OFFSET(TH!I$1,SMALL(Dong13,ROWS($1:16)),))</f>
        <v/>
      </c>
      <c r="I29" s="733" t="str">
        <f ca="1">IF(ROWS($1:16)&gt;COUNT(Dong13),"",OFFSET(TH!J$1,SMALL(Dong13,ROWS($1:16)),))</f>
        <v/>
      </c>
      <c r="J29" s="734">
        <f t="shared" ca="1" si="3"/>
        <v>0</v>
      </c>
      <c r="K29" s="736"/>
      <c r="L29" s="735"/>
      <c r="M29" s="714"/>
      <c r="N29" s="714"/>
    </row>
    <row r="30" spans="1:14" ht="27" customHeight="1">
      <c r="A30" s="227" t="str">
        <f ca="1">IF(ROWS($1:17)&gt;COUNT(Dong13),"",OFFSET(TH!E$1,SMALL(Dong13,ROWS($1:17)),))</f>
        <v/>
      </c>
      <c r="B30" s="230" t="str">
        <f ca="1">IF(ROWS($1:17)&gt;COUNT(Dong13),"",OFFSET(TH!H$1,SMALL(Dong13,ROWS($1:17)),))</f>
        <v/>
      </c>
      <c r="C30" s="730" t="str">
        <f t="shared" ca="1" si="2"/>
        <v/>
      </c>
      <c r="D30" s="730" t="str">
        <f ca="1">IF(ROWS($1:17)&gt;COUNT(Dong13),"",OFFSET(TH!D$1,SMALL(Dong13,ROWS($1:17)),))</f>
        <v/>
      </c>
      <c r="E30" s="1160" t="str">
        <f t="shared" ca="1" si="0"/>
        <v/>
      </c>
      <c r="F30" s="731" t="str">
        <f t="shared" ca="1" si="1"/>
        <v/>
      </c>
      <c r="G30" s="732" t="str">
        <f ca="1">IF(ROWS($1:17)&gt;COUNT(Dong13),"",OFFSET(TH!F$1,SMALL(Dong13,ROWS($1:17)),))</f>
        <v/>
      </c>
      <c r="H30" s="733" t="str">
        <f ca="1">IF(ROWS($1:17)&gt;COUNT(Dong13),"",OFFSET(TH!I$1,SMALL(Dong13,ROWS($1:17)),))</f>
        <v/>
      </c>
      <c r="I30" s="733" t="str">
        <f ca="1">IF(ROWS($1:17)&gt;COUNT(Dong13),"",OFFSET(TH!J$1,SMALL(Dong13,ROWS($1:17)),))</f>
        <v/>
      </c>
      <c r="J30" s="734">
        <f t="shared" ca="1" si="3"/>
        <v>0</v>
      </c>
      <c r="K30" s="736"/>
      <c r="L30" s="735"/>
      <c r="M30" s="714"/>
      <c r="N30" s="714"/>
    </row>
    <row r="31" spans="1:14" ht="27" customHeight="1">
      <c r="A31" s="227" t="str">
        <f ca="1">IF(ROWS($1:18)&gt;COUNT(Dong13),"",OFFSET(TH!E$1,SMALL(Dong13,ROWS($1:18)),))</f>
        <v/>
      </c>
      <c r="B31" s="230" t="str">
        <f ca="1">IF(ROWS($1:18)&gt;COUNT(Dong13),"",OFFSET(TH!H$1,SMALL(Dong13,ROWS($1:18)),))</f>
        <v/>
      </c>
      <c r="C31" s="730" t="str">
        <f t="shared" ca="1" si="2"/>
        <v/>
      </c>
      <c r="D31" s="730" t="str">
        <f ca="1">IF(ROWS($1:18)&gt;COUNT(Dong13),"",OFFSET(TH!D$1,SMALL(Dong13,ROWS($1:18)),))</f>
        <v/>
      </c>
      <c r="E31" s="1160" t="str">
        <f t="shared" ca="1" si="0"/>
        <v/>
      </c>
      <c r="F31" s="731" t="str">
        <f t="shared" ca="1" si="1"/>
        <v/>
      </c>
      <c r="G31" s="732" t="str">
        <f ca="1">IF(ROWS($1:18)&gt;COUNT(Dong13),"",OFFSET(TH!F$1,SMALL(Dong13,ROWS($1:18)),))</f>
        <v/>
      </c>
      <c r="H31" s="733" t="str">
        <f ca="1">IF(ROWS($1:18)&gt;COUNT(Dong13),"",OFFSET(TH!I$1,SMALL(Dong13,ROWS($1:18)),))</f>
        <v/>
      </c>
      <c r="I31" s="733" t="str">
        <f ca="1">IF(ROWS($1:18)&gt;COUNT(Dong13),"",OFFSET(TH!J$1,SMALL(Dong13,ROWS($1:18)),))</f>
        <v/>
      </c>
      <c r="J31" s="734">
        <f t="shared" ca="1" si="3"/>
        <v>0</v>
      </c>
      <c r="K31" s="736"/>
      <c r="L31" s="735"/>
      <c r="M31" s="714"/>
      <c r="N31" s="714"/>
    </row>
    <row r="32" spans="1:14" ht="27" customHeight="1">
      <c r="A32" s="227" t="str">
        <f ca="1">IF(ROWS($1:19)&gt;COUNT(Dong13),"",OFFSET(TH!E$1,SMALL(Dong13,ROWS($1:19)),))</f>
        <v/>
      </c>
      <c r="B32" s="230" t="str">
        <f ca="1">IF(ROWS($1:19)&gt;COUNT(Dong13),"",OFFSET(TH!H$1,SMALL(Dong13,ROWS($1:19)),))</f>
        <v/>
      </c>
      <c r="C32" s="730" t="str">
        <f t="shared" ca="1" si="2"/>
        <v/>
      </c>
      <c r="D32" s="730" t="str">
        <f ca="1">IF(ROWS($1:19)&gt;COUNT(Dong13),"",OFFSET(TH!D$1,SMALL(Dong13,ROWS($1:19)),))</f>
        <v/>
      </c>
      <c r="E32" s="1160" t="str">
        <f t="shared" ca="1" si="0"/>
        <v/>
      </c>
      <c r="F32" s="731" t="str">
        <f t="shared" ca="1" si="1"/>
        <v/>
      </c>
      <c r="G32" s="732" t="str">
        <f ca="1">IF(ROWS($1:19)&gt;COUNT(Dong13),"",OFFSET(TH!F$1,SMALL(Dong13,ROWS($1:19)),))</f>
        <v/>
      </c>
      <c r="H32" s="733" t="str">
        <f ca="1">IF(ROWS($1:19)&gt;COUNT(Dong13),"",OFFSET(TH!I$1,SMALL(Dong13,ROWS($1:19)),))</f>
        <v/>
      </c>
      <c r="I32" s="733" t="str">
        <f ca="1">IF(ROWS($1:19)&gt;COUNT(Dong13),"",OFFSET(TH!J$1,SMALL(Dong13,ROWS($1:19)),))</f>
        <v/>
      </c>
      <c r="J32" s="734">
        <f t="shared" ca="1" si="3"/>
        <v>0</v>
      </c>
      <c r="K32" s="736"/>
      <c r="L32" s="735"/>
      <c r="M32" s="714"/>
      <c r="N32" s="714"/>
    </row>
    <row r="33" spans="1:14" ht="27" customHeight="1">
      <c r="A33" s="227" t="str">
        <f ca="1">IF(ROWS($1:20)&gt;COUNT(Dong13),"",OFFSET(TH!E$1,SMALL(Dong13,ROWS($1:20)),))</f>
        <v/>
      </c>
      <c r="B33" s="230" t="str">
        <f ca="1">IF(ROWS($1:20)&gt;COUNT(Dong13),"",OFFSET(TH!H$1,SMALL(Dong13,ROWS($1:20)),))</f>
        <v/>
      </c>
      <c r="C33" s="730" t="str">
        <f t="shared" ca="1" si="2"/>
        <v/>
      </c>
      <c r="D33" s="730" t="str">
        <f ca="1">IF(ROWS($1:20)&gt;COUNT(Dong13),"",OFFSET(TH!D$1,SMALL(Dong13,ROWS($1:20)),))</f>
        <v/>
      </c>
      <c r="E33" s="1160" t="str">
        <f t="shared" ca="1" si="0"/>
        <v/>
      </c>
      <c r="F33" s="731" t="str">
        <f t="shared" ca="1" si="1"/>
        <v/>
      </c>
      <c r="G33" s="732" t="str">
        <f ca="1">IF(ROWS($1:20)&gt;COUNT(Dong13),"",OFFSET(TH!F$1,SMALL(Dong13,ROWS($1:20)),))</f>
        <v/>
      </c>
      <c r="H33" s="733" t="str">
        <f ca="1">IF(ROWS($1:20)&gt;COUNT(Dong13),"",OFFSET(TH!I$1,SMALL(Dong13,ROWS($1:20)),))</f>
        <v/>
      </c>
      <c r="I33" s="733" t="str">
        <f ca="1">IF(ROWS($1:20)&gt;COUNT(Dong13),"",OFFSET(TH!J$1,SMALL(Dong13,ROWS($1:20)),))</f>
        <v/>
      </c>
      <c r="J33" s="734">
        <f t="shared" ca="1" si="3"/>
        <v>0</v>
      </c>
      <c r="K33" s="736"/>
      <c r="L33" s="735"/>
      <c r="M33" s="714"/>
      <c r="N33" s="714"/>
    </row>
    <row r="34" spans="1:14" ht="27" customHeight="1">
      <c r="A34" s="227" t="str">
        <f ca="1">IF(ROWS($1:21)&gt;COUNT(Dong13),"",OFFSET(TH!E$1,SMALL(Dong13,ROWS($1:21)),))</f>
        <v/>
      </c>
      <c r="B34" s="230" t="str">
        <f ca="1">IF(ROWS($1:21)&gt;COUNT(Dong13),"",OFFSET(TH!H$1,SMALL(Dong13,ROWS($1:21)),))</f>
        <v/>
      </c>
      <c r="C34" s="730" t="str">
        <f t="shared" ca="1" si="2"/>
        <v/>
      </c>
      <c r="D34" s="730" t="str">
        <f ca="1">IF(ROWS($1:21)&gt;COUNT(Dong13),"",OFFSET(TH!D$1,SMALL(Dong13,ROWS($1:21)),))</f>
        <v/>
      </c>
      <c r="E34" s="1160" t="str">
        <f t="shared" ca="1" si="0"/>
        <v/>
      </c>
      <c r="F34" s="731" t="str">
        <f t="shared" ca="1" si="1"/>
        <v/>
      </c>
      <c r="G34" s="732" t="str">
        <f ca="1">IF(ROWS($1:21)&gt;COUNT(Dong13),"",OFFSET(TH!F$1,SMALL(Dong13,ROWS($1:21)),))</f>
        <v/>
      </c>
      <c r="H34" s="733" t="str">
        <f ca="1">IF(ROWS($1:21)&gt;COUNT(Dong13),"",OFFSET(TH!I$1,SMALL(Dong13,ROWS($1:21)),))</f>
        <v/>
      </c>
      <c r="I34" s="733" t="str">
        <f ca="1">IF(ROWS($1:21)&gt;COUNT(Dong13),"",OFFSET(TH!J$1,SMALL(Dong13,ROWS($1:21)),))</f>
        <v/>
      </c>
      <c r="J34" s="734">
        <f t="shared" ca="1" si="3"/>
        <v>0</v>
      </c>
      <c r="K34" s="736"/>
      <c r="L34" s="735"/>
      <c r="M34" s="714"/>
      <c r="N34" s="714"/>
    </row>
    <row r="35" spans="1:14" ht="27" customHeight="1">
      <c r="A35" s="227" t="str">
        <f ca="1">IF(ROWS($1:22)&gt;COUNT(Dong13),"",OFFSET(TH!E$1,SMALL(Dong13,ROWS($1:22)),))</f>
        <v/>
      </c>
      <c r="B35" s="230" t="str">
        <f ca="1">IF(ROWS($1:22)&gt;COUNT(Dong13),"",OFFSET(TH!H$1,SMALL(Dong13,ROWS($1:22)),))</f>
        <v/>
      </c>
      <c r="C35" s="730" t="str">
        <f t="shared" ca="1" si="2"/>
        <v/>
      </c>
      <c r="D35" s="730" t="str">
        <f ca="1">IF(ROWS($1:22)&gt;COUNT(Dong13),"",OFFSET(TH!D$1,SMALL(Dong13,ROWS($1:22)),))</f>
        <v/>
      </c>
      <c r="E35" s="1160" t="str">
        <f t="shared" ca="1" si="0"/>
        <v/>
      </c>
      <c r="F35" s="731" t="str">
        <f t="shared" ca="1" si="1"/>
        <v/>
      </c>
      <c r="G35" s="732" t="str">
        <f ca="1">IF(ROWS($1:22)&gt;COUNT(Dong13),"",OFFSET(TH!F$1,SMALL(Dong13,ROWS($1:22)),))</f>
        <v/>
      </c>
      <c r="H35" s="733" t="str">
        <f ca="1">IF(ROWS($1:22)&gt;COUNT(Dong13),"",OFFSET(TH!I$1,SMALL(Dong13,ROWS($1:22)),))</f>
        <v/>
      </c>
      <c r="I35" s="733" t="str">
        <f ca="1">IF(ROWS($1:22)&gt;COUNT(Dong13),"",OFFSET(TH!J$1,SMALL(Dong13,ROWS($1:22)),))</f>
        <v/>
      </c>
      <c r="J35" s="734">
        <f t="shared" ca="1" si="3"/>
        <v>0</v>
      </c>
      <c r="K35" s="736"/>
      <c r="L35" s="735"/>
      <c r="M35" s="714"/>
      <c r="N35" s="714"/>
    </row>
    <row r="36" spans="1:14" ht="27" customHeight="1">
      <c r="A36" s="227" t="str">
        <f ca="1">IF(ROWS($1:23)&gt;COUNT(Dong13),"",OFFSET(TH!E$1,SMALL(Dong13,ROWS($1:23)),))</f>
        <v/>
      </c>
      <c r="B36" s="230" t="str">
        <f ca="1">IF(ROWS($1:23)&gt;COUNT(Dong13),"",OFFSET(TH!H$1,SMALL(Dong13,ROWS($1:23)),))</f>
        <v/>
      </c>
      <c r="C36" s="730" t="str">
        <f t="shared" ca="1" si="2"/>
        <v/>
      </c>
      <c r="D36" s="730" t="str">
        <f ca="1">IF(ROWS($1:23)&gt;COUNT(Dong13),"",OFFSET(TH!D$1,SMALL(Dong13,ROWS($1:23)),))</f>
        <v/>
      </c>
      <c r="E36" s="1160" t="str">
        <f t="shared" ca="1" si="0"/>
        <v/>
      </c>
      <c r="F36" s="731" t="str">
        <f t="shared" ca="1" si="1"/>
        <v/>
      </c>
      <c r="G36" s="732" t="str">
        <f ca="1">IF(ROWS($1:23)&gt;COUNT(Dong13),"",OFFSET(TH!F$1,SMALL(Dong13,ROWS($1:23)),))</f>
        <v/>
      </c>
      <c r="H36" s="733" t="str">
        <f ca="1">IF(ROWS($1:23)&gt;COUNT(Dong13),"",OFFSET(TH!I$1,SMALL(Dong13,ROWS($1:23)),))</f>
        <v/>
      </c>
      <c r="I36" s="733" t="str">
        <f ca="1">IF(ROWS($1:23)&gt;COUNT(Dong13),"",OFFSET(TH!J$1,SMALL(Dong13,ROWS($1:23)),))</f>
        <v/>
      </c>
      <c r="J36" s="734">
        <f t="shared" ca="1" si="3"/>
        <v>0</v>
      </c>
      <c r="K36" s="736"/>
      <c r="L36" s="735"/>
      <c r="M36" s="714"/>
      <c r="N36" s="714"/>
    </row>
    <row r="37" spans="1:14" ht="27" customHeight="1">
      <c r="A37" s="227" t="str">
        <f ca="1">IF(ROWS($1:24)&gt;COUNT(Dong13),"",OFFSET(TH!E$1,SMALL(Dong13,ROWS($1:24)),))</f>
        <v/>
      </c>
      <c r="B37" s="230" t="str">
        <f ca="1">IF(ROWS($1:24)&gt;COUNT(Dong13),"",OFFSET(TH!H$1,SMALL(Dong13,ROWS($1:24)),))</f>
        <v/>
      </c>
      <c r="C37" s="730" t="str">
        <f t="shared" ca="1" si="2"/>
        <v/>
      </c>
      <c r="D37" s="730" t="str">
        <f ca="1">IF(ROWS($1:24)&gt;COUNT(Dong13),"",OFFSET(TH!D$1,SMALL(Dong13,ROWS($1:24)),))</f>
        <v/>
      </c>
      <c r="E37" s="1160" t="str">
        <f t="shared" ca="1" si="0"/>
        <v/>
      </c>
      <c r="F37" s="731" t="str">
        <f t="shared" ca="1" si="1"/>
        <v/>
      </c>
      <c r="G37" s="732" t="str">
        <f ca="1">IF(ROWS($1:24)&gt;COUNT(Dong13),"",OFFSET(TH!F$1,SMALL(Dong13,ROWS($1:24)),))</f>
        <v/>
      </c>
      <c r="H37" s="733" t="str">
        <f ca="1">IF(ROWS($1:24)&gt;COUNT(Dong13),"",OFFSET(TH!I$1,SMALL(Dong13,ROWS($1:24)),))</f>
        <v/>
      </c>
      <c r="I37" s="733" t="str">
        <f ca="1">IF(ROWS($1:24)&gt;COUNT(Dong13),"",OFFSET(TH!J$1,SMALL(Dong13,ROWS($1:24)),))</f>
        <v/>
      </c>
      <c r="J37" s="734">
        <f t="shared" ca="1" si="3"/>
        <v>0</v>
      </c>
      <c r="K37" s="736"/>
      <c r="L37" s="735"/>
      <c r="M37" s="714"/>
      <c r="N37" s="714"/>
    </row>
    <row r="38" spans="1:14" ht="27" customHeight="1">
      <c r="A38" s="227" t="str">
        <f ca="1">IF(ROWS($1:25)&gt;COUNT(Dong13),"",OFFSET(TH!E$1,SMALL(Dong13,ROWS($1:25)),))</f>
        <v/>
      </c>
      <c r="B38" s="230" t="str">
        <f ca="1">IF(ROWS($1:25)&gt;COUNT(Dong13),"",OFFSET(TH!H$1,SMALL(Dong13,ROWS($1:25)),))</f>
        <v/>
      </c>
      <c r="C38" s="730" t="str">
        <f t="shared" ca="1" si="2"/>
        <v/>
      </c>
      <c r="D38" s="730" t="str">
        <f ca="1">IF(ROWS($1:25)&gt;COUNT(Dong13),"",OFFSET(TH!D$1,SMALL(Dong13,ROWS($1:25)),))</f>
        <v/>
      </c>
      <c r="E38" s="1160" t="str">
        <f t="shared" ca="1" si="0"/>
        <v/>
      </c>
      <c r="F38" s="731" t="str">
        <f t="shared" ca="1" si="1"/>
        <v/>
      </c>
      <c r="G38" s="732" t="str">
        <f ca="1">IF(ROWS($1:25)&gt;COUNT(Dong13),"",OFFSET(TH!F$1,SMALL(Dong13,ROWS($1:25)),))</f>
        <v/>
      </c>
      <c r="H38" s="733" t="str">
        <f ca="1">IF(ROWS($1:25)&gt;COUNT(Dong13),"",OFFSET(TH!I$1,SMALL(Dong13,ROWS($1:25)),))</f>
        <v/>
      </c>
      <c r="I38" s="733" t="str">
        <f ca="1">IF(ROWS($1:25)&gt;COUNT(Dong13),"",OFFSET(TH!J$1,SMALL(Dong13,ROWS($1:25)),))</f>
        <v/>
      </c>
      <c r="J38" s="734">
        <f t="shared" ca="1" si="3"/>
        <v>0</v>
      </c>
      <c r="K38" s="736"/>
      <c r="L38" s="735"/>
      <c r="M38" s="714"/>
      <c r="N38" s="714"/>
    </row>
    <row r="39" spans="1:14" ht="27" customHeight="1">
      <c r="A39" s="227" t="str">
        <f ca="1">IF(ROWS($1:26)&gt;COUNT(Dong13),"",OFFSET(TH!E$1,SMALL(Dong13,ROWS($1:26)),))</f>
        <v/>
      </c>
      <c r="B39" s="230" t="str">
        <f ca="1">IF(ROWS($1:26)&gt;COUNT(Dong13),"",OFFSET(TH!H$1,SMALL(Dong13,ROWS($1:26)),))</f>
        <v/>
      </c>
      <c r="C39" s="730" t="str">
        <f t="shared" ca="1" si="2"/>
        <v/>
      </c>
      <c r="D39" s="730" t="str">
        <f ca="1">IF(ROWS($1:26)&gt;COUNT(Dong13),"",OFFSET(TH!D$1,SMALL(Dong13,ROWS($1:26)),))</f>
        <v/>
      </c>
      <c r="E39" s="1160" t="str">
        <f t="shared" ca="1" si="0"/>
        <v/>
      </c>
      <c r="F39" s="731" t="str">
        <f t="shared" ca="1" si="1"/>
        <v/>
      </c>
      <c r="G39" s="732" t="str">
        <f ca="1">IF(ROWS($1:26)&gt;COUNT(Dong13),"",OFFSET(TH!F$1,SMALL(Dong13,ROWS($1:26)),))</f>
        <v/>
      </c>
      <c r="H39" s="733" t="str">
        <f ca="1">IF(ROWS($1:26)&gt;COUNT(Dong13),"",OFFSET(TH!I$1,SMALL(Dong13,ROWS($1:26)),))</f>
        <v/>
      </c>
      <c r="I39" s="733" t="str">
        <f ca="1">IF(ROWS($1:26)&gt;COUNT(Dong13),"",OFFSET(TH!J$1,SMALL(Dong13,ROWS($1:26)),))</f>
        <v/>
      </c>
      <c r="J39" s="734">
        <f t="shared" ca="1" si="3"/>
        <v>0</v>
      </c>
      <c r="K39" s="736"/>
      <c r="L39" s="735"/>
      <c r="M39" s="714"/>
      <c r="N39" s="714"/>
    </row>
    <row r="40" spans="1:14" ht="27" customHeight="1">
      <c r="A40" s="227" t="str">
        <f ca="1">IF(ROWS($1:27)&gt;COUNT(Dong13),"",OFFSET(TH!E$1,SMALL(Dong13,ROWS($1:27)),))</f>
        <v/>
      </c>
      <c r="B40" s="230" t="str">
        <f ca="1">IF(ROWS($1:27)&gt;COUNT(Dong13),"",OFFSET(TH!H$1,SMALL(Dong13,ROWS($1:27)),))</f>
        <v/>
      </c>
      <c r="C40" s="730" t="str">
        <f t="shared" ca="1" si="2"/>
        <v/>
      </c>
      <c r="D40" s="730" t="str">
        <f ca="1">IF(ROWS($1:27)&gt;COUNT(Dong13),"",OFFSET(TH!D$1,SMALL(Dong13,ROWS($1:27)),))</f>
        <v/>
      </c>
      <c r="E40" s="1160" t="str">
        <f t="shared" ca="1" si="0"/>
        <v/>
      </c>
      <c r="F40" s="731" t="str">
        <f t="shared" ca="1" si="1"/>
        <v/>
      </c>
      <c r="G40" s="732" t="str">
        <f ca="1">IF(ROWS($1:27)&gt;COUNT(Dong13),"",OFFSET(TH!F$1,SMALL(Dong13,ROWS($1:27)),))</f>
        <v/>
      </c>
      <c r="H40" s="733" t="str">
        <f ca="1">IF(ROWS($1:27)&gt;COUNT(Dong13),"",OFFSET(TH!I$1,SMALL(Dong13,ROWS($1:27)),))</f>
        <v/>
      </c>
      <c r="I40" s="733" t="str">
        <f ca="1">IF(ROWS($1:27)&gt;COUNT(Dong13),"",OFFSET(TH!J$1,SMALL(Dong13,ROWS($1:27)),))</f>
        <v/>
      </c>
      <c r="J40" s="734">
        <f t="shared" ca="1" si="3"/>
        <v>0</v>
      </c>
      <c r="K40" s="736"/>
      <c r="L40" s="735"/>
      <c r="M40" s="714"/>
      <c r="N40" s="714"/>
    </row>
    <row r="41" spans="1:14" ht="28.5" customHeight="1">
      <c r="A41" s="715" t="s">
        <v>525</v>
      </c>
      <c r="B41" s="713"/>
      <c r="C41" s="713"/>
      <c r="D41" s="713"/>
      <c r="E41" s="1161">
        <f ca="1">SUM(J14:J40)</f>
        <v>653400000</v>
      </c>
      <c r="F41" s="737"/>
      <c r="G41" s="713"/>
      <c r="H41" s="717"/>
      <c r="I41" s="717"/>
      <c r="J41" s="738"/>
      <c r="K41" s="713"/>
      <c r="L41" s="713"/>
      <c r="M41" s="714"/>
      <c r="N41" s="739">
        <f ca="1">SUBTOTAL(9,J14:J40)</f>
        <v>653400000</v>
      </c>
    </row>
    <row r="42" spans="1:14" ht="15.75">
      <c r="A42" s="715"/>
      <c r="B42" s="713"/>
      <c r="C42" s="713"/>
      <c r="D42" s="713"/>
      <c r="E42" s="1162"/>
      <c r="F42" s="717"/>
      <c r="G42" s="713"/>
      <c r="H42" s="717"/>
      <c r="I42" s="717"/>
      <c r="J42" s="741" t="str">
        <f xml:space="preserve"> IF(OR($M$11=1,$M$11=4,$M$11=6,$M$11=9,$M$11=11),"Ngày  30  tháng  "&amp;$M$11&amp;"  năm 2016",IF(OR($M$11=3,$M$11=5,$M$11=7,$M$11=8,$M$11=10,$M$11=12),"Ngày  31  tháng  "&amp;$M$11&amp;"  năm 2016","Ngày  29  tháng  "&amp;$M$11&amp;"  năm 2016"))</f>
        <v>Ngày  29  tháng  2  năm 2016</v>
      </c>
      <c r="K42" s="742"/>
      <c r="L42" s="713"/>
      <c r="M42" s="714"/>
      <c r="N42" s="714"/>
    </row>
    <row r="43" spans="1:14" ht="15.75">
      <c r="A43" s="715"/>
      <c r="B43" s="743" t="s">
        <v>526</v>
      </c>
      <c r="C43" s="743"/>
      <c r="D43" s="743"/>
      <c r="E43" s="1158"/>
      <c r="F43" s="713"/>
      <c r="G43" s="713"/>
      <c r="H43" s="717"/>
      <c r="I43" s="717"/>
      <c r="J43" s="744" t="s">
        <v>527</v>
      </c>
      <c r="K43" s="713"/>
      <c r="L43" s="713"/>
      <c r="M43" s="714"/>
      <c r="N43" s="714"/>
    </row>
    <row r="44" spans="1:14" ht="15.75">
      <c r="A44" s="715"/>
      <c r="B44" s="745" t="s">
        <v>528</v>
      </c>
      <c r="C44" s="745"/>
      <c r="D44" s="745"/>
      <c r="E44" s="1158"/>
      <c r="F44" s="746"/>
      <c r="G44" s="713"/>
      <c r="H44" s="717"/>
      <c r="I44" s="717"/>
      <c r="J44" s="747" t="s">
        <v>529</v>
      </c>
      <c r="K44" s="713"/>
      <c r="L44" s="713"/>
      <c r="M44" s="714"/>
      <c r="N44" s="714"/>
    </row>
    <row r="45" spans="1:14" ht="15.75">
      <c r="A45" s="715"/>
      <c r="B45" s="745"/>
      <c r="C45" s="745"/>
      <c r="D45" s="745"/>
      <c r="E45" s="1158"/>
      <c r="F45" s="746"/>
      <c r="G45" s="713"/>
      <c r="H45" s="717"/>
      <c r="I45" s="747"/>
      <c r="J45" s="713"/>
      <c r="K45" s="713"/>
      <c r="L45" s="713"/>
      <c r="M45" s="714"/>
      <c r="N45" s="714"/>
    </row>
    <row r="46" spans="1:14" ht="15.75">
      <c r="A46" s="715"/>
      <c r="B46" s="745"/>
      <c r="C46" s="745"/>
      <c r="D46" s="745"/>
      <c r="E46" s="1158"/>
      <c r="F46" s="746"/>
      <c r="G46" s="713"/>
      <c r="H46" s="717"/>
      <c r="I46" s="747"/>
      <c r="J46" s="713"/>
      <c r="K46" s="713"/>
      <c r="L46" s="713"/>
      <c r="M46" s="714"/>
      <c r="N46" s="714"/>
    </row>
    <row r="47" spans="1:14" ht="15.75">
      <c r="A47" s="715"/>
      <c r="B47" s="740"/>
      <c r="C47" s="713"/>
      <c r="D47" s="713"/>
      <c r="E47" s="1158"/>
      <c r="F47" s="740"/>
      <c r="G47" s="713"/>
      <c r="H47" s="717"/>
      <c r="I47" s="717"/>
      <c r="J47" s="513"/>
      <c r="K47" s="713"/>
      <c r="L47" s="713"/>
      <c r="M47" s="714"/>
      <c r="N47" s="714"/>
    </row>
    <row r="48" spans="1:14" ht="15.75">
      <c r="A48" s="715"/>
      <c r="B48" s="748"/>
      <c r="C48" s="748"/>
      <c r="D48" s="748"/>
      <c r="E48" s="1163"/>
      <c r="F48" s="713"/>
      <c r="G48" s="713"/>
      <c r="H48" s="1381"/>
      <c r="I48" s="1381"/>
      <c r="J48" s="1381"/>
      <c r="K48" s="713"/>
      <c r="L48" s="713"/>
      <c r="M48" s="714"/>
      <c r="N48" s="714"/>
    </row>
    <row r="49" spans="1:14" ht="15.75">
      <c r="A49" s="715"/>
      <c r="B49" s="1145" t="s">
        <v>230</v>
      </c>
      <c r="C49" s="1154"/>
      <c r="D49" s="713"/>
      <c r="E49" s="1158"/>
      <c r="F49" s="713"/>
      <c r="G49" s="713"/>
      <c r="H49" s="717"/>
      <c r="I49" s="717"/>
      <c r="J49" s="1146" t="s">
        <v>125</v>
      </c>
      <c r="K49" s="1146"/>
      <c r="L49" s="1146"/>
      <c r="M49" s="1146"/>
      <c r="N49" s="714"/>
    </row>
    <row r="50" spans="1:14" ht="15.75">
      <c r="A50" s="749" t="s">
        <v>530</v>
      </c>
      <c r="B50" s="713"/>
      <c r="C50" s="713"/>
      <c r="D50" s="713"/>
      <c r="E50" s="1158"/>
      <c r="F50" s="713"/>
      <c r="G50" s="713"/>
      <c r="H50" s="717"/>
      <c r="I50" s="717"/>
      <c r="J50" s="713"/>
      <c r="K50" s="713"/>
      <c r="L50" s="713"/>
      <c r="M50" s="714"/>
      <c r="N50" s="714"/>
    </row>
    <row r="51" spans="1:14" ht="37.5" customHeight="1">
      <c r="A51" s="1382" t="s">
        <v>531</v>
      </c>
      <c r="B51" s="1383"/>
      <c r="C51" s="1383"/>
      <c r="D51" s="1383"/>
      <c r="E51" s="1383"/>
      <c r="F51" s="1383"/>
      <c r="G51" s="1383"/>
      <c r="H51" s="1383"/>
      <c r="I51" s="1383"/>
      <c r="J51" s="1383"/>
      <c r="K51" s="1383"/>
      <c r="L51" s="713"/>
      <c r="M51" s="714"/>
      <c r="N51" s="714"/>
    </row>
    <row r="52" spans="1:14" ht="45" customHeight="1">
      <c r="A52" s="1382" t="s">
        <v>532</v>
      </c>
      <c r="B52" s="1382"/>
      <c r="C52" s="1382"/>
      <c r="D52" s="1382"/>
      <c r="E52" s="1382"/>
      <c r="F52" s="1382"/>
      <c r="G52" s="1382"/>
      <c r="H52" s="1382"/>
      <c r="I52" s="1382"/>
      <c r="J52" s="1382"/>
      <c r="K52" s="1382"/>
      <c r="L52" s="713"/>
      <c r="M52" s="714"/>
      <c r="N52" s="714"/>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sheetPr>
    <tabColor indexed="50"/>
  </sheetPr>
  <dimension ref="A1:Y286"/>
  <sheetViews>
    <sheetView workbookViewId="0">
      <pane xSplit="3" ySplit="1" topLeftCell="D44" activePane="bottomRight" state="frozen"/>
      <selection activeCell="C33" sqref="C33"/>
      <selection pane="topRight" activeCell="C33" sqref="C33"/>
      <selection pane="bottomLeft" activeCell="C33" sqref="C33"/>
      <selection pane="bottomRight" activeCell="N72" sqref="N72"/>
    </sheetView>
  </sheetViews>
  <sheetFormatPr defaultColWidth="10.28515625" defaultRowHeight="12.75"/>
  <cols>
    <col min="1" max="1" width="4.7109375" style="750" customWidth="1"/>
    <col min="2" max="2" width="23" style="750" customWidth="1"/>
    <col min="3" max="3" width="6.7109375" style="750" customWidth="1"/>
    <col min="4" max="5" width="8.85546875" style="750" customWidth="1"/>
    <col min="6" max="6" width="9.140625" style="750" customWidth="1"/>
    <col min="7" max="7" width="14.28515625" style="750" customWidth="1"/>
    <col min="8" max="11" width="13.7109375" style="750" customWidth="1"/>
    <col min="12" max="12" width="11.85546875" style="750" customWidth="1"/>
    <col min="13" max="13" width="13.7109375" style="750" hidden="1" customWidth="1"/>
    <col min="14" max="14" width="14.5703125" style="750" customWidth="1"/>
    <col min="15" max="15" width="7.28515625" style="750" customWidth="1"/>
    <col min="16" max="16" width="7.7109375" style="750" customWidth="1"/>
    <col min="17" max="17" width="3.42578125" style="751" customWidth="1"/>
    <col min="18" max="18" width="23" style="750" customWidth="1"/>
    <col min="19" max="19" width="10.140625" style="752" customWidth="1"/>
    <col min="20" max="21" width="7.5703125" style="753" customWidth="1"/>
    <col min="22" max="22" width="12.140625" style="750" customWidth="1"/>
    <col min="23" max="23" width="7.7109375" style="750" customWidth="1"/>
    <col min="24" max="16384" width="10.28515625" style="750"/>
  </cols>
  <sheetData>
    <row r="1" spans="1:25">
      <c r="B1" s="750">
        <v>1</v>
      </c>
      <c r="C1" s="750">
        <v>2</v>
      </c>
      <c r="D1" s="750">
        <v>3</v>
      </c>
      <c r="E1" s="750">
        <v>4</v>
      </c>
      <c r="F1" s="750">
        <v>5</v>
      </c>
      <c r="G1" s="750">
        <v>6</v>
      </c>
      <c r="H1" s="750">
        <v>8</v>
      </c>
      <c r="I1" s="750">
        <v>7</v>
      </c>
      <c r="J1" s="750">
        <v>9</v>
      </c>
      <c r="K1" s="750">
        <v>10</v>
      </c>
      <c r="L1" s="750">
        <v>11</v>
      </c>
      <c r="M1" s="750">
        <v>12</v>
      </c>
      <c r="N1" s="750">
        <v>13</v>
      </c>
      <c r="O1" s="750">
        <v>14</v>
      </c>
      <c r="P1" s="750">
        <v>15</v>
      </c>
    </row>
    <row r="2" spans="1:25" ht="18" customHeight="1">
      <c r="A2" s="754" t="s">
        <v>533</v>
      </c>
      <c r="B2" s="754"/>
      <c r="C2" s="755"/>
      <c r="D2" s="756"/>
      <c r="E2" s="756"/>
      <c r="F2" s="756"/>
      <c r="G2" s="753"/>
      <c r="H2" s="753"/>
      <c r="I2" s="753"/>
      <c r="J2" s="753"/>
      <c r="K2" s="753"/>
      <c r="L2" s="757"/>
      <c r="M2" s="753"/>
      <c r="N2" s="753"/>
      <c r="O2" s="758"/>
      <c r="P2" s="753"/>
      <c r="Q2" s="759"/>
      <c r="R2" s="753"/>
      <c r="S2" s="760"/>
    </row>
    <row r="3" spans="1:25" ht="18.75" customHeight="1">
      <c r="A3" s="761" t="s">
        <v>534</v>
      </c>
      <c r="B3" s="761"/>
      <c r="C3" s="761"/>
      <c r="D3" s="761"/>
      <c r="E3" s="761"/>
      <c r="F3" s="761"/>
      <c r="G3" s="761"/>
      <c r="H3" s="761"/>
      <c r="I3" s="761"/>
      <c r="J3" s="761"/>
      <c r="K3" s="761"/>
      <c r="L3" s="761"/>
      <c r="M3" s="761"/>
      <c r="N3" s="761"/>
      <c r="O3" s="761"/>
      <c r="P3" s="761"/>
      <c r="Q3" s="759"/>
      <c r="R3" s="753"/>
      <c r="S3" s="760"/>
    </row>
    <row r="4" spans="1:25" ht="18.75" customHeight="1">
      <c r="A4" s="762"/>
      <c r="B4" s="762"/>
      <c r="C4" s="763"/>
      <c r="D4" s="762"/>
      <c r="E4" s="762"/>
      <c r="F4" s="762"/>
      <c r="G4" s="762"/>
      <c r="H4" s="762"/>
      <c r="I4" s="762"/>
      <c r="J4" s="762"/>
      <c r="K4" s="762"/>
      <c r="L4" s="761"/>
      <c r="M4" s="762"/>
      <c r="N4" s="762"/>
      <c r="O4" s="764"/>
      <c r="P4" s="762"/>
      <c r="Q4" s="759"/>
      <c r="R4" s="753"/>
      <c r="S4" s="760"/>
    </row>
    <row r="5" spans="1:25" ht="12.75" customHeight="1">
      <c r="A5" s="765"/>
      <c r="B5" s="765"/>
      <c r="C5" s="766"/>
      <c r="D5" s="765"/>
      <c r="E5" s="765"/>
      <c r="F5" s="765"/>
      <c r="G5" s="765"/>
      <c r="H5" s="765"/>
      <c r="I5" s="765"/>
      <c r="J5" s="765"/>
      <c r="K5" s="765"/>
      <c r="L5" s="765"/>
      <c r="M5" s="765"/>
      <c r="N5" s="765"/>
      <c r="O5" s="767"/>
      <c r="P5" s="765"/>
      <c r="Q5" s="759"/>
      <c r="R5" s="768"/>
      <c r="S5" s="1400"/>
      <c r="T5" s="1400"/>
      <c r="U5" s="769"/>
      <c r="V5" s="1400"/>
      <c r="W5" s="1400"/>
      <c r="X5" s="768"/>
      <c r="Y5" s="768"/>
    </row>
    <row r="6" spans="1:25" s="776" customFormat="1" ht="30.75" customHeight="1">
      <c r="A6" s="770" t="s">
        <v>37</v>
      </c>
      <c r="B6" s="770" t="s">
        <v>535</v>
      </c>
      <c r="C6" s="771" t="s">
        <v>536</v>
      </c>
      <c r="D6" s="772" t="s">
        <v>537</v>
      </c>
      <c r="E6" s="772" t="s">
        <v>538</v>
      </c>
      <c r="F6" s="772" t="s">
        <v>539</v>
      </c>
      <c r="G6" s="772" t="s">
        <v>540</v>
      </c>
      <c r="H6" s="772" t="s">
        <v>541</v>
      </c>
      <c r="I6" s="772" t="s">
        <v>542</v>
      </c>
      <c r="J6" s="772" t="s">
        <v>543</v>
      </c>
      <c r="K6" s="773" t="s">
        <v>544</v>
      </c>
      <c r="L6" s="772" t="s">
        <v>545</v>
      </c>
      <c r="M6" s="773" t="s">
        <v>546</v>
      </c>
      <c r="N6" s="772" t="s">
        <v>547</v>
      </c>
      <c r="O6" s="774" t="s">
        <v>538</v>
      </c>
      <c r="P6" s="772" t="s">
        <v>548</v>
      </c>
      <c r="Q6" s="775"/>
      <c r="R6" s="770" t="s">
        <v>535</v>
      </c>
      <c r="S6" s="772" t="s">
        <v>502</v>
      </c>
      <c r="T6" s="772" t="s">
        <v>338</v>
      </c>
      <c r="U6" s="772" t="s">
        <v>539</v>
      </c>
      <c r="V6" s="772" t="s">
        <v>549</v>
      </c>
      <c r="W6" s="770" t="s">
        <v>549</v>
      </c>
    </row>
    <row r="7" spans="1:25">
      <c r="A7" s="777">
        <f>IF(B7&lt;&gt;"",ROW()-(ROW()-1),"")</f>
        <v>1</v>
      </c>
      <c r="B7" s="520" t="s">
        <v>452</v>
      </c>
      <c r="C7" s="778">
        <v>11</v>
      </c>
      <c r="D7" s="630">
        <f>ROUND(C7*O7,0)</f>
        <v>78100</v>
      </c>
      <c r="E7" s="630"/>
      <c r="F7" s="630">
        <v>16000</v>
      </c>
      <c r="G7" s="779">
        <f>(D7+E7)*F7</f>
        <v>1249600000</v>
      </c>
      <c r="H7" s="630">
        <f>IF($D$11&lt;&gt;0,H$11/($D$11+$E$11/5)*($D7+$E7/5),0)</f>
        <v>45374327.428571433</v>
      </c>
      <c r="I7" s="630">
        <f>IF($D$11&lt;&gt;0,I$11/$D$11*$D7,0)</f>
        <v>16528039.314285716</v>
      </c>
      <c r="J7" s="630">
        <f t="shared" ref="J7:K9" si="0">IF($D$11&lt;&gt;0,J$11/$D$11*$D7,0)</f>
        <v>26076882.857142854</v>
      </c>
      <c r="K7" s="630">
        <f t="shared" si="0"/>
        <v>17957921.771428574</v>
      </c>
      <c r="L7" s="630">
        <f>V18+V19</f>
        <v>7800000</v>
      </c>
      <c r="M7" s="630"/>
      <c r="N7" s="779">
        <f>G7+I7+H7+J7+L7+K7+M7</f>
        <v>1363337171.3714287</v>
      </c>
      <c r="O7" s="630">
        <v>7100</v>
      </c>
      <c r="P7" s="630">
        <f>IF(O7&lt;&gt;"",N7/O7,"")</f>
        <v>192019.31991146883</v>
      </c>
      <c r="Q7" s="780"/>
      <c r="R7" s="781" t="s">
        <v>340</v>
      </c>
      <c r="S7" s="782">
        <v>42371</v>
      </c>
      <c r="T7" s="236">
        <v>100</v>
      </c>
      <c r="U7" s="783">
        <v>35444.444444444445</v>
      </c>
      <c r="V7" s="779">
        <f>ROUND(T7*U7,0)</f>
        <v>3544444</v>
      </c>
      <c r="W7" s="784"/>
    </row>
    <row r="8" spans="1:25">
      <c r="A8" s="777">
        <f>IF(B8&lt;&gt;"",A7+1,"")</f>
        <v>2</v>
      </c>
      <c r="B8" s="520" t="s">
        <v>454</v>
      </c>
      <c r="C8" s="778">
        <v>8</v>
      </c>
      <c r="D8" s="630">
        <f>ROUND(C8*O8,0)</f>
        <v>38400</v>
      </c>
      <c r="E8" s="630"/>
      <c r="F8" s="630">
        <v>18500</v>
      </c>
      <c r="G8" s="779">
        <f>(D8+E8)*F8</f>
        <v>710400000</v>
      </c>
      <c r="H8" s="630">
        <f>IF($D$11&lt;&gt;0,H$11/($D$11+$E$11/5)*($D8+$E8/5),0)</f>
        <v>22309528.466800805</v>
      </c>
      <c r="I8" s="630">
        <f>IF($D$11&lt;&gt;0,I$11/$D$11*$D8,0)</f>
        <v>8126462.3517102618</v>
      </c>
      <c r="J8" s="630">
        <f t="shared" si="0"/>
        <v>12821412.313883299</v>
      </c>
      <c r="K8" s="630">
        <f t="shared" si="0"/>
        <v>8829503.1501006037</v>
      </c>
      <c r="L8" s="630">
        <f>V20+V21</f>
        <v>46346000</v>
      </c>
      <c r="M8" s="630"/>
      <c r="N8" s="779">
        <f>G8+I8+H8+J8+L8+K8+M8</f>
        <v>808832906.28249502</v>
      </c>
      <c r="O8" s="785">
        <v>4800</v>
      </c>
      <c r="P8" s="630">
        <f>IF(O8&lt;&gt;"",N8/O8,"")</f>
        <v>168506.85547551978</v>
      </c>
      <c r="Q8" s="780"/>
      <c r="R8" s="786" t="s">
        <v>346</v>
      </c>
      <c r="S8" s="782">
        <v>42371</v>
      </c>
      <c r="T8" s="236">
        <v>20</v>
      </c>
      <c r="U8" s="787">
        <v>46741.2</v>
      </c>
      <c r="V8" s="779">
        <f t="shared" ref="V8:V14" si="1">ROUND(T8*U8,0)</f>
        <v>934824</v>
      </c>
      <c r="W8" s="788"/>
    </row>
    <row r="9" spans="1:25">
      <c r="A9" s="777">
        <f>IF(B9&lt;&gt;"",A8+1,"")</f>
        <v>3</v>
      </c>
      <c r="B9" s="789" t="s">
        <v>453</v>
      </c>
      <c r="C9" s="778">
        <v>11</v>
      </c>
      <c r="D9" s="630">
        <f>ROUND(C9*O9,0)</f>
        <v>132000</v>
      </c>
      <c r="E9" s="630"/>
      <c r="F9" s="630">
        <v>14500</v>
      </c>
      <c r="G9" s="779">
        <f>(D9+E9)*F9</f>
        <v>1914000000</v>
      </c>
      <c r="H9" s="630">
        <f>IF($D$11&lt;&gt;0,H$11/($D$11+$E$11/5)*($D9+$E9/5),0)</f>
        <v>76689004.104627773</v>
      </c>
      <c r="I9" s="630">
        <f>IF($D$11&lt;&gt;0,I$11/$D$11*$D9,0)</f>
        <v>27934714.334004026</v>
      </c>
      <c r="J9" s="630">
        <f t="shared" si="0"/>
        <v>44073604.828973837</v>
      </c>
      <c r="K9" s="630">
        <f t="shared" si="0"/>
        <v>30351417.078470826</v>
      </c>
      <c r="L9" s="630">
        <f>V22+V23</f>
        <v>15225000</v>
      </c>
      <c r="M9" s="630"/>
      <c r="N9" s="779">
        <f>G9+I9+H9+J9+L9+K9+M9</f>
        <v>2108273740.3460765</v>
      </c>
      <c r="O9" s="785">
        <v>12000</v>
      </c>
      <c r="P9" s="630">
        <f>IF(O9&lt;&gt;"",N9/O9,"")</f>
        <v>175689.47836217305</v>
      </c>
      <c r="Q9" s="780"/>
      <c r="R9" s="786" t="s">
        <v>349</v>
      </c>
      <c r="S9" s="782">
        <v>42371</v>
      </c>
      <c r="T9" s="236">
        <v>150</v>
      </c>
      <c r="U9" s="787">
        <v>11666.673333333334</v>
      </c>
      <c r="V9" s="779">
        <f t="shared" si="1"/>
        <v>1750001</v>
      </c>
      <c r="W9" s="788"/>
    </row>
    <row r="10" spans="1:25" s="799" customFormat="1">
      <c r="A10" s="777" t="str">
        <f>IF(B10&lt;&gt;"",#REF!+1,"")</f>
        <v/>
      </c>
      <c r="B10" s="790"/>
      <c r="C10" s="791"/>
      <c r="D10" s="630"/>
      <c r="E10" s="792"/>
      <c r="F10" s="793"/>
      <c r="G10" s="794"/>
      <c r="H10" s="630"/>
      <c r="I10" s="793"/>
      <c r="J10" s="795"/>
      <c r="K10" s="793"/>
      <c r="L10" s="796"/>
      <c r="M10" s="793"/>
      <c r="N10" s="779"/>
      <c r="O10" s="797"/>
      <c r="P10" s="630" t="str">
        <f>IF(B10&lt;&gt;"",N10/O10,"")</f>
        <v/>
      </c>
      <c r="Q10" s="798"/>
      <c r="R10" s="786" t="s">
        <v>225</v>
      </c>
      <c r="S10" s="782">
        <v>42376</v>
      </c>
      <c r="T10" s="236">
        <v>100</v>
      </c>
      <c r="U10" s="787">
        <v>21979.791919191921</v>
      </c>
      <c r="V10" s="779">
        <f t="shared" si="1"/>
        <v>2197979</v>
      </c>
      <c r="W10" s="788"/>
    </row>
    <row r="11" spans="1:25" s="754" customFormat="1">
      <c r="A11" s="800"/>
      <c r="B11" s="801" t="s">
        <v>550</v>
      </c>
      <c r="C11" s="802"/>
      <c r="D11" s="803">
        <f>SUM(D7:D10)</f>
        <v>248500</v>
      </c>
      <c r="E11" s="803"/>
      <c r="F11" s="803"/>
      <c r="G11" s="803">
        <f>SUM(G7:G10)</f>
        <v>3874000000</v>
      </c>
      <c r="H11" s="804">
        <v>144372860</v>
      </c>
      <c r="I11" s="804">
        <f>V17</f>
        <v>52589216</v>
      </c>
      <c r="J11" s="804">
        <v>82971900</v>
      </c>
      <c r="K11" s="804">
        <v>57138842</v>
      </c>
      <c r="L11" s="803">
        <f>ROUND(SUM(L7:L10),0)</f>
        <v>69371000</v>
      </c>
      <c r="M11" s="803">
        <f>ROUND(SUM(M7:M10),0)</f>
        <v>0</v>
      </c>
      <c r="N11" s="803">
        <f>ROUND(SUM(N7:N10),0)</f>
        <v>4280443818</v>
      </c>
      <c r="O11" s="803">
        <f>ROUND(SUM(O7:O10),0)</f>
        <v>23900</v>
      </c>
      <c r="P11" s="803"/>
      <c r="Q11" s="759"/>
      <c r="R11" s="786" t="s">
        <v>354</v>
      </c>
      <c r="S11" s="782"/>
      <c r="T11" s="236"/>
      <c r="U11" s="787">
        <v>3500</v>
      </c>
      <c r="V11" s="779">
        <f t="shared" si="1"/>
        <v>0</v>
      </c>
      <c r="W11" s="788"/>
    </row>
    <row r="12" spans="1:25" s="754" customFormat="1">
      <c r="A12" s="805"/>
      <c r="B12" s="806"/>
      <c r="C12" s="763"/>
      <c r="D12" s="807"/>
      <c r="E12" s="807"/>
      <c r="F12" s="807"/>
      <c r="G12" s="807"/>
      <c r="H12" s="807"/>
      <c r="I12" s="761"/>
      <c r="J12" s="807"/>
      <c r="K12" s="807"/>
      <c r="L12" s="807"/>
      <c r="M12" s="807"/>
      <c r="N12" s="807"/>
      <c r="O12" s="807"/>
      <c r="P12" s="807"/>
      <c r="Q12" s="759"/>
      <c r="R12" s="786" t="s">
        <v>357</v>
      </c>
      <c r="S12" s="782">
        <v>42376</v>
      </c>
      <c r="T12" s="236">
        <v>2700</v>
      </c>
      <c r="U12" s="787">
        <v>14899.99962962963</v>
      </c>
      <c r="V12" s="779">
        <f t="shared" si="1"/>
        <v>40229999</v>
      </c>
      <c r="W12" s="788"/>
    </row>
    <row r="13" spans="1:25" s="754" customFormat="1">
      <c r="A13" s="805"/>
      <c r="B13" s="806"/>
      <c r="C13" s="763"/>
      <c r="D13" s="807"/>
      <c r="E13" s="807"/>
      <c r="F13" s="807"/>
      <c r="G13" s="808"/>
      <c r="H13" s="807"/>
      <c r="I13" s="761"/>
      <c r="J13" s="807"/>
      <c r="K13" s="807"/>
      <c r="L13" s="807"/>
      <c r="M13" s="807"/>
      <c r="N13" s="807"/>
      <c r="O13" s="807"/>
      <c r="P13" s="807"/>
      <c r="Q13" s="759"/>
      <c r="R13" s="786" t="s">
        <v>360</v>
      </c>
      <c r="S13" s="782">
        <v>42384</v>
      </c>
      <c r="T13" s="236">
        <v>400</v>
      </c>
      <c r="U13" s="787">
        <v>8500</v>
      </c>
      <c r="V13" s="779">
        <f t="shared" si="1"/>
        <v>3400000</v>
      </c>
      <c r="W13" s="788"/>
    </row>
    <row r="14" spans="1:25" s="754" customFormat="1">
      <c r="A14" s="805"/>
      <c r="B14" s="806"/>
      <c r="C14" s="763"/>
      <c r="D14" s="807"/>
      <c r="E14" s="807"/>
      <c r="F14" s="807"/>
      <c r="G14" s="808"/>
      <c r="H14" s="807"/>
      <c r="I14" s="761"/>
      <c r="J14" s="807"/>
      <c r="K14" s="807"/>
      <c r="L14" s="807"/>
      <c r="M14" s="807"/>
      <c r="N14" s="807"/>
      <c r="O14" s="807"/>
      <c r="P14" s="807"/>
      <c r="Q14" s="759"/>
      <c r="R14" s="786" t="s">
        <v>364</v>
      </c>
      <c r="S14" s="782">
        <v>42384</v>
      </c>
      <c r="T14" s="809">
        <v>1647</v>
      </c>
      <c r="U14" s="809">
        <v>322.9927140255009</v>
      </c>
      <c r="V14" s="779">
        <f t="shared" si="1"/>
        <v>531969</v>
      </c>
      <c r="W14" s="788"/>
    </row>
    <row r="15" spans="1:25" s="754" customFormat="1">
      <c r="A15" s="805"/>
      <c r="B15" s="806"/>
      <c r="C15" s="763"/>
      <c r="D15" s="807"/>
      <c r="E15" s="807"/>
      <c r="F15" s="807"/>
      <c r="G15" s="808"/>
      <c r="H15" s="807"/>
      <c r="I15" s="761"/>
      <c r="J15" s="807"/>
      <c r="K15" s="807"/>
      <c r="L15" s="807"/>
      <c r="M15" s="807"/>
      <c r="N15" s="807"/>
      <c r="O15" s="807"/>
      <c r="P15" s="807"/>
      <c r="Q15" s="750"/>
      <c r="R15" s="810"/>
      <c r="S15" s="782"/>
      <c r="T15" s="811"/>
      <c r="U15" s="811"/>
      <c r="V15" s="811"/>
      <c r="W15" s="788"/>
    </row>
    <row r="16" spans="1:25" s="754" customFormat="1">
      <c r="A16" s="805"/>
      <c r="B16" s="806"/>
      <c r="C16" s="763"/>
      <c r="D16" s="807"/>
      <c r="E16" s="807"/>
      <c r="F16" s="807"/>
      <c r="G16" s="808"/>
      <c r="H16" s="807"/>
      <c r="I16" s="761"/>
      <c r="J16" s="807"/>
      <c r="K16" s="807"/>
      <c r="L16" s="807"/>
      <c r="M16" s="807"/>
      <c r="N16" s="807"/>
      <c r="O16" s="807"/>
      <c r="P16" s="807"/>
      <c r="Q16" s="750"/>
      <c r="R16" s="810"/>
      <c r="S16" s="782"/>
      <c r="T16" s="811"/>
      <c r="U16" s="811"/>
      <c r="V16" s="811"/>
      <c r="W16" s="788"/>
    </row>
    <row r="17" spans="1:24" s="754" customFormat="1">
      <c r="A17" s="805"/>
      <c r="B17" s="806"/>
      <c r="C17" s="763"/>
      <c r="D17" s="807"/>
      <c r="E17" s="807"/>
      <c r="F17" s="807"/>
      <c r="G17" s="807"/>
      <c r="H17" s="807"/>
      <c r="I17" s="761"/>
      <c r="J17" s="807"/>
      <c r="K17" s="807"/>
      <c r="L17" s="807"/>
      <c r="M17" s="807"/>
      <c r="N17" s="807"/>
      <c r="O17" s="807"/>
      <c r="P17" s="807"/>
      <c r="Q17" s="750"/>
      <c r="R17" s="1401"/>
      <c r="S17" s="1401"/>
      <c r="T17" s="1401"/>
      <c r="U17" s="962"/>
      <c r="V17" s="813">
        <f>SUM(V7:V16)</f>
        <v>52589216</v>
      </c>
      <c r="W17" s="813">
        <f>SUM(W7:W16)</f>
        <v>0</v>
      </c>
    </row>
    <row r="18" spans="1:24">
      <c r="G18" s="768"/>
      <c r="H18" s="768"/>
      <c r="I18" s="814"/>
      <c r="N18" s="815"/>
      <c r="O18" s="807"/>
      <c r="R18" s="809" t="s">
        <v>395</v>
      </c>
      <c r="S18" s="782">
        <v>42388</v>
      </c>
      <c r="T18" s="236">
        <v>400</v>
      </c>
      <c r="U18" s="236">
        <v>17000</v>
      </c>
      <c r="V18" s="779">
        <f t="shared" ref="V18:V23" si="2">ROUND(T18*U18,0)</f>
        <v>6800000</v>
      </c>
      <c r="W18" s="795"/>
    </row>
    <row r="19" spans="1:24">
      <c r="G19" s="768"/>
      <c r="H19" s="768"/>
      <c r="I19" s="814"/>
      <c r="N19" s="815"/>
      <c r="O19" s="807"/>
      <c r="R19" s="809" t="s">
        <v>398</v>
      </c>
      <c r="S19" s="782">
        <v>42388</v>
      </c>
      <c r="T19" s="236">
        <v>400</v>
      </c>
      <c r="U19" s="787">
        <v>2500</v>
      </c>
      <c r="V19" s="779">
        <f t="shared" si="2"/>
        <v>1000000</v>
      </c>
      <c r="W19" s="795"/>
    </row>
    <row r="20" spans="1:24">
      <c r="G20" s="768"/>
      <c r="H20" s="768"/>
      <c r="I20" s="814"/>
      <c r="N20" s="815"/>
      <c r="O20" s="807"/>
      <c r="R20" s="809" t="s">
        <v>402</v>
      </c>
      <c r="S20" s="782">
        <v>42391</v>
      </c>
      <c r="T20" s="787">
        <v>620</v>
      </c>
      <c r="U20" s="787">
        <v>18300</v>
      </c>
      <c r="V20" s="779">
        <f t="shared" si="2"/>
        <v>11346000</v>
      </c>
      <c r="W20" s="795"/>
    </row>
    <row r="21" spans="1:24">
      <c r="G21" s="768"/>
      <c r="H21" s="768"/>
      <c r="I21" s="814"/>
      <c r="N21" s="815"/>
      <c r="O21" s="807"/>
      <c r="R21" s="809" t="s">
        <v>656</v>
      </c>
      <c r="S21" s="782">
        <v>42391</v>
      </c>
      <c r="T21" s="787">
        <v>2500</v>
      </c>
      <c r="U21" s="787">
        <v>14000</v>
      </c>
      <c r="V21" s="779">
        <f t="shared" si="2"/>
        <v>35000000</v>
      </c>
      <c r="W21" s="795"/>
    </row>
    <row r="22" spans="1:24">
      <c r="G22" s="768"/>
      <c r="H22" s="768"/>
      <c r="I22" s="814"/>
      <c r="N22" s="815"/>
      <c r="O22" s="807"/>
      <c r="R22" s="786" t="s">
        <v>391</v>
      </c>
      <c r="S22" s="782">
        <v>42398</v>
      </c>
      <c r="T22" s="787">
        <v>1150</v>
      </c>
      <c r="U22" s="787">
        <v>12000</v>
      </c>
      <c r="V22" s="779">
        <f t="shared" si="2"/>
        <v>13800000</v>
      </c>
      <c r="W22" s="795"/>
    </row>
    <row r="23" spans="1:24">
      <c r="G23" s="768"/>
      <c r="H23" s="768"/>
      <c r="I23" s="814"/>
      <c r="N23" s="815"/>
      <c r="O23" s="807"/>
      <c r="R23" s="809" t="s">
        <v>393</v>
      </c>
      <c r="S23" s="782">
        <v>42398</v>
      </c>
      <c r="T23" s="787">
        <v>150</v>
      </c>
      <c r="U23" s="787">
        <v>9500</v>
      </c>
      <c r="V23" s="779">
        <f t="shared" si="2"/>
        <v>1425000</v>
      </c>
      <c r="W23" s="795"/>
    </row>
    <row r="24" spans="1:24" ht="18" customHeight="1">
      <c r="A24" s="754" t="s">
        <v>533</v>
      </c>
      <c r="B24" s="754"/>
      <c r="C24" s="755"/>
      <c r="D24" s="756"/>
      <c r="E24" s="756"/>
      <c r="F24" s="756"/>
      <c r="G24" s="753"/>
      <c r="H24" s="753"/>
      <c r="I24" s="753"/>
      <c r="J24" s="753"/>
      <c r="K24" s="753"/>
      <c r="L24" s="757"/>
      <c r="M24" s="753"/>
      <c r="N24" s="753"/>
      <c r="O24" s="758"/>
      <c r="P24" s="753"/>
      <c r="Q24" s="759"/>
      <c r="R24" s="816"/>
      <c r="S24" s="817"/>
      <c r="T24" s="818"/>
      <c r="U24" s="818"/>
      <c r="V24" s="818"/>
      <c r="W24" s="819"/>
      <c r="X24" s="768"/>
    </row>
    <row r="25" spans="1:24" ht="18.75" customHeight="1">
      <c r="A25" s="761" t="s">
        <v>551</v>
      </c>
      <c r="B25" s="761"/>
      <c r="C25" s="761"/>
      <c r="D25" s="761"/>
      <c r="E25" s="761"/>
      <c r="F25" s="761"/>
      <c r="G25" s="761"/>
      <c r="H25" s="761"/>
      <c r="I25" s="761"/>
      <c r="J25" s="761"/>
      <c r="K25" s="761"/>
      <c r="L25" s="761"/>
      <c r="M25" s="761"/>
      <c r="N25" s="761"/>
      <c r="O25" s="761"/>
      <c r="P25" s="761"/>
      <c r="Q25" s="759"/>
      <c r="R25" s="820"/>
      <c r="S25" s="821"/>
      <c r="T25" s="769"/>
      <c r="U25" s="769"/>
      <c r="V25" s="822"/>
    </row>
    <row r="26" spans="1:24" ht="18.75" customHeight="1">
      <c r="A26" s="762"/>
      <c r="B26" s="762"/>
      <c r="C26" s="763"/>
      <c r="D26" s="762"/>
      <c r="E26" s="762"/>
      <c r="F26" s="762"/>
      <c r="G26" s="762"/>
      <c r="H26" s="762"/>
      <c r="I26" s="762"/>
      <c r="J26" s="762"/>
      <c r="K26" s="762"/>
      <c r="L26" s="761"/>
      <c r="M26" s="762"/>
      <c r="N26" s="762"/>
      <c r="O26" s="764"/>
      <c r="P26" s="762"/>
      <c r="Q26" s="759"/>
      <c r="R26" s="753"/>
      <c r="S26" s="760"/>
    </row>
    <row r="27" spans="1:24" ht="12.75" customHeight="1">
      <c r="A27" s="765"/>
      <c r="B27" s="765"/>
      <c r="C27" s="766"/>
      <c r="D27" s="765"/>
      <c r="E27" s="765"/>
      <c r="F27" s="765"/>
      <c r="G27" s="765"/>
      <c r="H27" s="765"/>
      <c r="I27" s="765"/>
      <c r="J27" s="765"/>
      <c r="K27" s="765"/>
      <c r="L27" s="765"/>
      <c r="M27" s="765"/>
      <c r="N27" s="765"/>
      <c r="O27" s="767"/>
      <c r="P27" s="765"/>
      <c r="Q27" s="759"/>
      <c r="R27" s="753"/>
      <c r="S27" s="760"/>
    </row>
    <row r="28" spans="1:24" s="776" customFormat="1" ht="30.75" customHeight="1">
      <c r="A28" s="770" t="s">
        <v>37</v>
      </c>
      <c r="B28" s="770" t="s">
        <v>535</v>
      </c>
      <c r="C28" s="771" t="s">
        <v>536</v>
      </c>
      <c r="D28" s="772" t="s">
        <v>537</v>
      </c>
      <c r="E28" s="772" t="s">
        <v>538</v>
      </c>
      <c r="F28" s="772" t="s">
        <v>539</v>
      </c>
      <c r="G28" s="772" t="s">
        <v>540</v>
      </c>
      <c r="H28" s="772" t="s">
        <v>541</v>
      </c>
      <c r="I28" s="772" t="s">
        <v>542</v>
      </c>
      <c r="J28" s="772" t="s">
        <v>543</v>
      </c>
      <c r="K28" s="773" t="s">
        <v>544</v>
      </c>
      <c r="L28" s="772" t="s">
        <v>545</v>
      </c>
      <c r="M28" s="773" t="s">
        <v>546</v>
      </c>
      <c r="N28" s="772" t="s">
        <v>547</v>
      </c>
      <c r="O28" s="774" t="s">
        <v>538</v>
      </c>
      <c r="P28" s="772" t="s">
        <v>548</v>
      </c>
      <c r="Q28" s="775"/>
      <c r="R28" s="770" t="s">
        <v>535</v>
      </c>
      <c r="S28" s="772" t="s">
        <v>502</v>
      </c>
      <c r="T28" s="772" t="s">
        <v>338</v>
      </c>
      <c r="U28" s="772" t="s">
        <v>539</v>
      </c>
      <c r="V28" s="772" t="s">
        <v>549</v>
      </c>
      <c r="W28" s="770" t="s">
        <v>549</v>
      </c>
    </row>
    <row r="29" spans="1:24">
      <c r="A29" s="777">
        <f>IF(B29&lt;&gt;"",ROW()-(ROW()-1),"")</f>
        <v>1</v>
      </c>
      <c r="B29" s="789" t="s">
        <v>453</v>
      </c>
      <c r="C29" s="778">
        <v>11</v>
      </c>
      <c r="D29" s="630">
        <f>ROUND(C29*O29,0)</f>
        <v>88000</v>
      </c>
      <c r="E29" s="630"/>
      <c r="F29" s="630">
        <v>13200</v>
      </c>
      <c r="G29" s="779">
        <f>(D29+E29)*F29</f>
        <v>1161600000</v>
      </c>
      <c r="H29" s="630">
        <f>IF($D$32&lt;&gt;0,H$32/($D$32+$E$32/5)*($D29+$E29/5),0)</f>
        <v>121393280</v>
      </c>
      <c r="I29" s="630">
        <f t="shared" ref="I29:K30" si="3">IF($D$32&lt;&gt;0,I$32/$D$32*$D29,0)</f>
        <v>17952687</v>
      </c>
      <c r="J29" s="630">
        <f t="shared" si="3"/>
        <v>66582899.999999993</v>
      </c>
      <c r="K29" s="630">
        <f t="shared" si="3"/>
        <v>57138841.999999993</v>
      </c>
      <c r="L29" s="630">
        <f>V39</f>
        <v>12139811</v>
      </c>
      <c r="M29" s="630"/>
      <c r="N29" s="779">
        <f>SUM(G29:L29)</f>
        <v>1436807520</v>
      </c>
      <c r="O29" s="630">
        <v>8000</v>
      </c>
      <c r="P29" s="630">
        <f>IF(O29&lt;&gt;"",N29/O29,"")</f>
        <v>179600.94</v>
      </c>
      <c r="Q29" s="798"/>
      <c r="R29" s="781" t="s">
        <v>340</v>
      </c>
      <c r="S29" s="782">
        <v>42415</v>
      </c>
      <c r="T29" s="236">
        <v>20</v>
      </c>
      <c r="U29" s="783">
        <v>35444.444444444445</v>
      </c>
      <c r="V29" s="779">
        <f t="shared" ref="V29:V36" si="4">ROUND(T29*U29,0)</f>
        <v>708889</v>
      </c>
      <c r="W29" s="784"/>
    </row>
    <row r="30" spans="1:24">
      <c r="A30" s="777" t="str">
        <f>IF(B30&lt;&gt;"",A29+1,"")</f>
        <v/>
      </c>
      <c r="B30" s="786"/>
      <c r="C30" s="778">
        <f>IF(ISNA(VLOOKUP(B30,[4]NXT!$Q$61:$S$81,2,0)),0,VLOOKUP(B30,[4]NXT!$Q$61:$S$81,2,0))</f>
        <v>0</v>
      </c>
      <c r="D30" s="630">
        <f>ROUND(C30*O30,0)</f>
        <v>0</v>
      </c>
      <c r="E30" s="630"/>
      <c r="F30" s="630"/>
      <c r="G30" s="779">
        <f>(D30+E30)*F30</f>
        <v>0</v>
      </c>
      <c r="H30" s="630">
        <f>IF($D$32&lt;&gt;0,H$32/($D$32+$E$32/5)*($D30+$E30/5),0)</f>
        <v>0</v>
      </c>
      <c r="I30" s="630">
        <f t="shared" si="3"/>
        <v>0</v>
      </c>
      <c r="J30" s="630">
        <f t="shared" si="3"/>
        <v>0</v>
      </c>
      <c r="K30" s="630">
        <f t="shared" si="3"/>
        <v>0</v>
      </c>
      <c r="L30" s="630"/>
      <c r="M30" s="630"/>
      <c r="N30" s="779">
        <f>SUM(G30:L30)</f>
        <v>0</v>
      </c>
      <c r="O30" s="785"/>
      <c r="P30" s="630" t="str">
        <f>IF(O30&lt;&gt;"",N30/O30,"")</f>
        <v/>
      </c>
      <c r="Q30" s="798"/>
      <c r="R30" s="786" t="s">
        <v>346</v>
      </c>
      <c r="S30" s="782">
        <v>42415</v>
      </c>
      <c r="T30" s="236">
        <v>5</v>
      </c>
      <c r="U30" s="236">
        <v>46741.2</v>
      </c>
      <c r="V30" s="779">
        <f t="shared" si="4"/>
        <v>233706</v>
      </c>
      <c r="W30" s="788"/>
    </row>
    <row r="31" spans="1:24" s="799" customFormat="1">
      <c r="A31" s="777" t="str">
        <f>IF(B31&lt;&gt;"",#REF!+1,"")</f>
        <v/>
      </c>
      <c r="B31" s="823"/>
      <c r="C31" s="824"/>
      <c r="D31" s="825"/>
      <c r="E31" s="825"/>
      <c r="F31" s="825"/>
      <c r="G31" s="826"/>
      <c r="H31" s="827"/>
      <c r="I31" s="825"/>
      <c r="J31" s="828"/>
      <c r="K31" s="825"/>
      <c r="L31" s="829"/>
      <c r="M31" s="825"/>
      <c r="N31" s="827"/>
      <c r="O31" s="830"/>
      <c r="P31" s="825"/>
      <c r="Q31" s="798"/>
      <c r="R31" s="786" t="s">
        <v>349</v>
      </c>
      <c r="S31" s="782">
        <v>42415</v>
      </c>
      <c r="T31" s="236">
        <v>150</v>
      </c>
      <c r="U31" s="787">
        <v>11666.673333333334</v>
      </c>
      <c r="V31" s="779">
        <f t="shared" si="4"/>
        <v>1750001</v>
      </c>
      <c r="W31" s="788"/>
    </row>
    <row r="32" spans="1:24" s="754" customFormat="1">
      <c r="A32" s="800"/>
      <c r="B32" s="801" t="s">
        <v>550</v>
      </c>
      <c r="C32" s="802"/>
      <c r="D32" s="803">
        <f>SUM(D29:D31)</f>
        <v>88000</v>
      </c>
      <c r="E32" s="803">
        <f>SUM(E29:E31)</f>
        <v>0</v>
      </c>
      <c r="F32" s="803"/>
      <c r="G32" s="803">
        <f>SUM(G29:G31)</f>
        <v>1161600000</v>
      </c>
      <c r="H32" s="804">
        <v>121393280</v>
      </c>
      <c r="I32" s="804">
        <f>$V$38</f>
        <v>17952687</v>
      </c>
      <c r="J32" s="804">
        <v>66582900</v>
      </c>
      <c r="K32" s="804">
        <v>57138842</v>
      </c>
      <c r="L32" s="803">
        <f>ROUND(SUM(L29:L31),0)</f>
        <v>12139811</v>
      </c>
      <c r="M32" s="803">
        <f>ROUND(SUM(M29:M31),0)</f>
        <v>0</v>
      </c>
      <c r="N32" s="803">
        <f>ROUND(SUM(N29:N31),0)</f>
        <v>1436807520</v>
      </c>
      <c r="O32" s="803">
        <f>ROUND(SUM(O29:O31),0)</f>
        <v>8000</v>
      </c>
      <c r="P32" s="803"/>
      <c r="Q32" s="759"/>
      <c r="R32" s="786" t="s">
        <v>225</v>
      </c>
      <c r="S32" s="782">
        <v>42415</v>
      </c>
      <c r="T32" s="236">
        <v>45</v>
      </c>
      <c r="U32" s="787">
        <v>21979.791919191921</v>
      </c>
      <c r="V32" s="779">
        <f t="shared" si="4"/>
        <v>989091</v>
      </c>
      <c r="W32" s="788"/>
    </row>
    <row r="33" spans="1:23" s="754" customFormat="1">
      <c r="A33" s="805"/>
      <c r="B33" s="806"/>
      <c r="C33" s="763"/>
      <c r="D33" s="807"/>
      <c r="E33" s="807"/>
      <c r="F33" s="807"/>
      <c r="G33" s="807"/>
      <c r="H33" s="807"/>
      <c r="I33" s="761"/>
      <c r="J33" s="807"/>
      <c r="K33" s="807"/>
      <c r="L33" s="807"/>
      <c r="M33" s="807"/>
      <c r="N33" s="807"/>
      <c r="O33" s="807"/>
      <c r="P33" s="807"/>
      <c r="Q33" s="759"/>
      <c r="R33" s="786" t="s">
        <v>354</v>
      </c>
      <c r="S33" s="782"/>
      <c r="T33" s="236"/>
      <c r="U33" s="236">
        <v>3500</v>
      </c>
      <c r="V33" s="779">
        <f t="shared" si="4"/>
        <v>0</v>
      </c>
      <c r="W33" s="831"/>
    </row>
    <row r="34" spans="1:23" s="754" customFormat="1">
      <c r="A34" s="805"/>
      <c r="B34" s="806"/>
      <c r="C34" s="763"/>
      <c r="D34" s="807"/>
      <c r="E34" s="807"/>
      <c r="F34" s="807"/>
      <c r="G34" s="807"/>
      <c r="H34" s="807"/>
      <c r="I34" s="761"/>
      <c r="J34" s="807"/>
      <c r="K34" s="807"/>
      <c r="L34" s="807"/>
      <c r="M34" s="807"/>
      <c r="N34" s="807"/>
      <c r="O34" s="807"/>
      <c r="P34" s="807"/>
      <c r="Q34" s="759"/>
      <c r="R34" s="786" t="s">
        <v>357</v>
      </c>
      <c r="S34" s="782">
        <v>42415</v>
      </c>
      <c r="T34" s="236">
        <v>540</v>
      </c>
      <c r="U34" s="236">
        <v>14900</v>
      </c>
      <c r="V34" s="779">
        <f t="shared" si="4"/>
        <v>8046000</v>
      </c>
      <c r="W34" s="831"/>
    </row>
    <row r="35" spans="1:23" s="754" customFormat="1">
      <c r="A35" s="805"/>
      <c r="B35" s="806"/>
      <c r="C35" s="763"/>
      <c r="D35" s="807"/>
      <c r="E35" s="807"/>
      <c r="F35" s="807"/>
      <c r="G35" s="807"/>
      <c r="H35" s="807"/>
      <c r="I35" s="761"/>
      <c r="J35" s="807"/>
      <c r="K35" s="807"/>
      <c r="L35" s="807"/>
      <c r="M35" s="807"/>
      <c r="N35" s="807"/>
      <c r="O35" s="807"/>
      <c r="P35" s="807"/>
      <c r="Q35" s="759"/>
      <c r="R35" s="786" t="s">
        <v>360</v>
      </c>
      <c r="S35" s="782">
        <v>42425</v>
      </c>
      <c r="T35" s="236">
        <v>150</v>
      </c>
      <c r="U35" s="236">
        <v>8500</v>
      </c>
      <c r="V35" s="779">
        <f t="shared" si="4"/>
        <v>1275000</v>
      </c>
      <c r="W35" s="831"/>
    </row>
    <row r="36" spans="1:23" s="754" customFormat="1">
      <c r="A36" s="805"/>
      <c r="B36" s="806"/>
      <c r="C36" s="763"/>
      <c r="D36" s="807"/>
      <c r="E36" s="807"/>
      <c r="F36" s="807"/>
      <c r="G36" s="807"/>
      <c r="H36" s="807"/>
      <c r="I36" s="761"/>
      <c r="J36" s="807"/>
      <c r="K36" s="807"/>
      <c r="L36" s="807"/>
      <c r="M36" s="807"/>
      <c r="N36" s="807"/>
      <c r="O36" s="807"/>
      <c r="P36" s="807"/>
      <c r="Q36" s="759"/>
      <c r="R36" s="786" t="s">
        <v>364</v>
      </c>
      <c r="S36" s="782">
        <v>42425</v>
      </c>
      <c r="T36" s="236">
        <v>150</v>
      </c>
      <c r="U36" s="809">
        <v>33000</v>
      </c>
      <c r="V36" s="779">
        <f t="shared" si="4"/>
        <v>4950000</v>
      </c>
      <c r="W36" s="831"/>
    </row>
    <row r="37" spans="1:23">
      <c r="R37" s="810"/>
      <c r="S37" s="782"/>
      <c r="T37" s="811"/>
      <c r="U37" s="236"/>
      <c r="V37" s="811"/>
      <c r="W37" s="831"/>
    </row>
    <row r="38" spans="1:23">
      <c r="R38" s="832"/>
      <c r="S38" s="833"/>
      <c r="T38" s="834"/>
      <c r="U38" s="962"/>
      <c r="V38" s="813">
        <f>SUM(V29:V37)</f>
        <v>17952687</v>
      </c>
      <c r="W38" s="813">
        <f>SUM(W29:W37)</f>
        <v>0</v>
      </c>
    </row>
    <row r="39" spans="1:23">
      <c r="R39" s="835" t="s">
        <v>382</v>
      </c>
      <c r="S39" s="782">
        <v>42401</v>
      </c>
      <c r="T39" s="236">
        <v>2100</v>
      </c>
      <c r="U39" s="236">
        <v>5780.8622078968574</v>
      </c>
      <c r="V39" s="779">
        <f>ROUND(T39*U39,0)</f>
        <v>12139811</v>
      </c>
      <c r="W39" s="784"/>
    </row>
    <row r="40" spans="1:23">
      <c r="R40" s="835"/>
      <c r="S40" s="782"/>
      <c r="T40" s="236"/>
      <c r="U40" s="236"/>
      <c r="V40" s="779">
        <f>ROUND(T40*U40,0)</f>
        <v>0</v>
      </c>
      <c r="W40" s="784"/>
    </row>
    <row r="41" spans="1:23">
      <c r="R41" s="835"/>
      <c r="S41" s="782"/>
      <c r="T41" s="236"/>
      <c r="U41" s="236"/>
      <c r="V41" s="779">
        <f>ROUND(T41*U41,0)</f>
        <v>0</v>
      </c>
      <c r="W41" s="784"/>
    </row>
    <row r="42" spans="1:23" ht="18" customHeight="1">
      <c r="A42" s="754" t="s">
        <v>533</v>
      </c>
      <c r="B42" s="754"/>
      <c r="C42" s="755"/>
      <c r="D42" s="756"/>
      <c r="E42" s="756"/>
      <c r="F42" s="756"/>
      <c r="G42" s="753"/>
      <c r="H42" s="753"/>
      <c r="I42" s="753"/>
      <c r="J42" s="753"/>
      <c r="K42" s="753"/>
      <c r="L42" s="757"/>
      <c r="M42" s="753"/>
      <c r="N42" s="753"/>
      <c r="O42" s="758"/>
      <c r="P42" s="753"/>
      <c r="Q42" s="759"/>
      <c r="R42" s="759"/>
      <c r="S42" s="836"/>
      <c r="T42" s="769"/>
      <c r="U42" s="769"/>
      <c r="V42" s="769"/>
      <c r="W42" s="837"/>
    </row>
    <row r="43" spans="1:23" ht="18.75" customHeight="1">
      <c r="A43" s="761" t="s">
        <v>552</v>
      </c>
      <c r="B43" s="761"/>
      <c r="C43" s="761"/>
      <c r="D43" s="761"/>
      <c r="E43" s="761"/>
      <c r="F43" s="761"/>
      <c r="G43" s="761"/>
      <c r="H43" s="761"/>
      <c r="I43" s="761"/>
      <c r="J43" s="761"/>
      <c r="K43" s="761"/>
      <c r="L43" s="761"/>
      <c r="M43" s="761"/>
      <c r="N43" s="761"/>
      <c r="O43" s="761"/>
      <c r="P43" s="761"/>
      <c r="Q43" s="759"/>
      <c r="R43" s="820"/>
      <c r="S43" s="821"/>
      <c r="T43" s="769"/>
      <c r="U43" s="769"/>
      <c r="V43" s="822"/>
      <c r="W43" s="837"/>
    </row>
    <row r="44" spans="1:23" ht="18.75" customHeight="1">
      <c r="A44" s="762"/>
      <c r="B44" s="762"/>
      <c r="C44" s="763"/>
      <c r="D44" s="762"/>
      <c r="E44" s="762"/>
      <c r="F44" s="762"/>
      <c r="G44" s="762"/>
      <c r="H44" s="762"/>
      <c r="I44" s="762"/>
      <c r="J44" s="762"/>
      <c r="K44" s="762"/>
      <c r="L44" s="761"/>
      <c r="M44" s="762"/>
      <c r="N44" s="762"/>
      <c r="O44" s="764"/>
      <c r="P44" s="762"/>
      <c r="Q44" s="759"/>
      <c r="R44" s="820"/>
      <c r="S44" s="821"/>
      <c r="T44" s="769"/>
      <c r="U44" s="769"/>
      <c r="V44" s="822"/>
      <c r="W44" s="837"/>
    </row>
    <row r="45" spans="1:23" ht="12.75" customHeight="1">
      <c r="A45" s="765"/>
      <c r="B45" s="765"/>
      <c r="C45" s="766"/>
      <c r="D45" s="765"/>
      <c r="E45" s="765"/>
      <c r="F45" s="765"/>
      <c r="G45" s="765"/>
      <c r="H45" s="765"/>
      <c r="I45" s="765"/>
      <c r="J45" s="765"/>
      <c r="K45" s="765"/>
      <c r="L45" s="765"/>
      <c r="M45" s="765"/>
      <c r="N45" s="765"/>
      <c r="O45" s="767"/>
      <c r="P45" s="765"/>
      <c r="Q45" s="759"/>
      <c r="R45" s="820"/>
      <c r="S45" s="821"/>
      <c r="T45" s="769"/>
      <c r="U45" s="769"/>
      <c r="V45" s="822"/>
      <c r="W45" s="768"/>
    </row>
    <row r="46" spans="1:23" s="776" customFormat="1" ht="30.75" customHeight="1">
      <c r="A46" s="770" t="s">
        <v>37</v>
      </c>
      <c r="B46" s="770" t="s">
        <v>535</v>
      </c>
      <c r="C46" s="771" t="s">
        <v>536</v>
      </c>
      <c r="D46" s="772" t="s">
        <v>537</v>
      </c>
      <c r="E46" s="772" t="s">
        <v>538</v>
      </c>
      <c r="F46" s="772" t="s">
        <v>539</v>
      </c>
      <c r="G46" s="772" t="s">
        <v>540</v>
      </c>
      <c r="H46" s="772" t="s">
        <v>541</v>
      </c>
      <c r="I46" s="772" t="s">
        <v>542</v>
      </c>
      <c r="J46" s="772" t="s">
        <v>543</v>
      </c>
      <c r="K46" s="773" t="s">
        <v>544</v>
      </c>
      <c r="L46" s="772" t="s">
        <v>545</v>
      </c>
      <c r="M46" s="773" t="s">
        <v>546</v>
      </c>
      <c r="N46" s="772" t="s">
        <v>547</v>
      </c>
      <c r="O46" s="774" t="s">
        <v>538</v>
      </c>
      <c r="P46" s="772" t="s">
        <v>548</v>
      </c>
      <c r="Q46" s="775"/>
      <c r="R46" s="770" t="s">
        <v>535</v>
      </c>
      <c r="S46" s="772" t="s">
        <v>502</v>
      </c>
      <c r="T46" s="772" t="s">
        <v>338</v>
      </c>
      <c r="U46" s="772" t="s">
        <v>539</v>
      </c>
      <c r="V46" s="772" t="s">
        <v>549</v>
      </c>
      <c r="W46" s="770" t="s">
        <v>549</v>
      </c>
    </row>
    <row r="47" spans="1:23">
      <c r="A47" s="777">
        <f>IF(B47&lt;&gt;"",ROW()-(ROW()-1),"")</f>
        <v>1</v>
      </c>
      <c r="B47" s="789" t="s">
        <v>453</v>
      </c>
      <c r="C47" s="778">
        <v>0</v>
      </c>
      <c r="D47" s="630">
        <f>ROUND(C47*O47,0)</f>
        <v>0</v>
      </c>
      <c r="E47" s="630">
        <v>8000</v>
      </c>
      <c r="F47" s="630">
        <f>P29</f>
        <v>179600.94</v>
      </c>
      <c r="G47" s="779">
        <f>(D47+E47)*F47</f>
        <v>1436807520</v>
      </c>
      <c r="H47" s="630">
        <f>IF($D$52&lt;&gt;0,H$52/($D$52+$E$52/5)*($D47+$E47/5),0)</f>
        <v>2497109.0581778265</v>
      </c>
      <c r="I47" s="630">
        <f t="shared" ref="I47:K49" si="5">IF($D$52&lt;&gt;0,I$52/$D$52*$D47,0)</f>
        <v>0</v>
      </c>
      <c r="J47" s="630">
        <f t="shared" si="5"/>
        <v>0</v>
      </c>
      <c r="K47" s="630">
        <f t="shared" si="5"/>
        <v>0</v>
      </c>
      <c r="L47" s="630">
        <f>SUM($V$57:$V$58)/SUM($O$47:$O$48)*O47</f>
        <v>10075200</v>
      </c>
      <c r="M47" s="630"/>
      <c r="N47" s="779">
        <f>SUM(G47:L47)</f>
        <v>1449379829.0581777</v>
      </c>
      <c r="O47" s="785">
        <v>8000</v>
      </c>
      <c r="P47" s="630">
        <f>IF(O47&lt;&gt;"",N47/O47,"")</f>
        <v>181172.47863227222</v>
      </c>
      <c r="Q47" s="798"/>
      <c r="R47" s="781" t="s">
        <v>340</v>
      </c>
      <c r="S47" s="782">
        <v>42431</v>
      </c>
      <c r="T47" s="236">
        <v>50</v>
      </c>
      <c r="U47" s="783">
        <v>35444.444444444445</v>
      </c>
      <c r="V47" s="779">
        <f t="shared" ref="V47:V54" si="6">ROUND(T47*U47,0)</f>
        <v>1772222</v>
      </c>
      <c r="W47" s="788"/>
    </row>
    <row r="48" spans="1:23">
      <c r="A48" s="777">
        <f>IF(B48&lt;&gt;"",A47+1,"")</f>
        <v>2</v>
      </c>
      <c r="B48" s="838" t="s">
        <v>943</v>
      </c>
      <c r="C48" s="778">
        <v>11</v>
      </c>
      <c r="D48" s="630">
        <f>ROUND(C48*O48,0)</f>
        <v>49500</v>
      </c>
      <c r="E48" s="630"/>
      <c r="F48" s="630">
        <v>13200</v>
      </c>
      <c r="G48" s="779">
        <f>(D48+E48)*F48</f>
        <v>653400000</v>
      </c>
      <c r="H48" s="630">
        <f>IF($D$52&lt;&gt;0,H$52/($D$52+$E$52/5)*($D48+$E48/5),0)</f>
        <v>77254311.487376511</v>
      </c>
      <c r="I48" s="630">
        <f t="shared" si="5"/>
        <v>26767452.972067039</v>
      </c>
      <c r="J48" s="630">
        <f t="shared" si="5"/>
        <v>34356926.815642461</v>
      </c>
      <c r="K48" s="630">
        <f t="shared" si="5"/>
        <v>31601929.374301676</v>
      </c>
      <c r="L48" s="630">
        <f>SUM($V$57:$V$58)/SUM($O$47:$O$48)*O48</f>
        <v>5667300</v>
      </c>
      <c r="M48" s="630"/>
      <c r="N48" s="779">
        <f>SUM(G48:L48)+1</f>
        <v>829047921.6493876</v>
      </c>
      <c r="O48" s="785">
        <v>4500</v>
      </c>
      <c r="P48" s="630">
        <f>IF(O48&lt;&gt;"",N48/O48,"")</f>
        <v>184232.87147764169</v>
      </c>
      <c r="Q48" s="798"/>
      <c r="R48" s="786" t="s">
        <v>346</v>
      </c>
      <c r="S48" s="782">
        <v>42431</v>
      </c>
      <c r="T48" s="236">
        <v>20</v>
      </c>
      <c r="U48" s="236">
        <v>46741.2</v>
      </c>
      <c r="V48" s="779">
        <f t="shared" si="6"/>
        <v>934824</v>
      </c>
      <c r="W48" s="788"/>
    </row>
    <row r="49" spans="1:23">
      <c r="A49" s="777">
        <f>IF(B49&lt;&gt;"",A48+1,"")</f>
        <v>3</v>
      </c>
      <c r="B49" s="838" t="s">
        <v>454</v>
      </c>
      <c r="C49" s="778">
        <v>8</v>
      </c>
      <c r="D49" s="630">
        <f>ROUND(C49*O49,0)</f>
        <v>40000</v>
      </c>
      <c r="E49" s="630"/>
      <c r="F49" s="630">
        <v>18500</v>
      </c>
      <c r="G49" s="779">
        <f>(D49+E49)*F49</f>
        <v>740000000</v>
      </c>
      <c r="H49" s="630">
        <f>IF($D$52&lt;&gt;0,H$52/($D$52+$E$52/5)*($D49+$E49/5),0)</f>
        <v>62427726.454445668</v>
      </c>
      <c r="I49" s="630">
        <f t="shared" si="5"/>
        <v>21630265.027932961</v>
      </c>
      <c r="J49" s="630">
        <f t="shared" si="5"/>
        <v>27763173.184357543</v>
      </c>
      <c r="K49" s="630">
        <f t="shared" si="5"/>
        <v>25536912.625698324</v>
      </c>
      <c r="L49" s="630">
        <f>V59</f>
        <v>12059070</v>
      </c>
      <c r="M49" s="630"/>
      <c r="N49" s="779">
        <f>SUM(G49:L49)</f>
        <v>889417147.29243457</v>
      </c>
      <c r="O49" s="785">
        <v>5000</v>
      </c>
      <c r="P49" s="630">
        <f>IF(O49&lt;&gt;"",N49/O49,"")</f>
        <v>177883.42945848691</v>
      </c>
      <c r="Q49" s="798"/>
      <c r="R49" s="786" t="s">
        <v>349</v>
      </c>
      <c r="S49" s="782">
        <v>42431</v>
      </c>
      <c r="T49" s="809">
        <v>150</v>
      </c>
      <c r="U49" s="787">
        <v>13571.429</v>
      </c>
      <c r="V49" s="779">
        <f t="shared" si="6"/>
        <v>2035714</v>
      </c>
      <c r="W49" s="788"/>
    </row>
    <row r="50" spans="1:23">
      <c r="A50" s="777" t="str">
        <f>IF(B50&lt;&gt;"",#REF!+1,"")</f>
        <v/>
      </c>
      <c r="B50" s="838"/>
      <c r="C50" s="778"/>
      <c r="D50" s="630"/>
      <c r="E50" s="630"/>
      <c r="F50" s="630"/>
      <c r="G50" s="779"/>
      <c r="H50" s="630"/>
      <c r="I50" s="630"/>
      <c r="J50" s="630"/>
      <c r="K50" s="630"/>
      <c r="L50" s="630"/>
      <c r="M50" s="630"/>
      <c r="N50" s="779">
        <f>SUM(G50:L50)</f>
        <v>0</v>
      </c>
      <c r="O50" s="785"/>
      <c r="P50" s="630"/>
      <c r="Q50" s="798"/>
      <c r="R50" s="786" t="s">
        <v>225</v>
      </c>
      <c r="S50" s="782">
        <v>42431</v>
      </c>
      <c r="T50" s="809">
        <v>200</v>
      </c>
      <c r="U50" s="787">
        <v>21979.791919191921</v>
      </c>
      <c r="V50" s="779">
        <f t="shared" si="6"/>
        <v>4395958</v>
      </c>
      <c r="W50" s="788"/>
    </row>
    <row r="51" spans="1:23" s="799" customFormat="1">
      <c r="A51" s="777" t="str">
        <f>IF(B51&lt;&gt;"",#REF!+1,"")</f>
        <v/>
      </c>
      <c r="B51" s="838"/>
      <c r="C51" s="778"/>
      <c r="D51" s="630"/>
      <c r="E51" s="630"/>
      <c r="F51" s="630"/>
      <c r="G51" s="779"/>
      <c r="H51" s="630"/>
      <c r="I51" s="630"/>
      <c r="J51" s="630"/>
      <c r="K51" s="630"/>
      <c r="L51" s="630"/>
      <c r="M51" s="630"/>
      <c r="N51" s="779"/>
      <c r="O51" s="785"/>
      <c r="P51" s="630"/>
      <c r="Q51" s="798"/>
      <c r="R51" s="786" t="s">
        <v>354</v>
      </c>
      <c r="S51" s="782"/>
      <c r="T51" s="809"/>
      <c r="U51" s="236">
        <v>3500</v>
      </c>
      <c r="V51" s="779">
        <f t="shared" si="6"/>
        <v>0</v>
      </c>
      <c r="W51" s="788"/>
    </row>
    <row r="52" spans="1:23" s="754" customFormat="1">
      <c r="A52" s="800"/>
      <c r="B52" s="801" t="s">
        <v>550</v>
      </c>
      <c r="C52" s="802"/>
      <c r="D52" s="803">
        <f>SUM(D47:D51)</f>
        <v>89500</v>
      </c>
      <c r="E52" s="803">
        <f>SUM(E47:E51)</f>
        <v>8000</v>
      </c>
      <c r="F52" s="803"/>
      <c r="G52" s="803">
        <f>SUM(G47:G51)</f>
        <v>2830207520</v>
      </c>
      <c r="H52" s="804">
        <v>142179147</v>
      </c>
      <c r="I52" s="804">
        <f>V56</f>
        <v>48397718</v>
      </c>
      <c r="J52" s="804">
        <v>62120100</v>
      </c>
      <c r="K52" s="804">
        <v>57138842</v>
      </c>
      <c r="L52" s="803">
        <f>ROUND(SUM(L47:L51),0)</f>
        <v>27801570</v>
      </c>
      <c r="M52" s="803">
        <f>ROUND(SUM(M47:M51),0)</f>
        <v>0</v>
      </c>
      <c r="N52" s="803">
        <f>ROUND(SUM(N47:N51),0)</f>
        <v>3167844898</v>
      </c>
      <c r="O52" s="803">
        <f>ROUND(SUM(O47:O51),0)</f>
        <v>17500</v>
      </c>
      <c r="P52" s="803"/>
      <c r="Q52" s="759"/>
      <c r="R52" s="786" t="s">
        <v>357</v>
      </c>
      <c r="S52" s="782">
        <v>42434</v>
      </c>
      <c r="T52" s="809">
        <v>2160</v>
      </c>
      <c r="U52" s="236">
        <v>14900</v>
      </c>
      <c r="V52" s="779">
        <f t="shared" si="6"/>
        <v>32184000</v>
      </c>
      <c r="W52" s="788"/>
    </row>
    <row r="53" spans="1:23" s="754" customFormat="1">
      <c r="A53" s="805"/>
      <c r="B53" s="806"/>
      <c r="C53" s="763"/>
      <c r="D53" s="807"/>
      <c r="E53" s="807"/>
      <c r="F53" s="807"/>
      <c r="G53" s="807"/>
      <c r="H53" s="761"/>
      <c r="I53" s="761"/>
      <c r="J53" s="761"/>
      <c r="K53" s="761"/>
      <c r="L53" s="761"/>
      <c r="M53" s="807"/>
      <c r="N53" s="807"/>
      <c r="O53" s="807"/>
      <c r="P53" s="807"/>
      <c r="Q53" s="759"/>
      <c r="R53" s="786" t="s">
        <v>360</v>
      </c>
      <c r="S53" s="782">
        <v>42434</v>
      </c>
      <c r="T53" s="809">
        <v>250</v>
      </c>
      <c r="U53" s="236">
        <v>8500</v>
      </c>
      <c r="V53" s="779">
        <f t="shared" si="6"/>
        <v>2125000</v>
      </c>
      <c r="W53" s="788"/>
    </row>
    <row r="54" spans="1:23" s="754" customFormat="1">
      <c r="A54" s="805"/>
      <c r="B54" s="806"/>
      <c r="C54" s="763"/>
      <c r="D54" s="807"/>
      <c r="E54" s="807"/>
      <c r="F54" s="807"/>
      <c r="G54" s="807"/>
      <c r="H54" s="761"/>
      <c r="I54" s="761"/>
      <c r="J54" s="761"/>
      <c r="K54" s="761"/>
      <c r="L54" s="761"/>
      <c r="M54" s="807"/>
      <c r="N54" s="807"/>
      <c r="O54" s="807"/>
      <c r="P54" s="807"/>
      <c r="Q54" s="759"/>
      <c r="R54" s="786" t="s">
        <v>364</v>
      </c>
      <c r="S54" s="782">
        <v>42434</v>
      </c>
      <c r="T54" s="809">
        <v>150</v>
      </c>
      <c r="U54" s="809">
        <v>33000</v>
      </c>
      <c r="V54" s="779">
        <f t="shared" si="6"/>
        <v>4950000</v>
      </c>
      <c r="W54" s="788"/>
    </row>
    <row r="55" spans="1:23" s="754" customFormat="1">
      <c r="A55" s="805"/>
      <c r="B55" s="806"/>
      <c r="C55" s="763"/>
      <c r="D55" s="807"/>
      <c r="E55" s="807"/>
      <c r="F55" s="807"/>
      <c r="G55" s="807"/>
      <c r="H55" s="761"/>
      <c r="I55" s="761"/>
      <c r="J55" s="761"/>
      <c r="K55" s="761"/>
      <c r="L55" s="761"/>
      <c r="M55" s="807"/>
      <c r="N55" s="807"/>
      <c r="O55" s="807"/>
      <c r="P55" s="807"/>
      <c r="Q55" s="759"/>
      <c r="R55" s="840"/>
      <c r="S55" s="782"/>
      <c r="T55" s="841"/>
      <c r="U55" s="841"/>
      <c r="V55" s="841"/>
      <c r="W55" s="842"/>
    </row>
    <row r="56" spans="1:23" s="754" customFormat="1">
      <c r="A56" s="805"/>
      <c r="B56" s="806"/>
      <c r="C56" s="763"/>
      <c r="D56" s="807"/>
      <c r="E56" s="807"/>
      <c r="F56" s="807"/>
      <c r="G56" s="807"/>
      <c r="H56" s="807"/>
      <c r="I56" s="761"/>
      <c r="J56" s="807"/>
      <c r="K56" s="807"/>
      <c r="L56" s="807"/>
      <c r="M56" s="807"/>
      <c r="N56" s="807"/>
      <c r="O56" s="807"/>
      <c r="P56" s="807"/>
      <c r="Q56" s="759"/>
      <c r="R56" s="832"/>
      <c r="S56" s="833"/>
      <c r="T56" s="834"/>
      <c r="U56" s="812"/>
      <c r="V56" s="813">
        <f>SUM(V47:V55)</f>
        <v>48397718</v>
      </c>
      <c r="W56" s="813">
        <f>SUM(W47:W52)</f>
        <v>0</v>
      </c>
    </row>
    <row r="57" spans="1:23" s="754" customFormat="1">
      <c r="A57" s="805"/>
      <c r="B57" s="806"/>
      <c r="C57" s="763"/>
      <c r="D57" s="807"/>
      <c r="E57" s="807"/>
      <c r="F57" s="807"/>
      <c r="G57" s="807"/>
      <c r="H57" s="807"/>
      <c r="I57" s="761"/>
      <c r="J57" s="807"/>
      <c r="K57" s="807"/>
      <c r="L57" s="807"/>
      <c r="M57" s="807"/>
      <c r="N57" s="807"/>
      <c r="O57" s="807"/>
      <c r="P57" s="807"/>
      <c r="Q57" s="759"/>
      <c r="R57" s="835" t="s">
        <v>391</v>
      </c>
      <c r="S57" s="782">
        <v>42439</v>
      </c>
      <c r="T57" s="236">
        <v>1015</v>
      </c>
      <c r="U57" s="236">
        <v>12000</v>
      </c>
      <c r="V57" s="779">
        <f t="shared" ref="V57:V62" si="7">ROUND(T57*U57,0)</f>
        <v>12180000</v>
      </c>
      <c r="W57" s="779"/>
    </row>
    <row r="58" spans="1:23" s="754" customFormat="1">
      <c r="A58" s="805"/>
      <c r="B58" s="806"/>
      <c r="C58" s="763"/>
      <c r="D58" s="807"/>
      <c r="E58" s="807"/>
      <c r="F58" s="807"/>
      <c r="G58" s="808"/>
      <c r="H58" s="807"/>
      <c r="I58" s="761"/>
      <c r="J58" s="807"/>
      <c r="K58" s="807"/>
      <c r="L58" s="807"/>
      <c r="M58" s="807"/>
      <c r="N58" s="843"/>
      <c r="O58" s="807"/>
      <c r="P58" s="807"/>
      <c r="Q58" s="759"/>
      <c r="R58" s="835" t="s">
        <v>393</v>
      </c>
      <c r="S58" s="782">
        <v>42439</v>
      </c>
      <c r="T58" s="787">
        <v>375</v>
      </c>
      <c r="U58" s="787">
        <v>9500</v>
      </c>
      <c r="V58" s="779">
        <f t="shared" si="7"/>
        <v>3562500</v>
      </c>
      <c r="W58" s="795"/>
    </row>
    <row r="59" spans="1:23" s="754" customFormat="1">
      <c r="A59" s="805"/>
      <c r="B59" s="806"/>
      <c r="C59" s="763"/>
      <c r="D59" s="807"/>
      <c r="E59" s="807"/>
      <c r="F59" s="807"/>
      <c r="G59" s="808"/>
      <c r="H59" s="807"/>
      <c r="I59" s="761"/>
      <c r="J59" s="807"/>
      <c r="K59" s="807"/>
      <c r="L59" s="807"/>
      <c r="M59" s="807"/>
      <c r="N59" s="843"/>
      <c r="O59" s="807"/>
      <c r="P59" s="807"/>
      <c r="Q59" s="759"/>
      <c r="R59" s="835" t="s">
        <v>385</v>
      </c>
      <c r="S59" s="782">
        <v>42459</v>
      </c>
      <c r="T59" s="236">
        <v>2700</v>
      </c>
      <c r="U59" s="236">
        <v>4466.322284402353</v>
      </c>
      <c r="V59" s="779">
        <f t="shared" si="7"/>
        <v>12059070</v>
      </c>
      <c r="W59" s="795"/>
    </row>
    <row r="60" spans="1:23" s="754" customFormat="1">
      <c r="A60" s="805"/>
      <c r="B60" s="806"/>
      <c r="C60" s="763"/>
      <c r="D60" s="807"/>
      <c r="E60" s="807"/>
      <c r="F60" s="807"/>
      <c r="G60" s="807"/>
      <c r="H60" s="807"/>
      <c r="I60" s="761"/>
      <c r="J60" s="807"/>
      <c r="K60" s="807"/>
      <c r="L60" s="807"/>
      <c r="M60" s="807"/>
      <c r="N60" s="807"/>
      <c r="O60" s="807"/>
      <c r="P60" s="807"/>
      <c r="Q60" s="759"/>
      <c r="R60" s="835"/>
      <c r="S60" s="782"/>
      <c r="T60" s="787"/>
      <c r="U60" s="787"/>
      <c r="V60" s="779">
        <f t="shared" si="7"/>
        <v>0</v>
      </c>
      <c r="W60" s="795"/>
    </row>
    <row r="61" spans="1:23">
      <c r="R61" s="835"/>
      <c r="S61" s="782"/>
      <c r="T61" s="787"/>
      <c r="U61" s="787"/>
      <c r="V61" s="779">
        <f t="shared" si="7"/>
        <v>0</v>
      </c>
      <c r="W61" s="795"/>
    </row>
    <row r="62" spans="1:23">
      <c r="R62" s="835"/>
      <c r="S62" s="782"/>
      <c r="T62" s="236"/>
      <c r="U62" s="236"/>
      <c r="V62" s="779">
        <f t="shared" si="7"/>
        <v>0</v>
      </c>
      <c r="W62" s="795"/>
    </row>
    <row r="63" spans="1:23" ht="18" customHeight="1">
      <c r="A63" s="754" t="s">
        <v>533</v>
      </c>
      <c r="B63" s="754"/>
      <c r="C63" s="755"/>
      <c r="D63" s="756"/>
      <c r="E63" s="756"/>
      <c r="F63" s="756"/>
      <c r="G63" s="753"/>
      <c r="H63" s="753"/>
      <c r="I63" s="753"/>
      <c r="J63" s="753"/>
      <c r="K63" s="753"/>
      <c r="L63" s="757"/>
      <c r="M63" s="753"/>
      <c r="N63" s="753"/>
      <c r="O63" s="758"/>
      <c r="P63" s="753"/>
      <c r="Q63" s="759"/>
      <c r="R63" s="753"/>
      <c r="S63" s="760"/>
    </row>
    <row r="64" spans="1:23" ht="18.75" customHeight="1">
      <c r="A64" s="761" t="s">
        <v>553</v>
      </c>
      <c r="B64" s="761"/>
      <c r="C64" s="761"/>
      <c r="D64" s="761"/>
      <c r="E64" s="761"/>
      <c r="F64" s="761"/>
      <c r="G64" s="761"/>
      <c r="H64" s="761"/>
      <c r="I64" s="761"/>
      <c r="J64" s="761"/>
      <c r="K64" s="761"/>
      <c r="L64" s="761"/>
      <c r="M64" s="761"/>
      <c r="N64" s="761"/>
      <c r="O64" s="761"/>
      <c r="P64" s="761"/>
      <c r="Q64" s="759"/>
      <c r="R64" s="753"/>
      <c r="S64" s="760"/>
    </row>
    <row r="65" spans="1:23" ht="18.75" customHeight="1">
      <c r="A65" s="762"/>
      <c r="B65" s="762"/>
      <c r="C65" s="763"/>
      <c r="D65" s="762"/>
      <c r="E65" s="762"/>
      <c r="F65" s="762"/>
      <c r="G65" s="762"/>
      <c r="H65" s="762"/>
      <c r="I65" s="762"/>
      <c r="J65" s="762"/>
      <c r="K65" s="762"/>
      <c r="L65" s="761"/>
      <c r="M65" s="762"/>
      <c r="N65" s="762"/>
      <c r="O65" s="764"/>
      <c r="P65" s="762"/>
      <c r="Q65" s="759"/>
      <c r="R65" s="753"/>
      <c r="S65" s="760"/>
    </row>
    <row r="66" spans="1:23" ht="12.75" customHeight="1">
      <c r="A66" s="765"/>
      <c r="B66" s="765"/>
      <c r="C66" s="766"/>
      <c r="D66" s="765"/>
      <c r="E66" s="765"/>
      <c r="F66" s="765"/>
      <c r="G66" s="765"/>
      <c r="H66" s="765"/>
      <c r="I66" s="765"/>
      <c r="J66" s="765"/>
      <c r="K66" s="765"/>
      <c r="L66" s="765"/>
      <c r="M66" s="765"/>
      <c r="N66" s="765"/>
      <c r="O66" s="767"/>
      <c r="P66" s="765"/>
      <c r="Q66" s="759"/>
      <c r="R66" s="753"/>
      <c r="S66" s="760"/>
    </row>
    <row r="67" spans="1:23" s="776" customFormat="1" ht="30.75" customHeight="1">
      <c r="A67" s="770" t="s">
        <v>37</v>
      </c>
      <c r="B67" s="770" t="s">
        <v>535</v>
      </c>
      <c r="C67" s="771" t="s">
        <v>536</v>
      </c>
      <c r="D67" s="772" t="s">
        <v>537</v>
      </c>
      <c r="E67" s="772" t="s">
        <v>538</v>
      </c>
      <c r="F67" s="772" t="s">
        <v>539</v>
      </c>
      <c r="G67" s="772" t="s">
        <v>540</v>
      </c>
      <c r="H67" s="772" t="s">
        <v>541</v>
      </c>
      <c r="I67" s="772" t="s">
        <v>542</v>
      </c>
      <c r="J67" s="772" t="s">
        <v>543</v>
      </c>
      <c r="K67" s="773" t="s">
        <v>544</v>
      </c>
      <c r="L67" s="772" t="s">
        <v>545</v>
      </c>
      <c r="M67" s="773" t="s">
        <v>546</v>
      </c>
      <c r="N67" s="772" t="s">
        <v>547</v>
      </c>
      <c r="O67" s="774" t="s">
        <v>538</v>
      </c>
      <c r="P67" s="772" t="s">
        <v>548</v>
      </c>
      <c r="Q67" s="775"/>
      <c r="R67" s="770" t="s">
        <v>535</v>
      </c>
      <c r="S67" s="772" t="s">
        <v>502</v>
      </c>
      <c r="T67" s="772" t="s">
        <v>338</v>
      </c>
      <c r="U67" s="772" t="s">
        <v>539</v>
      </c>
      <c r="V67" s="772" t="s">
        <v>549</v>
      </c>
      <c r="W67" s="770" t="s">
        <v>549</v>
      </c>
    </row>
    <row r="68" spans="1:23">
      <c r="A68" s="844">
        <f>IF(B68&lt;&gt;"",ROW()-(ROW()-1),"")</f>
        <v>1</v>
      </c>
      <c r="B68" s="838" t="s">
        <v>454</v>
      </c>
      <c r="C68" s="778"/>
      <c r="D68" s="630">
        <f>ROUND(C68*O68,0)</f>
        <v>0</v>
      </c>
      <c r="E68" s="630">
        <f>O49</f>
        <v>5000</v>
      </c>
      <c r="F68" s="630">
        <f>P49</f>
        <v>177883.42945848691</v>
      </c>
      <c r="G68" s="779">
        <f>(D68+E68)*F68</f>
        <v>889417147.29243457</v>
      </c>
      <c r="H68" s="630">
        <f>IF($D$72&lt;&gt;0,H$72/($D$72+$E$72/5)*($D68+$E68/5),0)</f>
        <v>0</v>
      </c>
      <c r="I68" s="630">
        <f t="shared" ref="I68:K69" si="8">IF($D$72&lt;&gt;0,I$72/$D$72*$D68,0)</f>
        <v>0</v>
      </c>
      <c r="J68" s="630">
        <f t="shared" si="8"/>
        <v>0</v>
      </c>
      <c r="K68" s="630">
        <f t="shared" si="8"/>
        <v>0</v>
      </c>
      <c r="L68" s="630">
        <f>($V$78+$V$79)/$O$72*O68</f>
        <v>48579545.454545453</v>
      </c>
      <c r="M68" s="630"/>
      <c r="N68" s="779">
        <f>ROUND(SUM(G68:L68),0)</f>
        <v>937996693</v>
      </c>
      <c r="O68" s="785">
        <v>5000</v>
      </c>
      <c r="P68" s="630">
        <f>IF(O68&lt;&gt;"",N68/O68,"")</f>
        <v>187599.33859999999</v>
      </c>
      <c r="Q68" s="798"/>
      <c r="R68" s="781" t="s">
        <v>340</v>
      </c>
      <c r="S68" s="845"/>
      <c r="T68" s="236"/>
      <c r="U68" s="783"/>
      <c r="V68" s="779">
        <f t="shared" ref="V68:V75" si="9">ROUND(T68*U68,0)</f>
        <v>0</v>
      </c>
      <c r="W68" s="779"/>
    </row>
    <row r="69" spans="1:23">
      <c r="A69" s="846">
        <f>IF(B69&lt;&gt;"",A68+1,"")</f>
        <v>2</v>
      </c>
      <c r="B69" s="838" t="s">
        <v>1373</v>
      </c>
      <c r="C69" s="778">
        <v>8</v>
      </c>
      <c r="D69" s="630">
        <f>ROUND(C69*O69,0)</f>
        <v>30400</v>
      </c>
      <c r="E69" s="630"/>
      <c r="F69" s="630">
        <v>18500</v>
      </c>
      <c r="G69" s="779">
        <f>(D69+E69)*F69</f>
        <v>562400000</v>
      </c>
      <c r="H69" s="630">
        <f>IF($D$72&lt;&gt;0,H$72/($D$72+$E$72/5)*($D69+$E69/5),0)</f>
        <v>0</v>
      </c>
      <c r="I69" s="630">
        <f t="shared" si="8"/>
        <v>0</v>
      </c>
      <c r="J69" s="630">
        <f t="shared" si="8"/>
        <v>0</v>
      </c>
      <c r="K69" s="630">
        <f t="shared" si="8"/>
        <v>57138842</v>
      </c>
      <c r="L69" s="630">
        <f>($V$78+$V$79)/$O$72*O69</f>
        <v>36920454.545454539</v>
      </c>
      <c r="M69" s="630"/>
      <c r="N69" s="779">
        <f>ROUND(SUM(G69:L69),0)</f>
        <v>656459297</v>
      </c>
      <c r="O69" s="785">
        <v>3800</v>
      </c>
      <c r="P69" s="630">
        <f>IF(O69&lt;&gt;"",N69/O69,"")</f>
        <v>172752.44657894736</v>
      </c>
      <c r="Q69" s="798"/>
      <c r="R69" s="786" t="s">
        <v>346</v>
      </c>
      <c r="S69" s="845"/>
      <c r="T69" s="236"/>
      <c r="U69" s="787"/>
      <c r="V69" s="779">
        <f t="shared" si="9"/>
        <v>0</v>
      </c>
      <c r="W69" s="795"/>
    </row>
    <row r="70" spans="1:23">
      <c r="A70" s="846" t="str">
        <f>IF(B70&lt;&gt;"",A69+1,"")</f>
        <v/>
      </c>
      <c r="B70" s="838"/>
      <c r="C70" s="778"/>
      <c r="D70" s="630">
        <f>ROUND(C70*O70,0)</f>
        <v>0</v>
      </c>
      <c r="E70" s="630"/>
      <c r="F70" s="630"/>
      <c r="G70" s="779">
        <f>(D70+E70)*F70</f>
        <v>0</v>
      </c>
      <c r="H70" s="630">
        <f>IF($D$72&lt;&gt;0,H$72/($D$72+$E$72/5)*($D70+$E70/5),0)</f>
        <v>0</v>
      </c>
      <c r="I70" s="630">
        <f t="shared" ref="I70:K71" si="10">IF($D$72&lt;&gt;0,I$72/$D$72*$D70,0)</f>
        <v>0</v>
      </c>
      <c r="J70" s="630">
        <f t="shared" si="10"/>
        <v>0</v>
      </c>
      <c r="K70" s="630">
        <f t="shared" si="10"/>
        <v>0</v>
      </c>
      <c r="L70" s="630">
        <f>($V$78+$V$79)/$O$72*O70</f>
        <v>0</v>
      </c>
      <c r="M70" s="630"/>
      <c r="N70" s="779">
        <f>ROUND(SUM(G70:L70),0)</f>
        <v>0</v>
      </c>
      <c r="O70" s="785"/>
      <c r="P70" s="630" t="str">
        <f>IF(O70&lt;&gt;"",N70/O70,"")</f>
        <v/>
      </c>
      <c r="Q70" s="798"/>
      <c r="R70" s="786" t="s">
        <v>349</v>
      </c>
      <c r="S70" s="845"/>
      <c r="T70" s="236"/>
      <c r="U70" s="787"/>
      <c r="V70" s="779"/>
      <c r="W70" s="795"/>
    </row>
    <row r="71" spans="1:23">
      <c r="A71" s="846" t="str">
        <f>IF(B71&lt;&gt;"",A70+1,"")</f>
        <v/>
      </c>
      <c r="B71" s="838"/>
      <c r="C71" s="778"/>
      <c r="D71" s="630">
        <f>ROUND(C71*O71,0)</f>
        <v>0</v>
      </c>
      <c r="E71" s="630"/>
      <c r="F71" s="630"/>
      <c r="G71" s="779">
        <f>(D71+E71)*F71</f>
        <v>0</v>
      </c>
      <c r="H71" s="630">
        <f>IF($D$72&lt;&gt;0,H$72/($D$72+$E$72/5)*($D71+$E71/5),0)</f>
        <v>0</v>
      </c>
      <c r="I71" s="630">
        <f t="shared" si="10"/>
        <v>0</v>
      </c>
      <c r="J71" s="630">
        <f t="shared" si="10"/>
        <v>0</v>
      </c>
      <c r="K71" s="630">
        <f t="shared" si="10"/>
        <v>0</v>
      </c>
      <c r="L71" s="630">
        <f>($V$78+$V$79)/$O$72*O71</f>
        <v>0</v>
      </c>
      <c r="M71" s="630"/>
      <c r="N71" s="779">
        <f>ROUND(SUM(G71:L71),0)</f>
        <v>0</v>
      </c>
      <c r="O71" s="785"/>
      <c r="P71" s="630" t="str">
        <f>IF(O71&lt;&gt;"",N71/O71,"")</f>
        <v/>
      </c>
      <c r="Q71" s="798"/>
      <c r="R71" s="786" t="s">
        <v>225</v>
      </c>
      <c r="S71" s="845"/>
      <c r="T71" s="236"/>
      <c r="U71" s="787"/>
      <c r="V71" s="779">
        <f t="shared" si="9"/>
        <v>0</v>
      </c>
      <c r="W71" s="795"/>
    </row>
    <row r="72" spans="1:23" s="799" customFormat="1">
      <c r="A72" s="800"/>
      <c r="B72" s="801" t="s">
        <v>550</v>
      </c>
      <c r="C72" s="802"/>
      <c r="D72" s="803">
        <f>SUM(D68:D69)</f>
        <v>30400</v>
      </c>
      <c r="E72" s="803">
        <f>SUM(E68:E69)</f>
        <v>5000</v>
      </c>
      <c r="F72" s="803"/>
      <c r="G72" s="803">
        <f>SUM(G68:G69)</f>
        <v>1451817147.2924347</v>
      </c>
      <c r="H72" s="804"/>
      <c r="I72" s="804">
        <f>V77</f>
        <v>0</v>
      </c>
      <c r="J72" s="804"/>
      <c r="K72" s="804">
        <v>57138842</v>
      </c>
      <c r="L72" s="803">
        <f>ROUND(SUM(L68:L71),0)</f>
        <v>85500000</v>
      </c>
      <c r="M72" s="803">
        <f>ROUND(SUM(M68:M71),0)</f>
        <v>0</v>
      </c>
      <c r="N72" s="803">
        <f>ROUND(SUM(N68:N71),0)</f>
        <v>1594455990</v>
      </c>
      <c r="O72" s="803">
        <f>ROUND(SUM(O68:O71),0)</f>
        <v>8800</v>
      </c>
      <c r="P72" s="803"/>
      <c r="Q72" s="798"/>
      <c r="R72" s="786" t="s">
        <v>354</v>
      </c>
      <c r="S72" s="845"/>
      <c r="T72" s="809"/>
      <c r="U72" s="787"/>
      <c r="V72" s="779">
        <f t="shared" si="9"/>
        <v>0</v>
      </c>
      <c r="W72" s="795"/>
    </row>
    <row r="73" spans="1:23" s="754" customFormat="1">
      <c r="A73" s="750"/>
      <c r="B73" s="750"/>
      <c r="C73" s="750"/>
      <c r="D73" s="750"/>
      <c r="E73" s="750"/>
      <c r="F73" s="750"/>
      <c r="G73" s="750"/>
      <c r="H73" s="750"/>
      <c r="I73" s="750"/>
      <c r="J73" s="750"/>
      <c r="K73" s="750"/>
      <c r="L73" s="750"/>
      <c r="M73" s="750"/>
      <c r="N73" s="750"/>
      <c r="O73" s="750"/>
      <c r="P73" s="750"/>
      <c r="Q73" s="798"/>
      <c r="R73" s="786" t="s">
        <v>357</v>
      </c>
      <c r="S73" s="845"/>
      <c r="T73" s="236"/>
      <c r="U73" s="787"/>
      <c r="V73" s="779">
        <f t="shared" si="9"/>
        <v>0</v>
      </c>
      <c r="W73" s="795"/>
    </row>
    <row r="74" spans="1:23">
      <c r="Q74" s="798"/>
      <c r="R74" s="786" t="s">
        <v>360</v>
      </c>
      <c r="S74" s="845"/>
      <c r="T74" s="236"/>
      <c r="U74" s="787"/>
      <c r="V74" s="779">
        <f t="shared" si="9"/>
        <v>0</v>
      </c>
      <c r="W74" s="795"/>
    </row>
    <row r="75" spans="1:23">
      <c r="Q75" s="798"/>
      <c r="R75" s="786" t="s">
        <v>364</v>
      </c>
      <c r="S75" s="845"/>
      <c r="T75" s="236"/>
      <c r="U75" s="787"/>
      <c r="V75" s="779">
        <f t="shared" si="9"/>
        <v>0</v>
      </c>
      <c r="W75" s="795"/>
    </row>
    <row r="76" spans="1:23">
      <c r="Q76" s="798"/>
      <c r="R76" s="849"/>
      <c r="S76" s="782"/>
      <c r="T76" s="236"/>
      <c r="U76" s="236"/>
      <c r="V76" s="795"/>
      <c r="W76" s="795"/>
    </row>
    <row r="77" spans="1:23">
      <c r="R77" s="832"/>
      <c r="S77" s="833"/>
      <c r="T77" s="834"/>
      <c r="U77" s="850"/>
      <c r="V77" s="813">
        <f>SUM(V68:V76)</f>
        <v>0</v>
      </c>
      <c r="W77" s="813">
        <f>SUM(W68:W76)</f>
        <v>0</v>
      </c>
    </row>
    <row r="78" spans="1:23">
      <c r="R78" s="809" t="s">
        <v>402</v>
      </c>
      <c r="S78" s="845"/>
      <c r="T78" s="236">
        <v>1250</v>
      </c>
      <c r="U78" s="236">
        <v>18000</v>
      </c>
      <c r="V78" s="779">
        <f>ROUND(T78*U78,0)</f>
        <v>22500000</v>
      </c>
      <c r="W78" s="779"/>
    </row>
    <row r="79" spans="1:23">
      <c r="R79" s="809" t="s">
        <v>656</v>
      </c>
      <c r="S79" s="845"/>
      <c r="T79" s="236">
        <v>4500</v>
      </c>
      <c r="U79" s="236">
        <v>14000</v>
      </c>
      <c r="V79" s="779">
        <f>ROUND(T79*U79,0)</f>
        <v>63000000</v>
      </c>
      <c r="W79" s="795"/>
    </row>
    <row r="80" spans="1:23">
      <c r="R80" s="809"/>
      <c r="S80" s="782"/>
      <c r="T80" s="787"/>
      <c r="U80" s="787"/>
      <c r="V80" s="779">
        <f>ROUND(T80*U80,0)</f>
        <v>0</v>
      </c>
      <c r="W80" s="795"/>
    </row>
    <row r="81" spans="1:23">
      <c r="R81" s="809"/>
      <c r="S81" s="782"/>
      <c r="T81" s="787"/>
      <c r="U81" s="787"/>
      <c r="V81" s="779">
        <f>ROUND(T81*U81,0)</f>
        <v>0</v>
      </c>
      <c r="W81" s="795"/>
    </row>
    <row r="82" spans="1:23" ht="18" customHeight="1">
      <c r="A82" s="754" t="s">
        <v>533</v>
      </c>
      <c r="B82" s="754"/>
      <c r="C82" s="755"/>
      <c r="D82" s="756"/>
      <c r="E82" s="756"/>
      <c r="F82" s="756"/>
      <c r="G82" s="753"/>
      <c r="H82" s="753"/>
      <c r="I82" s="753"/>
      <c r="J82" s="753"/>
      <c r="K82" s="753"/>
      <c r="L82" s="757"/>
      <c r="M82" s="753"/>
      <c r="N82" s="753"/>
      <c r="O82" s="758"/>
      <c r="P82" s="753"/>
      <c r="Q82" s="759"/>
      <c r="R82" s="753"/>
      <c r="S82" s="760"/>
    </row>
    <row r="83" spans="1:23" ht="18.75" customHeight="1">
      <c r="A83" s="761" t="s">
        <v>554</v>
      </c>
      <c r="B83" s="761"/>
      <c r="C83" s="761"/>
      <c r="D83" s="761"/>
      <c r="E83" s="761"/>
      <c r="F83" s="761"/>
      <c r="G83" s="761"/>
      <c r="H83" s="761"/>
      <c r="I83" s="761"/>
      <c r="J83" s="761"/>
      <c r="K83" s="761"/>
      <c r="L83" s="761"/>
      <c r="M83" s="761"/>
      <c r="N83" s="761"/>
      <c r="O83" s="761"/>
      <c r="P83" s="761"/>
      <c r="Q83" s="759"/>
      <c r="R83" s="753"/>
      <c r="S83" s="760"/>
    </row>
    <row r="84" spans="1:23" ht="18.75" customHeight="1">
      <c r="A84" s="762"/>
      <c r="B84" s="762"/>
      <c r="C84" s="763"/>
      <c r="D84" s="762"/>
      <c r="E84" s="762"/>
      <c r="F84" s="762"/>
      <c r="G84" s="762"/>
      <c r="H84" s="762"/>
      <c r="I84" s="762"/>
      <c r="J84" s="762"/>
      <c r="K84" s="762"/>
      <c r="L84" s="761"/>
      <c r="M84" s="762"/>
      <c r="N84" s="762"/>
      <c r="O84" s="764"/>
      <c r="P84" s="762"/>
      <c r="Q84" s="759"/>
      <c r="R84" s="753"/>
      <c r="S84" s="760"/>
    </row>
    <row r="85" spans="1:23" ht="12.75" customHeight="1">
      <c r="A85" s="765"/>
      <c r="B85" s="765"/>
      <c r="C85" s="766"/>
      <c r="D85" s="765"/>
      <c r="E85" s="765"/>
      <c r="F85" s="765"/>
      <c r="G85" s="765"/>
      <c r="H85" s="765"/>
      <c r="I85" s="765"/>
      <c r="J85" s="765"/>
      <c r="K85" s="765"/>
      <c r="L85" s="765"/>
      <c r="M85" s="765"/>
      <c r="N85" s="765"/>
      <c r="O85" s="767"/>
      <c r="P85" s="765"/>
      <c r="Q85" s="759"/>
      <c r="R85" s="753"/>
      <c r="S85" s="760"/>
    </row>
    <row r="86" spans="1:23" s="776" customFormat="1" ht="30.75" customHeight="1">
      <c r="A86" s="770" t="s">
        <v>37</v>
      </c>
      <c r="B86" s="770" t="s">
        <v>535</v>
      </c>
      <c r="C86" s="771" t="s">
        <v>536</v>
      </c>
      <c r="D86" s="772" t="s">
        <v>537</v>
      </c>
      <c r="E86" s="772" t="s">
        <v>538</v>
      </c>
      <c r="F86" s="772" t="s">
        <v>539</v>
      </c>
      <c r="G86" s="772" t="s">
        <v>540</v>
      </c>
      <c r="H86" s="772" t="s">
        <v>541</v>
      </c>
      <c r="I86" s="772" t="s">
        <v>542</v>
      </c>
      <c r="J86" s="772" t="s">
        <v>543</v>
      </c>
      <c r="K86" s="773" t="s">
        <v>544</v>
      </c>
      <c r="L86" s="772" t="s">
        <v>545</v>
      </c>
      <c r="M86" s="773" t="s">
        <v>546</v>
      </c>
      <c r="N86" s="772" t="s">
        <v>547</v>
      </c>
      <c r="O86" s="774" t="s">
        <v>538</v>
      </c>
      <c r="P86" s="772" t="s">
        <v>548</v>
      </c>
      <c r="Q86" s="775"/>
      <c r="R86" s="770" t="s">
        <v>535</v>
      </c>
      <c r="S86" s="772" t="s">
        <v>502</v>
      </c>
      <c r="T86" s="772" t="s">
        <v>338</v>
      </c>
      <c r="U86" s="772" t="s">
        <v>539</v>
      </c>
      <c r="V86" s="772" t="s">
        <v>549</v>
      </c>
      <c r="W86" s="770" t="s">
        <v>549</v>
      </c>
    </row>
    <row r="87" spans="1:23">
      <c r="A87" s="777" t="str">
        <f>IF(B87&lt;&gt;"",ROW()-(ROW()-1),"")</f>
        <v/>
      </c>
      <c r="B87" s="520"/>
      <c r="C87" s="778">
        <f>IF(ISNA(VLOOKUP(B87,NXT!$Q$61:$S$81,2,0)),0,VLOOKUP(B87,NXT!$Q$61:$S$81,2,0))</f>
        <v>0</v>
      </c>
      <c r="D87" s="630">
        <f>ROUND(C87*O87,0)</f>
        <v>0</v>
      </c>
      <c r="E87" s="630"/>
      <c r="F87" s="630"/>
      <c r="G87" s="779">
        <f>(D87+E87)*F87</f>
        <v>0</v>
      </c>
      <c r="H87" s="630">
        <f>IF($D$90&lt;&gt;0,H$90/($D$90+$E$90/5)*($D87+$E87/5),0)</f>
        <v>0</v>
      </c>
      <c r="I87" s="630">
        <f t="shared" ref="I87:K88" si="11">IF($D$90&lt;&gt;0,I$90/$D$90*$D87,0)</f>
        <v>0</v>
      </c>
      <c r="J87" s="630">
        <f t="shared" si="11"/>
        <v>0</v>
      </c>
      <c r="K87" s="630">
        <f t="shared" si="11"/>
        <v>0</v>
      </c>
      <c r="L87" s="779"/>
      <c r="M87" s="630" t="e">
        <f>34560000/($O$68+#REF!+#REF!)*O87</f>
        <v>#REF!</v>
      </c>
      <c r="N87" s="779">
        <f>ROUND(SUM(G87:L87),0)</f>
        <v>0</v>
      </c>
      <c r="O87" s="630"/>
      <c r="P87" s="630">
        <f>IF(N87&lt;&gt;0,N87/O87,0)</f>
        <v>0</v>
      </c>
      <c r="Q87" s="798"/>
      <c r="R87" s="786"/>
      <c r="S87" s="845"/>
      <c r="T87" s="236"/>
      <c r="U87" s="787"/>
      <c r="V87" s="779">
        <f t="shared" ref="V87:V93" si="12">ROUND(T87*U87,0)</f>
        <v>0</v>
      </c>
      <c r="W87" s="795"/>
    </row>
    <row r="88" spans="1:23">
      <c r="A88" s="777" t="str">
        <f>IF(B88&lt;&gt;"",A87+1,"")</f>
        <v/>
      </c>
      <c r="B88" s="515"/>
      <c r="C88" s="778">
        <f>IF(ISNA(VLOOKUP(B88,NXT!$Q$61:$S$81,2,0)),0,VLOOKUP(B88,NXT!$Q$61:$S$81,2,0))</f>
        <v>0</v>
      </c>
      <c r="D88" s="630">
        <f>ROUND(C88*O88,0)</f>
        <v>0</v>
      </c>
      <c r="E88" s="630"/>
      <c r="F88" s="630"/>
      <c r="G88" s="779">
        <f>(D88+E88)*F88</f>
        <v>0</v>
      </c>
      <c r="H88" s="630">
        <f>IF($D$90&lt;&gt;0,H$90/($D$90+$E$90/5)*($D88+$E88/5),0)</f>
        <v>0</v>
      </c>
      <c r="I88" s="630">
        <f t="shared" si="11"/>
        <v>0</v>
      </c>
      <c r="J88" s="630">
        <f t="shared" si="11"/>
        <v>0</v>
      </c>
      <c r="K88" s="630">
        <f t="shared" si="11"/>
        <v>0</v>
      </c>
      <c r="L88" s="630"/>
      <c r="M88" s="630"/>
      <c r="N88" s="779">
        <f>ROUND(SUM(G88:L88),0)</f>
        <v>0</v>
      </c>
      <c r="O88" s="785"/>
      <c r="P88" s="630">
        <f>IF(N88&lt;&gt;0,N88/O88,0)</f>
        <v>0</v>
      </c>
      <c r="Q88" s="798"/>
      <c r="R88" s="786"/>
      <c r="S88" s="845"/>
      <c r="T88" s="236"/>
      <c r="U88" s="787"/>
      <c r="V88" s="779">
        <f t="shared" si="12"/>
        <v>0</v>
      </c>
      <c r="W88" s="795"/>
    </row>
    <row r="89" spans="1:23" s="799" customFormat="1">
      <c r="A89" s="777" t="str">
        <f>IF(B89&lt;&gt;"",#REF!+1,"")</f>
        <v/>
      </c>
      <c r="B89" s="790"/>
      <c r="C89" s="791"/>
      <c r="D89" s="793"/>
      <c r="E89" s="793"/>
      <c r="F89" s="793"/>
      <c r="G89" s="794"/>
      <c r="H89" s="839"/>
      <c r="I89" s="793"/>
      <c r="J89" s="795"/>
      <c r="K89" s="793"/>
      <c r="L89" s="796"/>
      <c r="M89" s="793"/>
      <c r="N89" s="827"/>
      <c r="O89" s="797"/>
      <c r="P89" s="793"/>
      <c r="Q89" s="798"/>
      <c r="R89" s="786"/>
      <c r="S89" s="845"/>
      <c r="T89" s="236"/>
      <c r="U89" s="787"/>
      <c r="V89" s="779">
        <f t="shared" si="12"/>
        <v>0</v>
      </c>
      <c r="W89" s="795"/>
    </row>
    <row r="90" spans="1:23" s="754" customFormat="1">
      <c r="A90" s="800"/>
      <c r="B90" s="801" t="s">
        <v>550</v>
      </c>
      <c r="C90" s="802"/>
      <c r="D90" s="803">
        <f>SUM(D87:D88)</f>
        <v>0</v>
      </c>
      <c r="E90" s="803">
        <f>SUM(E87:E88)</f>
        <v>0</v>
      </c>
      <c r="F90" s="803"/>
      <c r="G90" s="803">
        <f>SUM(G87:G88)</f>
        <v>0</v>
      </c>
      <c r="H90" s="804"/>
      <c r="I90" s="804">
        <f>V95</f>
        <v>0</v>
      </c>
      <c r="J90" s="804"/>
      <c r="K90" s="804">
        <v>57138842</v>
      </c>
      <c r="L90" s="803">
        <f>ROUND(SUM(L87:L89),0)</f>
        <v>0</v>
      </c>
      <c r="M90" s="803" t="e">
        <f>ROUND(SUM(M87:M89),0)</f>
        <v>#REF!</v>
      </c>
      <c r="N90" s="803">
        <f>ROUND(SUM(N87:N89),0)</f>
        <v>0</v>
      </c>
      <c r="O90" s="803">
        <f>ROUND(SUM(O87:O89),0)</f>
        <v>0</v>
      </c>
      <c r="P90" s="803"/>
      <c r="Q90" s="798"/>
      <c r="R90" s="786"/>
      <c r="S90" s="845"/>
      <c r="T90" s="809"/>
      <c r="U90" s="809"/>
      <c r="V90" s="779">
        <f t="shared" si="12"/>
        <v>0</v>
      </c>
      <c r="W90" s="795"/>
    </row>
    <row r="91" spans="1:23">
      <c r="Q91" s="798"/>
      <c r="R91" s="786"/>
      <c r="S91" s="847"/>
      <c r="T91" s="809"/>
      <c r="U91" s="787"/>
      <c r="V91" s="779">
        <f t="shared" si="12"/>
        <v>0</v>
      </c>
      <c r="W91" s="795"/>
    </row>
    <row r="92" spans="1:23">
      <c r="Q92" s="798"/>
      <c r="R92" s="848"/>
      <c r="S92" s="847"/>
      <c r="T92" s="809"/>
      <c r="U92" s="787"/>
      <c r="V92" s="779">
        <f t="shared" si="12"/>
        <v>0</v>
      </c>
      <c r="W92" s="795"/>
    </row>
    <row r="93" spans="1:23">
      <c r="Q93" s="798"/>
      <c r="R93" s="786"/>
      <c r="S93" s="847"/>
      <c r="T93" s="809"/>
      <c r="U93" s="787"/>
      <c r="V93" s="779">
        <f t="shared" si="12"/>
        <v>0</v>
      </c>
      <c r="W93" s="795"/>
    </row>
    <row r="94" spans="1:23">
      <c r="Q94" s="798"/>
      <c r="R94" s="849"/>
      <c r="S94" s="782"/>
      <c r="T94" s="236"/>
      <c r="U94" s="236"/>
      <c r="V94" s="795"/>
      <c r="W94" s="795"/>
    </row>
    <row r="95" spans="1:23">
      <c r="R95" s="832"/>
      <c r="S95" s="833"/>
      <c r="T95" s="834"/>
      <c r="U95" s="850"/>
      <c r="V95" s="803">
        <f>SUM(V87:V94)</f>
        <v>0</v>
      </c>
      <c r="W95" s="813">
        <f>SUM(W87:W94)</f>
        <v>0</v>
      </c>
    </row>
    <row r="96" spans="1:23">
      <c r="R96" s="835"/>
      <c r="S96" s="845"/>
      <c r="T96" s="236"/>
      <c r="U96" s="236"/>
      <c r="V96" s="779">
        <f>ROUND(T96*U96,0)</f>
        <v>0</v>
      </c>
      <c r="W96" s="779"/>
    </row>
    <row r="97" spans="1:23">
      <c r="R97" s="851"/>
      <c r="S97" s="845"/>
      <c r="T97" s="787"/>
      <c r="U97" s="787"/>
      <c r="V97" s="779">
        <f>ROUND(T97*U97,0)</f>
        <v>0</v>
      </c>
      <c r="W97" s="795"/>
    </row>
    <row r="98" spans="1:23">
      <c r="R98" s="786"/>
      <c r="S98" s="845"/>
      <c r="T98" s="787"/>
      <c r="U98" s="787"/>
      <c r="V98" s="779">
        <f>ROUND(T98*U98,0)</f>
        <v>0</v>
      </c>
      <c r="W98" s="795"/>
    </row>
    <row r="99" spans="1:23">
      <c r="R99" s="809"/>
      <c r="S99" s="782"/>
      <c r="T99" s="787"/>
      <c r="U99" s="787"/>
      <c r="V99" s="779">
        <f>ROUND(T99*U99,0)</f>
        <v>0</v>
      </c>
      <c r="W99" s="795"/>
    </row>
    <row r="100" spans="1:23">
      <c r="R100" s="809"/>
      <c r="S100" s="782"/>
      <c r="T100" s="787"/>
      <c r="U100" s="787"/>
      <c r="V100" s="779">
        <f>ROUND(T100*U100,0)</f>
        <v>0</v>
      </c>
      <c r="W100" s="795"/>
    </row>
    <row r="101" spans="1:23">
      <c r="R101" s="759"/>
      <c r="S101" s="836"/>
      <c r="T101" s="769"/>
      <c r="U101" s="769"/>
      <c r="V101" s="807"/>
      <c r="W101" s="837"/>
    </row>
    <row r="102" spans="1:23" ht="18" customHeight="1">
      <c r="A102" s="754" t="s">
        <v>533</v>
      </c>
      <c r="B102" s="754"/>
      <c r="C102" s="755"/>
      <c r="D102" s="756"/>
      <c r="E102" s="756"/>
      <c r="F102" s="756"/>
      <c r="G102" s="753"/>
      <c r="H102" s="753"/>
      <c r="I102" s="753"/>
      <c r="J102" s="753"/>
      <c r="K102" s="753"/>
      <c r="L102" s="757"/>
      <c r="M102" s="753"/>
      <c r="N102" s="753"/>
      <c r="O102" s="758"/>
      <c r="P102" s="753"/>
      <c r="Q102" s="759"/>
      <c r="R102" s="753"/>
      <c r="S102" s="760"/>
    </row>
    <row r="103" spans="1:23" ht="18.75" customHeight="1">
      <c r="A103" s="761" t="s">
        <v>555</v>
      </c>
      <c r="B103" s="761"/>
      <c r="C103" s="761"/>
      <c r="D103" s="761"/>
      <c r="E103" s="761"/>
      <c r="F103" s="761"/>
      <c r="G103" s="761"/>
      <c r="H103" s="761"/>
      <c r="I103" s="761"/>
      <c r="J103" s="761"/>
      <c r="K103" s="761"/>
      <c r="L103" s="761"/>
      <c r="M103" s="761"/>
      <c r="N103" s="761"/>
      <c r="O103" s="761"/>
      <c r="P103" s="761"/>
      <c r="Q103" s="759"/>
      <c r="R103" s="753"/>
      <c r="S103" s="760"/>
    </row>
    <row r="104" spans="1:23" ht="18.75" customHeight="1">
      <c r="A104" s="762"/>
      <c r="B104" s="762"/>
      <c r="C104" s="763"/>
      <c r="D104" s="762"/>
      <c r="E104" s="762"/>
      <c r="F104" s="762"/>
      <c r="G104" s="762"/>
      <c r="H104" s="762"/>
      <c r="I104" s="762"/>
      <c r="J104" s="762"/>
      <c r="K104" s="762"/>
      <c r="L104" s="761"/>
      <c r="M104" s="762"/>
      <c r="N104" s="762"/>
      <c r="O104" s="764"/>
      <c r="P104" s="762"/>
      <c r="Q104" s="759"/>
      <c r="R104" s="753"/>
      <c r="S104" s="760"/>
    </row>
    <row r="105" spans="1:23" ht="12.75" customHeight="1">
      <c r="A105" s="765"/>
      <c r="B105" s="765"/>
      <c r="C105" s="766"/>
      <c r="D105" s="765"/>
      <c r="E105" s="765"/>
      <c r="F105" s="765"/>
      <c r="G105" s="765"/>
      <c r="H105" s="765"/>
      <c r="I105" s="765"/>
      <c r="J105" s="765"/>
      <c r="K105" s="765"/>
      <c r="L105" s="765"/>
      <c r="M105" s="765"/>
      <c r="N105" s="765"/>
      <c r="O105" s="767"/>
      <c r="P105" s="765"/>
      <c r="Q105" s="759"/>
      <c r="R105" s="753"/>
      <c r="S105" s="760"/>
    </row>
    <row r="106" spans="1:23" s="776" customFormat="1" ht="30.75" customHeight="1">
      <c r="A106" s="770" t="s">
        <v>37</v>
      </c>
      <c r="B106" s="770" t="s">
        <v>535</v>
      </c>
      <c r="C106" s="771" t="s">
        <v>536</v>
      </c>
      <c r="D106" s="772" t="s">
        <v>537</v>
      </c>
      <c r="E106" s="772" t="s">
        <v>538</v>
      </c>
      <c r="F106" s="772" t="s">
        <v>539</v>
      </c>
      <c r="G106" s="772" t="s">
        <v>540</v>
      </c>
      <c r="H106" s="772" t="s">
        <v>541</v>
      </c>
      <c r="I106" s="772" t="s">
        <v>542</v>
      </c>
      <c r="J106" s="772" t="s">
        <v>543</v>
      </c>
      <c r="K106" s="773" t="s">
        <v>544</v>
      </c>
      <c r="L106" s="772" t="s">
        <v>545</v>
      </c>
      <c r="M106" s="773" t="s">
        <v>546</v>
      </c>
      <c r="N106" s="772" t="s">
        <v>547</v>
      </c>
      <c r="O106" s="774" t="s">
        <v>538</v>
      </c>
      <c r="P106" s="772" t="s">
        <v>548</v>
      </c>
      <c r="Q106" s="775"/>
      <c r="R106" s="770" t="s">
        <v>535</v>
      </c>
      <c r="S106" s="772" t="s">
        <v>502</v>
      </c>
      <c r="T106" s="772" t="s">
        <v>338</v>
      </c>
      <c r="U106" s="772" t="s">
        <v>539</v>
      </c>
      <c r="V106" s="772" t="s">
        <v>549</v>
      </c>
      <c r="W106" s="770" t="s">
        <v>549</v>
      </c>
    </row>
    <row r="107" spans="1:23">
      <c r="A107" s="777" t="str">
        <f>IF(B107&lt;&gt;"",ROW()-(ROW()-1),"")</f>
        <v/>
      </c>
      <c r="B107" s="852"/>
      <c r="C107" s="778">
        <f>IF(ISNA(VLOOKUP(B107,NXT!$Q$61:$S$81,2,0)),0,VLOOKUP(B107,NXT!$Q$61:$S$81,2,0))</f>
        <v>0</v>
      </c>
      <c r="D107" s="630">
        <f>ROUND(C107*O107,0)</f>
        <v>0</v>
      </c>
      <c r="E107" s="630"/>
      <c r="F107" s="630"/>
      <c r="G107" s="779">
        <f>D107*F107</f>
        <v>0</v>
      </c>
      <c r="H107" s="630">
        <f>IF($D$112&lt;&gt;0,H$112/($D$112+$E$112/5)*($D107+$E107/5),0)</f>
        <v>0</v>
      </c>
      <c r="I107" s="630">
        <f t="shared" ref="I107:K110" si="13">IF($D$112&lt;&gt;0,I$112/$D$112*$D107,0)</f>
        <v>0</v>
      </c>
      <c r="J107" s="630">
        <f t="shared" si="13"/>
        <v>0</v>
      </c>
      <c r="K107" s="630">
        <f t="shared" si="13"/>
        <v>0</v>
      </c>
      <c r="L107" s="779"/>
      <c r="M107" s="630" t="e">
        <f>34560000/($O$68+#REF!+#REF!)*O107</f>
        <v>#REF!</v>
      </c>
      <c r="N107" s="779">
        <f>ROUND(SUM(G107:L107),0)</f>
        <v>0</v>
      </c>
      <c r="O107" s="630"/>
      <c r="P107" s="630">
        <f>IF(N107&lt;&gt;0,N107/O107,0)</f>
        <v>0</v>
      </c>
      <c r="Q107" s="798"/>
      <c r="R107" s="781"/>
      <c r="S107" s="845"/>
      <c r="T107" s="236"/>
      <c r="U107" s="783"/>
      <c r="V107" s="779">
        <f t="shared" ref="V107:V119" si="14">ROUND(T107*U107,0)</f>
        <v>0</v>
      </c>
      <c r="W107" s="779"/>
    </row>
    <row r="108" spans="1:23">
      <c r="A108" s="777" t="str">
        <f>IF(B108&lt;&gt;"",A107+1,"")</f>
        <v/>
      </c>
      <c r="B108" s="789"/>
      <c r="C108" s="778">
        <f>IF(ISNA(VLOOKUP(B108,NXT!$Q$61:$S$81,2,0)),0,VLOOKUP(B108,NXT!$Q$61:$S$81,2,0))</f>
        <v>0</v>
      </c>
      <c r="D108" s="630">
        <f>ROUND(C108*O108,0)</f>
        <v>0</v>
      </c>
      <c r="E108" s="630"/>
      <c r="F108" s="630"/>
      <c r="G108" s="779">
        <f>D108*F108</f>
        <v>0</v>
      </c>
      <c r="H108" s="630">
        <f>IF($D$112&lt;&gt;0,H$112/($D$112+$E$112/5)*($D108+$E108/5),0)</f>
        <v>0</v>
      </c>
      <c r="I108" s="630">
        <f t="shared" si="13"/>
        <v>0</v>
      </c>
      <c r="J108" s="630">
        <f t="shared" si="13"/>
        <v>0</v>
      </c>
      <c r="K108" s="630">
        <f t="shared" si="13"/>
        <v>0</v>
      </c>
      <c r="L108" s="630"/>
      <c r="M108" s="630"/>
      <c r="N108" s="779">
        <f>ROUND(SUM(G108:L108),0)</f>
        <v>0</v>
      </c>
      <c r="O108" s="785"/>
      <c r="P108" s="630">
        <f>IF(N108&lt;&gt;0,N108/O108,0)</f>
        <v>0</v>
      </c>
      <c r="Q108" s="798"/>
      <c r="R108" s="786"/>
      <c r="S108" s="845"/>
      <c r="T108" s="236"/>
      <c r="U108" s="787"/>
      <c r="V108" s="779">
        <f t="shared" si="14"/>
        <v>0</v>
      </c>
      <c r="W108" s="795"/>
    </row>
    <row r="109" spans="1:23">
      <c r="A109" s="777" t="str">
        <f>IF(B109&lt;&gt;"",A108+1,"")</f>
        <v/>
      </c>
      <c r="B109" s="789"/>
      <c r="C109" s="778">
        <f>IF(ISNA(VLOOKUP(B109,NXT!$Q$61:$S$81,2,0)),0,VLOOKUP(B109,NXT!$Q$61:$S$81,2,0))</f>
        <v>0</v>
      </c>
      <c r="D109" s="630">
        <f>ROUND(C109*O109,0)</f>
        <v>0</v>
      </c>
      <c r="E109" s="630"/>
      <c r="F109" s="630"/>
      <c r="G109" s="779">
        <f>D109*F109</f>
        <v>0</v>
      </c>
      <c r="H109" s="630">
        <f>IF($D$112&lt;&gt;0,H$112/($D$112+$E$112/5)*($D109+$E109/5),0)</f>
        <v>0</v>
      </c>
      <c r="I109" s="630">
        <f t="shared" si="13"/>
        <v>0</v>
      </c>
      <c r="J109" s="630">
        <f t="shared" si="13"/>
        <v>0</v>
      </c>
      <c r="K109" s="630">
        <f t="shared" si="13"/>
        <v>0</v>
      </c>
      <c r="L109" s="630"/>
      <c r="M109" s="630">
        <v>25840000</v>
      </c>
      <c r="N109" s="779">
        <f>ROUND(SUM(G109:L109),0)</f>
        <v>0</v>
      </c>
      <c r="O109" s="785"/>
      <c r="P109" s="630">
        <f>IF(N109&lt;&gt;0,N109/O109,0)</f>
        <v>0</v>
      </c>
      <c r="Q109" s="798"/>
      <c r="R109" s="786"/>
      <c r="S109" s="845"/>
      <c r="T109" s="236"/>
      <c r="U109" s="787"/>
      <c r="V109" s="779">
        <f t="shared" si="14"/>
        <v>0</v>
      </c>
      <c r="W109" s="795"/>
    </row>
    <row r="110" spans="1:23">
      <c r="A110" s="777" t="str">
        <f>IF(B110&lt;&gt;"",A109+1,"")</f>
        <v/>
      </c>
      <c r="B110" s="515"/>
      <c r="C110" s="778">
        <f>IF(ISNA(VLOOKUP(B110,NXT!$Q$61:$S$81,2,0)),0,VLOOKUP(B110,NXT!$Q$61:$S$81,2,0))</f>
        <v>0</v>
      </c>
      <c r="D110" s="630">
        <f>ROUND(C110*O110,0)</f>
        <v>0</v>
      </c>
      <c r="E110" s="630"/>
      <c r="F110" s="630"/>
      <c r="G110" s="779">
        <f>D110*F110</f>
        <v>0</v>
      </c>
      <c r="H110" s="630">
        <f>IF($D$112&lt;&gt;0,H$112/($D$112+$E$112/5)*($D110+$E110/5),0)</f>
        <v>0</v>
      </c>
      <c r="I110" s="630">
        <f t="shared" si="13"/>
        <v>0</v>
      </c>
      <c r="J110" s="630">
        <f t="shared" si="13"/>
        <v>0</v>
      </c>
      <c r="K110" s="630">
        <f t="shared" si="13"/>
        <v>0</v>
      </c>
      <c r="L110" s="630"/>
      <c r="M110" s="630" t="e">
        <f>34560000/($O$68+#REF!+#REF!)*O110</f>
        <v>#REF!</v>
      </c>
      <c r="N110" s="779">
        <f>ROUND(SUM(G110:L110),0)</f>
        <v>0</v>
      </c>
      <c r="O110" s="785"/>
      <c r="P110" s="630">
        <f>IF(N110&lt;&gt;0,N110/O110,0)</f>
        <v>0</v>
      </c>
      <c r="Q110" s="798"/>
      <c r="R110" s="786"/>
      <c r="S110" s="845"/>
      <c r="T110" s="809"/>
      <c r="U110" s="787"/>
      <c r="V110" s="779">
        <f t="shared" si="14"/>
        <v>0</v>
      </c>
      <c r="W110" s="795"/>
    </row>
    <row r="111" spans="1:23">
      <c r="A111" s="777" t="str">
        <f>IF(B111&lt;&gt;"",#REF!+1,"")</f>
        <v/>
      </c>
      <c r="B111" s="790"/>
      <c r="C111" s="791"/>
      <c r="D111" s="793"/>
      <c r="E111" s="793"/>
      <c r="F111" s="793"/>
      <c r="G111" s="794"/>
      <c r="H111" s="839"/>
      <c r="I111" s="793"/>
      <c r="J111" s="795"/>
      <c r="K111" s="793"/>
      <c r="L111" s="796"/>
      <c r="M111" s="793"/>
      <c r="N111" s="779"/>
      <c r="O111" s="797"/>
      <c r="P111" s="793"/>
      <c r="Q111" s="798"/>
      <c r="R111" s="786"/>
      <c r="S111" s="845"/>
      <c r="T111" s="236"/>
      <c r="U111" s="787"/>
      <c r="V111" s="779">
        <f t="shared" si="14"/>
        <v>0</v>
      </c>
      <c r="W111" s="795"/>
    </row>
    <row r="112" spans="1:23">
      <c r="A112" s="800"/>
      <c r="B112" s="801" t="s">
        <v>550</v>
      </c>
      <c r="C112" s="802"/>
      <c r="D112" s="803">
        <f>SUM(D107:D110)</f>
        <v>0</v>
      </c>
      <c r="E112" s="803"/>
      <c r="F112" s="803"/>
      <c r="G112" s="803">
        <f>SUM(G107:G110)</f>
        <v>0</v>
      </c>
      <c r="H112" s="804"/>
      <c r="I112" s="804">
        <f>V121</f>
        <v>0</v>
      </c>
      <c r="J112" s="804"/>
      <c r="K112" s="804">
        <v>57138842</v>
      </c>
      <c r="L112" s="803">
        <f>ROUND(SUM(L107:L111),0)</f>
        <v>0</v>
      </c>
      <c r="M112" s="803" t="e">
        <f>ROUND(SUM(M107:M111),0)</f>
        <v>#REF!</v>
      </c>
      <c r="N112" s="803">
        <f>ROUND(SUM(N107:N111),0)</f>
        <v>0</v>
      </c>
      <c r="O112" s="803">
        <f>ROUND(SUM(O107:O111),0)</f>
        <v>0</v>
      </c>
      <c r="P112" s="803"/>
      <c r="Q112" s="798"/>
      <c r="R112" s="786"/>
      <c r="S112" s="845"/>
      <c r="T112" s="236"/>
      <c r="U112" s="787"/>
      <c r="V112" s="779">
        <f t="shared" si="14"/>
        <v>0</v>
      </c>
      <c r="W112" s="795"/>
    </row>
    <row r="113" spans="1:23" s="799" customFormat="1">
      <c r="A113" s="750"/>
      <c r="B113" s="750"/>
      <c r="C113" s="750"/>
      <c r="D113" s="750"/>
      <c r="E113" s="750"/>
      <c r="F113" s="750"/>
      <c r="G113" s="750"/>
      <c r="H113" s="750"/>
      <c r="I113" s="750"/>
      <c r="J113" s="750"/>
      <c r="K113" s="750"/>
      <c r="L113" s="750"/>
      <c r="M113" s="750"/>
      <c r="N113" s="750"/>
      <c r="O113" s="750"/>
      <c r="P113" s="750"/>
      <c r="Q113" s="798"/>
      <c r="R113" s="786"/>
      <c r="S113" s="845"/>
      <c r="T113" s="236"/>
      <c r="U113" s="787"/>
      <c r="V113" s="779">
        <f t="shared" si="14"/>
        <v>0</v>
      </c>
      <c r="W113" s="795"/>
    </row>
    <row r="114" spans="1:23" s="754" customFormat="1">
      <c r="A114" s="750"/>
      <c r="B114" s="750"/>
      <c r="C114" s="750"/>
      <c r="D114" s="750"/>
      <c r="E114" s="750"/>
      <c r="F114" s="750"/>
      <c r="G114" s="750"/>
      <c r="H114" s="750"/>
      <c r="I114" s="750"/>
      <c r="J114" s="750"/>
      <c r="K114" s="750"/>
      <c r="L114" s="750"/>
      <c r="M114" s="750"/>
      <c r="N114" s="750"/>
      <c r="O114" s="750"/>
      <c r="P114" s="750"/>
      <c r="Q114" s="798"/>
      <c r="R114" s="786"/>
      <c r="S114" s="845"/>
      <c r="T114" s="809"/>
      <c r="U114" s="809"/>
      <c r="V114" s="779">
        <f t="shared" si="14"/>
        <v>0</v>
      </c>
      <c r="W114" s="795"/>
    </row>
    <row r="115" spans="1:23">
      <c r="Q115" s="798"/>
      <c r="R115" s="786"/>
      <c r="S115" s="847"/>
      <c r="T115" s="809"/>
      <c r="U115" s="787"/>
      <c r="V115" s="779">
        <f t="shared" si="14"/>
        <v>0</v>
      </c>
      <c r="W115" s="795"/>
    </row>
    <row r="116" spans="1:23">
      <c r="Q116" s="798"/>
      <c r="R116" s="520"/>
      <c r="S116" s="847"/>
      <c r="T116" s="236"/>
      <c r="U116" s="236"/>
      <c r="V116" s="779">
        <f t="shared" si="14"/>
        <v>0</v>
      </c>
      <c r="W116" s="795"/>
    </row>
    <row r="117" spans="1:23">
      <c r="Q117" s="798"/>
      <c r="R117" s="786"/>
      <c r="S117" s="847"/>
      <c r="T117" s="236"/>
      <c r="U117" s="236"/>
      <c r="V117" s="779">
        <f t="shared" si="14"/>
        <v>0</v>
      </c>
      <c r="W117" s="795"/>
    </row>
    <row r="118" spans="1:23">
      <c r="Q118" s="798"/>
      <c r="R118" s="848"/>
      <c r="S118" s="847"/>
      <c r="T118" s="809"/>
      <c r="U118" s="787"/>
      <c r="V118" s="779">
        <f t="shared" si="14"/>
        <v>0</v>
      </c>
      <c r="W118" s="795"/>
    </row>
    <row r="119" spans="1:23">
      <c r="Q119" s="798"/>
      <c r="R119" s="786"/>
      <c r="S119" s="845"/>
      <c r="T119" s="809"/>
      <c r="U119" s="787"/>
      <c r="V119" s="779">
        <f t="shared" si="14"/>
        <v>0</v>
      </c>
      <c r="W119" s="795"/>
    </row>
    <row r="120" spans="1:23">
      <c r="Q120" s="798"/>
      <c r="R120" s="520"/>
      <c r="S120" s="782"/>
      <c r="T120" s="236"/>
      <c r="U120" s="236"/>
      <c r="V120" s="779"/>
      <c r="W120" s="795"/>
    </row>
    <row r="121" spans="1:23">
      <c r="R121" s="832"/>
      <c r="S121" s="833"/>
      <c r="T121" s="834"/>
      <c r="U121" s="850"/>
      <c r="V121" s="803">
        <f>SUM(V107:V120)</f>
        <v>0</v>
      </c>
      <c r="W121" s="813">
        <f>SUM(W107:W120)</f>
        <v>0</v>
      </c>
    </row>
    <row r="122" spans="1:23">
      <c r="R122" s="835"/>
      <c r="S122" s="845"/>
      <c r="T122" s="236"/>
      <c r="U122" s="236"/>
      <c r="V122" s="779">
        <f t="shared" ref="V122:V128" si="15">ROUND(T122*U122,0)</f>
        <v>0</v>
      </c>
      <c r="W122" s="779"/>
    </row>
    <row r="123" spans="1:23">
      <c r="R123" s="786"/>
      <c r="S123" s="845"/>
      <c r="T123" s="787"/>
      <c r="U123" s="787"/>
      <c r="V123" s="779">
        <f t="shared" si="15"/>
        <v>0</v>
      </c>
      <c r="W123" s="795"/>
    </row>
    <row r="124" spans="1:23">
      <c r="R124" s="786"/>
      <c r="S124" s="845"/>
      <c r="T124" s="787"/>
      <c r="U124" s="787"/>
      <c r="V124" s="779">
        <f t="shared" si="15"/>
        <v>0</v>
      </c>
      <c r="W124" s="795"/>
    </row>
    <row r="125" spans="1:23">
      <c r="R125" s="786"/>
      <c r="S125" s="845"/>
      <c r="T125" s="787"/>
      <c r="U125" s="787"/>
      <c r="V125" s="779">
        <f t="shared" si="15"/>
        <v>0</v>
      </c>
      <c r="W125" s="795"/>
    </row>
    <row r="126" spans="1:23">
      <c r="R126" s="835"/>
      <c r="S126" s="845"/>
      <c r="T126" s="236"/>
      <c r="U126" s="236"/>
      <c r="V126" s="779">
        <f t="shared" si="15"/>
        <v>0</v>
      </c>
      <c r="W126" s="795"/>
    </row>
    <row r="127" spans="1:23">
      <c r="R127" s="809"/>
      <c r="S127" s="782"/>
      <c r="T127" s="787"/>
      <c r="U127" s="787"/>
      <c r="V127" s="779">
        <f t="shared" si="15"/>
        <v>0</v>
      </c>
      <c r="W127" s="795"/>
    </row>
    <row r="128" spans="1:23">
      <c r="R128" s="809"/>
      <c r="S128" s="782"/>
      <c r="T128" s="787"/>
      <c r="U128" s="787"/>
      <c r="V128" s="779">
        <f t="shared" si="15"/>
        <v>0</v>
      </c>
      <c r="W128" s="795"/>
    </row>
    <row r="129" spans="1:23" ht="12.75" customHeight="1">
      <c r="A129" s="769"/>
      <c r="B129" s="769"/>
      <c r="C129" s="853"/>
      <c r="D129" s="769"/>
      <c r="E129" s="769"/>
      <c r="F129" s="769"/>
      <c r="G129" s="769"/>
      <c r="H129" s="769"/>
      <c r="I129" s="769"/>
      <c r="J129" s="769"/>
      <c r="K129" s="769"/>
      <c r="L129" s="769"/>
      <c r="M129" s="769"/>
      <c r="N129" s="769"/>
      <c r="O129" s="821"/>
      <c r="P129" s="769"/>
      <c r="Q129" s="759"/>
      <c r="R129" s="753"/>
      <c r="S129" s="760"/>
    </row>
    <row r="130" spans="1:23" ht="18" customHeight="1">
      <c r="A130" s="754" t="s">
        <v>533</v>
      </c>
      <c r="B130" s="754"/>
      <c r="C130" s="854"/>
      <c r="D130" s="756"/>
      <c r="E130" s="756"/>
      <c r="F130" s="756"/>
      <c r="G130" s="753"/>
      <c r="H130" s="753"/>
      <c r="I130" s="753"/>
      <c r="J130" s="753"/>
      <c r="K130" s="753"/>
      <c r="L130" s="757"/>
      <c r="M130" s="753"/>
      <c r="N130" s="753"/>
      <c r="O130" s="758"/>
      <c r="P130" s="753"/>
      <c r="Q130" s="759"/>
      <c r="R130" s="753"/>
      <c r="S130" s="760"/>
    </row>
    <row r="131" spans="1:23" ht="18.75" customHeight="1">
      <c r="A131" s="761" t="s">
        <v>556</v>
      </c>
      <c r="B131" s="761"/>
      <c r="C131" s="761"/>
      <c r="D131" s="761"/>
      <c r="E131" s="761"/>
      <c r="F131" s="761"/>
      <c r="G131" s="761"/>
      <c r="H131" s="761"/>
      <c r="I131" s="761"/>
      <c r="J131" s="761"/>
      <c r="K131" s="761"/>
      <c r="L131" s="761"/>
      <c r="M131" s="761"/>
      <c r="N131" s="761"/>
      <c r="O131" s="761"/>
      <c r="P131" s="761"/>
      <c r="Q131" s="759"/>
      <c r="R131" s="753"/>
      <c r="S131" s="760"/>
    </row>
    <row r="132" spans="1:23" ht="18.75" customHeight="1">
      <c r="A132" s="762"/>
      <c r="B132" s="762"/>
      <c r="C132" s="763"/>
      <c r="D132" s="762"/>
      <c r="E132" s="762"/>
      <c r="F132" s="762"/>
      <c r="G132" s="762"/>
      <c r="H132" s="762"/>
      <c r="I132" s="762"/>
      <c r="J132" s="762"/>
      <c r="K132" s="762"/>
      <c r="L132" s="761"/>
      <c r="M132" s="762"/>
      <c r="N132" s="762"/>
      <c r="O132" s="764"/>
      <c r="P132" s="762"/>
      <c r="Q132" s="759"/>
      <c r="R132" s="753"/>
      <c r="S132" s="760"/>
    </row>
    <row r="133" spans="1:23" ht="12.75" customHeight="1">
      <c r="A133" s="765"/>
      <c r="B133" s="765"/>
      <c r="C133" s="766"/>
      <c r="D133" s="765"/>
      <c r="E133" s="765"/>
      <c r="F133" s="765"/>
      <c r="G133" s="765"/>
      <c r="H133" s="765"/>
      <c r="I133" s="765"/>
      <c r="J133" s="765"/>
      <c r="K133" s="765"/>
      <c r="L133" s="765"/>
      <c r="M133" s="765"/>
      <c r="N133" s="765"/>
      <c r="O133" s="767"/>
      <c r="P133" s="765"/>
      <c r="Q133" s="759"/>
      <c r="R133" s="753"/>
      <c r="S133" s="760"/>
    </row>
    <row r="134" spans="1:23" s="776" customFormat="1" ht="30.75" customHeight="1">
      <c r="A134" s="770" t="s">
        <v>37</v>
      </c>
      <c r="B134" s="770" t="s">
        <v>535</v>
      </c>
      <c r="C134" s="771" t="s">
        <v>536</v>
      </c>
      <c r="D134" s="772" t="s">
        <v>537</v>
      </c>
      <c r="E134" s="772" t="s">
        <v>538</v>
      </c>
      <c r="F134" s="772" t="s">
        <v>539</v>
      </c>
      <c r="G134" s="772" t="s">
        <v>540</v>
      </c>
      <c r="H134" s="772" t="s">
        <v>541</v>
      </c>
      <c r="I134" s="772" t="s">
        <v>542</v>
      </c>
      <c r="J134" s="772" t="s">
        <v>543</v>
      </c>
      <c r="K134" s="773" t="s">
        <v>544</v>
      </c>
      <c r="L134" s="772" t="s">
        <v>545</v>
      </c>
      <c r="M134" s="773" t="s">
        <v>546</v>
      </c>
      <c r="N134" s="772" t="s">
        <v>547</v>
      </c>
      <c r="O134" s="774" t="s">
        <v>538</v>
      </c>
      <c r="P134" s="772" t="s">
        <v>548</v>
      </c>
      <c r="Q134" s="775"/>
      <c r="R134" s="770" t="s">
        <v>535</v>
      </c>
      <c r="S134" s="772" t="s">
        <v>502</v>
      </c>
      <c r="T134" s="772" t="s">
        <v>338</v>
      </c>
      <c r="U134" s="772" t="s">
        <v>539</v>
      </c>
      <c r="V134" s="772" t="s">
        <v>549</v>
      </c>
      <c r="W134" s="770" t="s">
        <v>549</v>
      </c>
    </row>
    <row r="135" spans="1:23">
      <c r="A135" s="777" t="str">
        <f>IF(B135&lt;&gt;"",ROW()-(ROW()-1),"")</f>
        <v/>
      </c>
      <c r="B135" s="789"/>
      <c r="C135" s="778">
        <f>IF(ISNA(VLOOKUP(B135,NXT!$Q$61:$S$81,2,0)),0,VLOOKUP(B135,NXT!$Q$61:$S$81,2,0))</f>
        <v>0</v>
      </c>
      <c r="D135" s="630">
        <f>ROUND(C135*O135,0)</f>
        <v>0</v>
      </c>
      <c r="E135" s="630"/>
      <c r="F135" s="630"/>
      <c r="G135" s="779">
        <f>D135*F135</f>
        <v>0</v>
      </c>
      <c r="H135" s="630">
        <f>IF($D$139&lt;&gt;0,H$139/($D$139+$E$139/5)*($D135+$E135/5),0)</f>
        <v>0</v>
      </c>
      <c r="I135" s="630">
        <f t="shared" ref="I135:K138" si="16">IF($D$139&lt;&gt;0,I$139/$D$139*$D135,0)</f>
        <v>0</v>
      </c>
      <c r="J135" s="630">
        <f t="shared" si="16"/>
        <v>0</v>
      </c>
      <c r="K135" s="630">
        <f t="shared" si="16"/>
        <v>0</v>
      </c>
      <c r="L135" s="779"/>
      <c r="M135" s="630" t="e">
        <f>34560000/($O$68+#REF!+#REF!)*O135</f>
        <v>#REF!</v>
      </c>
      <c r="N135" s="779">
        <f>ROUND(SUM(G135:L135),0)</f>
        <v>0</v>
      </c>
      <c r="O135" s="630"/>
      <c r="P135" s="630">
        <f>IF(N135&lt;&gt;0,N135/O135,0)</f>
        <v>0</v>
      </c>
      <c r="Q135" s="798"/>
      <c r="R135" s="781"/>
      <c r="S135" s="845"/>
      <c r="T135" s="236"/>
      <c r="U135" s="783"/>
      <c r="V135" s="779">
        <f t="shared" ref="V135:V144" si="17">ROUND(T135*U135,0)</f>
        <v>0</v>
      </c>
      <c r="W135" s="779"/>
    </row>
    <row r="136" spans="1:23">
      <c r="A136" s="777" t="str">
        <f>IF(B136&lt;&gt;"",A135+1,"")</f>
        <v/>
      </c>
      <c r="B136" s="520"/>
      <c r="C136" s="778">
        <f>IF(ISNA(VLOOKUP(B136,NXT!$Q$61:$S$81,2,0)),0,VLOOKUP(B136,NXT!$Q$61:$S$81,2,0))</f>
        <v>0</v>
      </c>
      <c r="D136" s="630">
        <f>ROUND(C136*O136,0)</f>
        <v>0</v>
      </c>
      <c r="E136" s="630"/>
      <c r="F136" s="630"/>
      <c r="G136" s="779">
        <f>D136*F136</f>
        <v>0</v>
      </c>
      <c r="H136" s="630">
        <f>IF($D$139&lt;&gt;0,H$139/($D$139+$E$139/5)*($D136+$E136/5),0)</f>
        <v>0</v>
      </c>
      <c r="I136" s="630">
        <f t="shared" si="16"/>
        <v>0</v>
      </c>
      <c r="J136" s="630">
        <f t="shared" si="16"/>
        <v>0</v>
      </c>
      <c r="K136" s="630">
        <f t="shared" si="16"/>
        <v>0</v>
      </c>
      <c r="L136" s="630"/>
      <c r="M136" s="630"/>
      <c r="N136" s="779">
        <f>ROUND(SUM(G136:L136),0)</f>
        <v>0</v>
      </c>
      <c r="O136" s="785"/>
      <c r="P136" s="630">
        <f>IF(N136&lt;&gt;0,N136/O136,0)</f>
        <v>0</v>
      </c>
      <c r="Q136" s="798"/>
      <c r="R136" s="786"/>
      <c r="S136" s="845"/>
      <c r="T136" s="236"/>
      <c r="U136" s="787"/>
      <c r="V136" s="779">
        <f t="shared" si="17"/>
        <v>0</v>
      </c>
      <c r="W136" s="795"/>
    </row>
    <row r="137" spans="1:23">
      <c r="A137" s="777" t="str">
        <f>IF(B137&lt;&gt;"",A136+1,"")</f>
        <v/>
      </c>
      <c r="B137" s="789"/>
      <c r="C137" s="778">
        <f>IF(ISNA(VLOOKUP(B137,NXT!$Q$61:$S$81,2,0)),0,VLOOKUP(B137,NXT!$Q$61:$S$81,2,0))</f>
        <v>0</v>
      </c>
      <c r="D137" s="630">
        <f>ROUND(C137*O137,0)</f>
        <v>0</v>
      </c>
      <c r="E137" s="630"/>
      <c r="F137" s="630"/>
      <c r="G137" s="779">
        <f>D137*F137</f>
        <v>0</v>
      </c>
      <c r="H137" s="630">
        <f>IF($D$139&lt;&gt;0,H$139/($D$139+$E$139/5)*($D137+$E137/5),0)</f>
        <v>0</v>
      </c>
      <c r="I137" s="630">
        <f t="shared" si="16"/>
        <v>0</v>
      </c>
      <c r="J137" s="630">
        <f t="shared" si="16"/>
        <v>0</v>
      </c>
      <c r="K137" s="630">
        <f t="shared" si="16"/>
        <v>0</v>
      </c>
      <c r="L137" s="630"/>
      <c r="M137" s="630">
        <v>25840000</v>
      </c>
      <c r="N137" s="779">
        <f>ROUND(SUM(G137:L137),0)</f>
        <v>0</v>
      </c>
      <c r="O137" s="785"/>
      <c r="P137" s="630">
        <f>IF(N137&lt;&gt;0,N137/O137,0)</f>
        <v>0</v>
      </c>
      <c r="Q137" s="798"/>
      <c r="R137" s="786"/>
      <c r="S137" s="845"/>
      <c r="T137" s="236"/>
      <c r="U137" s="787"/>
      <c r="V137" s="779">
        <f t="shared" si="17"/>
        <v>0</v>
      </c>
      <c r="W137" s="795"/>
    </row>
    <row r="138" spans="1:23">
      <c r="A138" s="777" t="str">
        <f>IF(B138&lt;&gt;"",#REF!+1,"")</f>
        <v/>
      </c>
      <c r="B138" s="789"/>
      <c r="C138" s="778"/>
      <c r="D138" s="630">
        <f>ROUND(C138*O138,0)</f>
        <v>0</v>
      </c>
      <c r="E138" s="630"/>
      <c r="F138" s="630"/>
      <c r="G138" s="779">
        <f>D138*F138</f>
        <v>0</v>
      </c>
      <c r="H138" s="630">
        <f>IF($D$139&lt;&gt;0,H$139/($D$139+$E$139/5)*($D138+$E138/5),0)</f>
        <v>0</v>
      </c>
      <c r="I138" s="630">
        <f t="shared" si="16"/>
        <v>0</v>
      </c>
      <c r="J138" s="630">
        <f t="shared" si="16"/>
        <v>0</v>
      </c>
      <c r="K138" s="630">
        <f t="shared" si="16"/>
        <v>0</v>
      </c>
      <c r="L138" s="630"/>
      <c r="M138" s="630" t="e">
        <f>34560000/($O$68+#REF!+#REF!)*O138</f>
        <v>#REF!</v>
      </c>
      <c r="N138" s="779">
        <f>ROUND(SUM(G138:L138),0)</f>
        <v>0</v>
      </c>
      <c r="O138" s="785"/>
      <c r="P138" s="630">
        <f>IF(N138&lt;&gt;0,N138/O138,0)</f>
        <v>0</v>
      </c>
      <c r="Q138" s="798"/>
      <c r="R138" s="786"/>
      <c r="S138" s="845"/>
      <c r="T138" s="809"/>
      <c r="U138" s="787"/>
      <c r="V138" s="779">
        <f t="shared" si="17"/>
        <v>0</v>
      </c>
      <c r="W138" s="795"/>
    </row>
    <row r="139" spans="1:23">
      <c r="A139" s="800"/>
      <c r="B139" s="801" t="s">
        <v>550</v>
      </c>
      <c r="C139" s="802"/>
      <c r="D139" s="803">
        <f>SUM(D135:D138)</f>
        <v>0</v>
      </c>
      <c r="E139" s="803"/>
      <c r="F139" s="803"/>
      <c r="G139" s="803">
        <f>SUM(G135:G138)</f>
        <v>0</v>
      </c>
      <c r="H139" s="804"/>
      <c r="I139" s="804">
        <f>V146</f>
        <v>0</v>
      </c>
      <c r="J139" s="804"/>
      <c r="K139" s="804">
        <v>57138842</v>
      </c>
      <c r="L139" s="803">
        <f>ROUND(SUM(L135:L138),0)</f>
        <v>0</v>
      </c>
      <c r="M139" s="803" t="e">
        <f>ROUND(SUM(M135:M138),0)</f>
        <v>#REF!</v>
      </c>
      <c r="N139" s="803">
        <f>ROUND(SUM(N135:N138),0)</f>
        <v>0</v>
      </c>
      <c r="O139" s="803">
        <f>ROUND(SUM(O135:O138),0)</f>
        <v>0</v>
      </c>
      <c r="P139" s="803"/>
      <c r="Q139" s="798"/>
      <c r="R139" s="786"/>
      <c r="S139" s="845"/>
      <c r="T139" s="236"/>
      <c r="U139" s="787"/>
      <c r="V139" s="779">
        <f t="shared" si="17"/>
        <v>0</v>
      </c>
      <c r="W139" s="795"/>
    </row>
    <row r="140" spans="1:23">
      <c r="Q140" s="798"/>
      <c r="R140" s="786"/>
      <c r="S140" s="845"/>
      <c r="T140" s="236"/>
      <c r="U140" s="787"/>
      <c r="V140" s="779">
        <f t="shared" si="17"/>
        <v>0</v>
      </c>
      <c r="W140" s="795"/>
    </row>
    <row r="141" spans="1:23" s="754" customFormat="1">
      <c r="A141" s="750"/>
      <c r="B141" s="750"/>
      <c r="C141" s="750"/>
      <c r="D141" s="750"/>
      <c r="E141" s="750"/>
      <c r="F141" s="750"/>
      <c r="G141" s="750"/>
      <c r="H141" s="750"/>
      <c r="I141" s="750"/>
      <c r="J141" s="750"/>
      <c r="K141" s="750"/>
      <c r="L141" s="750"/>
      <c r="M141" s="750"/>
      <c r="N141" s="750"/>
      <c r="O141" s="750"/>
      <c r="P141" s="750"/>
      <c r="Q141" s="798"/>
      <c r="R141" s="786"/>
      <c r="S141" s="845"/>
      <c r="T141" s="809"/>
      <c r="U141" s="809"/>
      <c r="V141" s="779">
        <f t="shared" si="17"/>
        <v>0</v>
      </c>
      <c r="W141" s="795"/>
    </row>
    <row r="142" spans="1:23">
      <c r="Q142" s="798"/>
      <c r="R142" s="786"/>
      <c r="S142" s="847"/>
      <c r="T142" s="809"/>
      <c r="U142" s="787"/>
      <c r="V142" s="779">
        <f t="shared" si="17"/>
        <v>0</v>
      </c>
      <c r="W142" s="795"/>
    </row>
    <row r="143" spans="1:23">
      <c r="Q143" s="798"/>
      <c r="R143" s="520"/>
      <c r="S143" s="845"/>
      <c r="T143" s="236"/>
      <c r="U143" s="236"/>
      <c r="V143" s="779">
        <f t="shared" si="17"/>
        <v>0</v>
      </c>
      <c r="W143" s="795"/>
    </row>
    <row r="144" spans="1:23">
      <c r="Q144" s="798"/>
      <c r="R144" s="848"/>
      <c r="S144" s="847"/>
      <c r="T144" s="809"/>
      <c r="U144" s="787"/>
      <c r="V144" s="779">
        <f t="shared" si="17"/>
        <v>0</v>
      </c>
      <c r="W144" s="795"/>
    </row>
    <row r="145" spans="1:23">
      <c r="Q145" s="798"/>
      <c r="R145" s="520"/>
      <c r="S145" s="782"/>
      <c r="T145" s="236"/>
      <c r="U145" s="236"/>
      <c r="V145" s="795"/>
      <c r="W145" s="795"/>
    </row>
    <row r="146" spans="1:23">
      <c r="R146" s="832"/>
      <c r="S146" s="833"/>
      <c r="T146" s="834"/>
      <c r="U146" s="850"/>
      <c r="V146" s="803">
        <f>SUM(V135:V145)</f>
        <v>0</v>
      </c>
      <c r="W146" s="813">
        <f>SUM(W135:W145)</f>
        <v>0</v>
      </c>
    </row>
    <row r="147" spans="1:23">
      <c r="R147" s="835"/>
      <c r="S147" s="845"/>
      <c r="T147" s="236"/>
      <c r="U147" s="236"/>
      <c r="V147" s="779">
        <f t="shared" ref="V147:V152" si="18">ROUND(T147*U147,0)</f>
        <v>0</v>
      </c>
      <c r="W147" s="779"/>
    </row>
    <row r="148" spans="1:23">
      <c r="R148" s="786"/>
      <c r="S148" s="845"/>
      <c r="T148" s="787"/>
      <c r="U148" s="787"/>
      <c r="V148" s="779">
        <f t="shared" si="18"/>
        <v>0</v>
      </c>
      <c r="W148" s="795"/>
    </row>
    <row r="149" spans="1:23">
      <c r="R149" s="786"/>
      <c r="S149" s="845"/>
      <c r="T149" s="787"/>
      <c r="U149" s="787"/>
      <c r="V149" s="779">
        <f t="shared" si="18"/>
        <v>0</v>
      </c>
      <c r="W149" s="795"/>
    </row>
    <row r="150" spans="1:23">
      <c r="R150" s="786"/>
      <c r="S150" s="845"/>
      <c r="T150" s="787"/>
      <c r="U150" s="787"/>
      <c r="V150" s="779">
        <f t="shared" si="18"/>
        <v>0</v>
      </c>
      <c r="W150" s="795"/>
    </row>
    <row r="151" spans="1:23">
      <c r="R151" s="786"/>
      <c r="S151" s="845"/>
      <c r="T151" s="787"/>
      <c r="U151" s="787"/>
      <c r="V151" s="779">
        <f t="shared" si="18"/>
        <v>0</v>
      </c>
      <c r="W151" s="795"/>
    </row>
    <row r="152" spans="1:23">
      <c r="R152" s="809"/>
      <c r="S152" s="782"/>
      <c r="T152" s="787"/>
      <c r="U152" s="787"/>
      <c r="V152" s="779">
        <f t="shared" si="18"/>
        <v>0</v>
      </c>
      <c r="W152" s="795"/>
    </row>
    <row r="153" spans="1:23" ht="16.5" customHeight="1">
      <c r="A153" s="754" t="s">
        <v>533</v>
      </c>
      <c r="B153" s="754"/>
      <c r="C153" s="755"/>
      <c r="D153" s="756"/>
      <c r="E153" s="756"/>
      <c r="F153" s="756"/>
      <c r="G153" s="753"/>
      <c r="H153" s="753"/>
      <c r="I153" s="753"/>
      <c r="J153" s="753"/>
      <c r="K153" s="753"/>
      <c r="L153" s="757"/>
      <c r="M153" s="753"/>
      <c r="N153" s="753"/>
      <c r="O153" s="758"/>
      <c r="P153" s="753"/>
      <c r="R153" s="753"/>
      <c r="S153" s="760"/>
    </row>
    <row r="154" spans="1:23" ht="16.5" customHeight="1">
      <c r="A154" s="761" t="s">
        <v>557</v>
      </c>
      <c r="B154" s="761"/>
      <c r="C154" s="761"/>
      <c r="D154" s="761"/>
      <c r="E154" s="761"/>
      <c r="F154" s="761"/>
      <c r="G154" s="761"/>
      <c r="H154" s="761"/>
      <c r="I154" s="761"/>
      <c r="J154" s="761"/>
      <c r="K154" s="761"/>
      <c r="L154" s="761"/>
      <c r="M154" s="761"/>
      <c r="N154" s="761"/>
      <c r="O154" s="761"/>
      <c r="P154" s="761"/>
      <c r="Q154" s="759"/>
      <c r="R154" s="753"/>
      <c r="S154" s="760"/>
    </row>
    <row r="155" spans="1:23" ht="11.25" customHeight="1">
      <c r="A155" s="762"/>
      <c r="B155" s="762"/>
      <c r="C155" s="763"/>
      <c r="D155" s="762"/>
      <c r="E155" s="762"/>
      <c r="F155" s="762"/>
      <c r="G155" s="762"/>
      <c r="H155" s="762"/>
      <c r="I155" s="762"/>
      <c r="J155" s="762"/>
      <c r="K155" s="762"/>
      <c r="L155" s="761"/>
      <c r="M155" s="762"/>
      <c r="N155" s="762"/>
      <c r="O155" s="764"/>
      <c r="P155" s="762"/>
      <c r="Q155" s="759"/>
      <c r="R155" s="753"/>
      <c r="S155" s="760"/>
    </row>
    <row r="156" spans="1:23" ht="11.25" customHeight="1">
      <c r="A156" s="765"/>
      <c r="B156" s="765"/>
      <c r="C156" s="766"/>
      <c r="D156" s="765"/>
      <c r="E156" s="765"/>
      <c r="F156" s="765"/>
      <c r="G156" s="765"/>
      <c r="H156" s="765"/>
      <c r="I156" s="765"/>
      <c r="J156" s="765"/>
      <c r="K156" s="765"/>
      <c r="L156" s="765"/>
      <c r="M156" s="765"/>
      <c r="N156" s="765"/>
      <c r="O156" s="767"/>
      <c r="P156" s="765"/>
      <c r="Q156" s="759"/>
      <c r="R156" s="753"/>
      <c r="S156" s="760"/>
    </row>
    <row r="157" spans="1:23" ht="28.5" customHeight="1">
      <c r="A157" s="770" t="s">
        <v>37</v>
      </c>
      <c r="B157" s="770" t="s">
        <v>535</v>
      </c>
      <c r="C157" s="771" t="s">
        <v>536</v>
      </c>
      <c r="D157" s="772" t="s">
        <v>537</v>
      </c>
      <c r="E157" s="772" t="s">
        <v>538</v>
      </c>
      <c r="F157" s="772" t="s">
        <v>539</v>
      </c>
      <c r="G157" s="772" t="s">
        <v>540</v>
      </c>
      <c r="H157" s="772" t="s">
        <v>541</v>
      </c>
      <c r="I157" s="772" t="s">
        <v>542</v>
      </c>
      <c r="J157" s="772" t="s">
        <v>543</v>
      </c>
      <c r="K157" s="773" t="s">
        <v>544</v>
      </c>
      <c r="L157" s="772" t="s">
        <v>545</v>
      </c>
      <c r="M157" s="773" t="s">
        <v>546</v>
      </c>
      <c r="N157" s="772" t="s">
        <v>547</v>
      </c>
      <c r="O157" s="774" t="s">
        <v>538</v>
      </c>
      <c r="P157" s="772" t="s">
        <v>548</v>
      </c>
      <c r="Q157" s="759"/>
      <c r="R157" s="770" t="s">
        <v>535</v>
      </c>
      <c r="S157" s="772" t="s">
        <v>502</v>
      </c>
      <c r="T157" s="772" t="s">
        <v>338</v>
      </c>
      <c r="U157" s="772" t="s">
        <v>539</v>
      </c>
      <c r="V157" s="772" t="s">
        <v>549</v>
      </c>
      <c r="W157" s="770" t="s">
        <v>549</v>
      </c>
    </row>
    <row r="158" spans="1:23" s="776" customFormat="1" ht="12" customHeight="1">
      <c r="A158" s="777" t="str">
        <f>IF(B158&lt;&gt;"",ROW()-(ROW()-1),"")</f>
        <v/>
      </c>
      <c r="B158" s="789"/>
      <c r="C158" s="778">
        <f>IF(ISNA(VLOOKUP(B158,NXT!$Q$61:$S$81,2,0)),0,VLOOKUP(B158,NXT!$Q$61:$S$81,2,0))</f>
        <v>0</v>
      </c>
      <c r="D158" s="630">
        <f>ROUND(C158*O158,0)</f>
        <v>0</v>
      </c>
      <c r="E158" s="630"/>
      <c r="F158" s="630"/>
      <c r="G158" s="779">
        <f>(D158+E158)*F158</f>
        <v>0</v>
      </c>
      <c r="H158" s="630">
        <f>IF($D$163&lt;&gt;0,H$163/($D$163+$E$163/5)*($D158+$E158/5),0)</f>
        <v>0</v>
      </c>
      <c r="I158" s="630">
        <f t="shared" ref="I158:K161" si="19">IF($D$163&lt;&gt;0,I$163/$D$163*$D158,0)</f>
        <v>0</v>
      </c>
      <c r="J158" s="630">
        <f t="shared" si="19"/>
        <v>0</v>
      </c>
      <c r="K158" s="630">
        <f t="shared" si="19"/>
        <v>0</v>
      </c>
      <c r="L158" s="779"/>
      <c r="M158" s="630" t="e">
        <f>34560000/($O$68+#REF!+#REF!)*O158</f>
        <v>#REF!</v>
      </c>
      <c r="N158" s="779">
        <f>ROUND(SUM(G158:L158),0)</f>
        <v>0</v>
      </c>
      <c r="O158" s="630"/>
      <c r="P158" s="630">
        <f>IF(N158&lt;&gt;0,N158/O158,0)</f>
        <v>0</v>
      </c>
      <c r="Q158" s="775"/>
      <c r="R158" s="781"/>
      <c r="S158" s="845"/>
      <c r="T158" s="236"/>
      <c r="U158" s="783"/>
      <c r="V158" s="779">
        <f t="shared" ref="V158:V168" si="20">ROUND(T158*U158,0)</f>
        <v>0</v>
      </c>
      <c r="W158" s="779"/>
    </row>
    <row r="159" spans="1:23" ht="12" customHeight="1">
      <c r="A159" s="777" t="str">
        <f>IF(B159&lt;&gt;"",A158+1,"")</f>
        <v/>
      </c>
      <c r="B159" s="789"/>
      <c r="C159" s="778">
        <f>IF(ISNA(VLOOKUP(B159,NXT!$Q$61:$S$81,2,0)),0,VLOOKUP(B159,NXT!$Q$61:$S$81,2,0))</f>
        <v>0</v>
      </c>
      <c r="D159" s="630">
        <f>ROUND(C159*O159,0)</f>
        <v>0</v>
      </c>
      <c r="E159" s="630"/>
      <c r="F159" s="630"/>
      <c r="G159" s="779">
        <f>(D159+E159)*F159</f>
        <v>0</v>
      </c>
      <c r="H159" s="630">
        <f>IF($D$163&lt;&gt;0,H$163/($D$163+$E$163/5)*($D159+$E159/5),0)</f>
        <v>0</v>
      </c>
      <c r="I159" s="630">
        <f t="shared" si="19"/>
        <v>0</v>
      </c>
      <c r="J159" s="630">
        <f t="shared" si="19"/>
        <v>0</v>
      </c>
      <c r="K159" s="630">
        <f t="shared" si="19"/>
        <v>0</v>
      </c>
      <c r="L159" s="630"/>
      <c r="M159" s="630">
        <v>25840000</v>
      </c>
      <c r="N159" s="779">
        <f>ROUND(SUM(G159:L159),0)</f>
        <v>0</v>
      </c>
      <c r="O159" s="785"/>
      <c r="P159" s="630">
        <f>IF(N159&lt;&gt;0,N159/O159,0)</f>
        <v>0</v>
      </c>
      <c r="Q159" s="798"/>
      <c r="R159" s="786"/>
      <c r="S159" s="845"/>
      <c r="T159" s="236"/>
      <c r="U159" s="787"/>
      <c r="V159" s="779">
        <f t="shared" si="20"/>
        <v>0</v>
      </c>
      <c r="W159" s="795"/>
    </row>
    <row r="160" spans="1:23" ht="12" customHeight="1">
      <c r="A160" s="777" t="str">
        <f>IF(B160&lt;&gt;"",A159+1,"")</f>
        <v/>
      </c>
      <c r="B160" s="789"/>
      <c r="C160" s="778">
        <f>IF(ISNA(VLOOKUP(B160,NXT!$Q$61:$S$81,2,0)),0,VLOOKUP(B160,NXT!$Q$61:$S$81,2,0))</f>
        <v>0</v>
      </c>
      <c r="D160" s="630">
        <f>ROUND(C160*O160,0)</f>
        <v>0</v>
      </c>
      <c r="E160" s="630"/>
      <c r="F160" s="630"/>
      <c r="G160" s="779">
        <f>(D160+E160)*F160</f>
        <v>0</v>
      </c>
      <c r="H160" s="630">
        <f>IF($D$163&lt;&gt;0,H$163/($D$163+$E$163/5)*($D160+$E160/5),0)</f>
        <v>0</v>
      </c>
      <c r="I160" s="630">
        <f t="shared" si="19"/>
        <v>0</v>
      </c>
      <c r="J160" s="630">
        <f t="shared" si="19"/>
        <v>0</v>
      </c>
      <c r="K160" s="630">
        <f t="shared" si="19"/>
        <v>0</v>
      </c>
      <c r="L160" s="630"/>
      <c r="M160" s="630" t="e">
        <f>34560000/($O$68+#REF!+#REF!)*O160</f>
        <v>#REF!</v>
      </c>
      <c r="N160" s="779">
        <f>ROUND(SUM(G160:L160),0)</f>
        <v>0</v>
      </c>
      <c r="O160" s="785"/>
      <c r="P160" s="630">
        <f>IF(N160&lt;&gt;0,N160/O160,0)</f>
        <v>0</v>
      </c>
      <c r="Q160" s="798"/>
      <c r="R160" s="786"/>
      <c r="S160" s="845"/>
      <c r="T160" s="236"/>
      <c r="U160" s="787"/>
      <c r="V160" s="779">
        <f t="shared" si="20"/>
        <v>0</v>
      </c>
      <c r="W160" s="795"/>
    </row>
    <row r="161" spans="1:23" ht="12" customHeight="1">
      <c r="A161" s="777" t="str">
        <f>IF(B161&lt;&gt;"",A160+1,"")</f>
        <v/>
      </c>
      <c r="B161" s="789"/>
      <c r="C161" s="778">
        <f>IF(ISNA(VLOOKUP(B161,NXT!$Q$61:$S$81,2,0)),0,VLOOKUP(B161,NXT!$Q$61:$S$81,2,0))</f>
        <v>0</v>
      </c>
      <c r="D161" s="630">
        <f>ROUND(C161*O161,0)</f>
        <v>0</v>
      </c>
      <c r="E161" s="630"/>
      <c r="F161" s="630"/>
      <c r="G161" s="779">
        <f>(D161+E161)*F161</f>
        <v>0</v>
      </c>
      <c r="H161" s="630">
        <f>IF($D$163&lt;&gt;0,H$163/($D$163+$E$163/5)*($D161+$E161/5),0)</f>
        <v>0</v>
      </c>
      <c r="I161" s="630">
        <f t="shared" si="19"/>
        <v>0</v>
      </c>
      <c r="J161" s="630">
        <f t="shared" si="19"/>
        <v>0</v>
      </c>
      <c r="K161" s="630">
        <f t="shared" si="19"/>
        <v>0</v>
      </c>
      <c r="L161" s="630"/>
      <c r="M161" s="630" t="e">
        <f>34560000/($O$68+#REF!+#REF!)*O161</f>
        <v>#REF!</v>
      </c>
      <c r="N161" s="779">
        <f>ROUND(SUM(G161:L161),0)</f>
        <v>0</v>
      </c>
      <c r="O161" s="785"/>
      <c r="P161" s="630">
        <f>IF(N161&lt;&gt;0,N161/O161,0)</f>
        <v>0</v>
      </c>
      <c r="Q161" s="798"/>
      <c r="R161" s="786"/>
      <c r="S161" s="845"/>
      <c r="T161" s="236"/>
      <c r="U161" s="787"/>
      <c r="V161" s="779">
        <f t="shared" si="20"/>
        <v>0</v>
      </c>
      <c r="W161" s="795"/>
    </row>
    <row r="162" spans="1:23" ht="12" customHeight="1">
      <c r="A162" s="777" t="str">
        <f>IF(B162&lt;&gt;"",#REF!+1,"")</f>
        <v/>
      </c>
      <c r="B162" s="790"/>
      <c r="C162" s="778">
        <f>IF(ISNA(VLOOKUP(B162,NXT!$Q$61:$S$81,2,0)),0,VLOOKUP(B162,NXT!$Q$61:$S$81,2,0))</f>
        <v>0</v>
      </c>
      <c r="D162" s="793"/>
      <c r="E162" s="793"/>
      <c r="F162" s="793"/>
      <c r="G162" s="794"/>
      <c r="H162" s="839"/>
      <c r="I162" s="793"/>
      <c r="J162" s="795"/>
      <c r="K162" s="793"/>
      <c r="L162" s="796"/>
      <c r="M162" s="793"/>
      <c r="N162" s="827"/>
      <c r="O162" s="797"/>
      <c r="P162" s="793"/>
      <c r="Q162" s="798"/>
      <c r="R162" s="786"/>
      <c r="S162" s="845"/>
      <c r="T162" s="236"/>
      <c r="U162" s="236"/>
      <c r="V162" s="779">
        <f t="shared" si="20"/>
        <v>0</v>
      </c>
      <c r="W162" s="795"/>
    </row>
    <row r="163" spans="1:23" ht="12" customHeight="1">
      <c r="A163" s="800"/>
      <c r="B163" s="801" t="s">
        <v>550</v>
      </c>
      <c r="C163" s="802"/>
      <c r="D163" s="803">
        <f>SUM(D158:D161)</f>
        <v>0</v>
      </c>
      <c r="E163" s="803">
        <f>SUM(E158:E161)</f>
        <v>0</v>
      </c>
      <c r="F163" s="803"/>
      <c r="G163" s="803">
        <f>SUM(G158:G161)</f>
        <v>0</v>
      </c>
      <c r="H163" s="804"/>
      <c r="I163" s="804">
        <f>V170</f>
        <v>0</v>
      </c>
      <c r="J163" s="804"/>
      <c r="K163" s="804">
        <v>57138842</v>
      </c>
      <c r="L163" s="803">
        <f>ROUND(SUM(L158:L162),0)</f>
        <v>0</v>
      </c>
      <c r="M163" s="803" t="e">
        <f>ROUND(SUM(M158:M162),0)</f>
        <v>#REF!</v>
      </c>
      <c r="N163" s="803">
        <f>ROUND(SUM(N158:N162),0)</f>
        <v>0</v>
      </c>
      <c r="O163" s="803">
        <f>ROUND(SUM(O158:O162),0)</f>
        <v>0</v>
      </c>
      <c r="P163" s="803"/>
      <c r="Q163" s="798"/>
      <c r="R163" s="786"/>
      <c r="S163" s="845"/>
      <c r="T163" s="236"/>
      <c r="U163" s="787"/>
      <c r="V163" s="779">
        <f t="shared" si="20"/>
        <v>0</v>
      </c>
      <c r="W163" s="795"/>
    </row>
    <row r="164" spans="1:23" ht="12" customHeight="1">
      <c r="Q164" s="798"/>
      <c r="R164" s="786"/>
      <c r="S164" s="845"/>
      <c r="T164" s="236"/>
      <c r="U164" s="809"/>
      <c r="V164" s="779">
        <f t="shared" si="20"/>
        <v>0</v>
      </c>
      <c r="W164" s="795"/>
    </row>
    <row r="165" spans="1:23" ht="12" customHeight="1">
      <c r="Q165" s="798"/>
      <c r="R165" s="786"/>
      <c r="S165" s="782"/>
      <c r="T165" s="809"/>
      <c r="U165" s="787"/>
      <c r="V165" s="779">
        <f t="shared" si="20"/>
        <v>0</v>
      </c>
      <c r="W165" s="795"/>
    </row>
    <row r="166" spans="1:23" ht="12" customHeight="1">
      <c r="Q166" s="798"/>
      <c r="R166" s="848"/>
      <c r="S166" s="782"/>
      <c r="T166" s="809"/>
      <c r="U166" s="787"/>
      <c r="V166" s="779">
        <f t="shared" si="20"/>
        <v>0</v>
      </c>
      <c r="W166" s="795"/>
    </row>
    <row r="167" spans="1:23" ht="12" customHeight="1">
      <c r="Q167" s="798"/>
      <c r="R167" s="786"/>
      <c r="S167" s="782"/>
      <c r="T167" s="236"/>
      <c r="U167" s="236"/>
      <c r="V167" s="779">
        <f t="shared" si="20"/>
        <v>0</v>
      </c>
      <c r="W167" s="795"/>
    </row>
    <row r="168" spans="1:23" ht="12" customHeight="1">
      <c r="Q168" s="798"/>
      <c r="R168" s="520"/>
      <c r="S168" s="782"/>
      <c r="T168" s="236"/>
      <c r="U168" s="236"/>
      <c r="V168" s="779">
        <f t="shared" si="20"/>
        <v>0</v>
      </c>
      <c r="W168" s="795"/>
    </row>
    <row r="169" spans="1:23" s="799" customFormat="1" ht="12" customHeight="1">
      <c r="A169" s="750"/>
      <c r="B169" s="750"/>
      <c r="C169" s="750"/>
      <c r="D169" s="750"/>
      <c r="E169" s="750"/>
      <c r="F169" s="750"/>
      <c r="G169" s="750"/>
      <c r="H169" s="750"/>
      <c r="I169" s="750"/>
      <c r="J169" s="750"/>
      <c r="K169" s="750"/>
      <c r="L169" s="750"/>
      <c r="M169" s="750"/>
      <c r="N169" s="750"/>
      <c r="O169" s="750"/>
      <c r="P169" s="750"/>
      <c r="Q169" s="798"/>
      <c r="R169" s="786"/>
      <c r="S169" s="782"/>
      <c r="T169" s="236"/>
      <c r="U169" s="236"/>
      <c r="V169" s="779"/>
      <c r="W169" s="795"/>
    </row>
    <row r="170" spans="1:23" s="754" customFormat="1" ht="12" customHeight="1">
      <c r="A170" s="750"/>
      <c r="B170" s="750"/>
      <c r="C170" s="750"/>
      <c r="D170" s="750"/>
      <c r="E170" s="750"/>
      <c r="F170" s="750"/>
      <c r="G170" s="750"/>
      <c r="H170" s="750"/>
      <c r="I170" s="750"/>
      <c r="J170" s="750"/>
      <c r="K170" s="750"/>
      <c r="L170" s="750"/>
      <c r="M170" s="750"/>
      <c r="N170" s="750"/>
      <c r="O170" s="750"/>
      <c r="P170" s="750"/>
      <c r="Q170" s="798"/>
      <c r="R170" s="832"/>
      <c r="S170" s="833"/>
      <c r="T170" s="834"/>
      <c r="U170" s="850"/>
      <c r="V170" s="813">
        <f>SUM(V158:V169)</f>
        <v>0</v>
      </c>
      <c r="W170" s="813">
        <f>SUM(W158:W169)</f>
        <v>0</v>
      </c>
    </row>
    <row r="171" spans="1:23" ht="12" customHeight="1">
      <c r="R171" s="786"/>
      <c r="S171" s="845"/>
      <c r="T171" s="787"/>
      <c r="U171" s="787"/>
      <c r="V171" s="779">
        <f t="shared" ref="V171:V178" si="21">ROUND(T171*U171,0)</f>
        <v>0</v>
      </c>
      <c r="W171" s="795"/>
    </row>
    <row r="172" spans="1:23" ht="12" customHeight="1">
      <c r="R172" s="835"/>
      <c r="S172" s="845"/>
      <c r="T172" s="236"/>
      <c r="U172" s="236"/>
      <c r="V172" s="779">
        <f t="shared" si="21"/>
        <v>0</v>
      </c>
      <c r="W172" s="779"/>
    </row>
    <row r="173" spans="1:23" ht="12" customHeight="1">
      <c r="R173" s="786"/>
      <c r="S173" s="782"/>
      <c r="T173" s="787"/>
      <c r="U173" s="787"/>
      <c r="V173" s="779">
        <f t="shared" si="21"/>
        <v>0</v>
      </c>
      <c r="W173" s="795"/>
    </row>
    <row r="174" spans="1:23" ht="12" customHeight="1">
      <c r="R174" s="786"/>
      <c r="S174" s="782"/>
      <c r="T174" s="787"/>
      <c r="U174" s="787"/>
      <c r="V174" s="779">
        <f t="shared" si="21"/>
        <v>0</v>
      </c>
      <c r="W174" s="795"/>
    </row>
    <row r="175" spans="1:23" ht="12" customHeight="1">
      <c r="R175" s="809"/>
      <c r="S175" s="782"/>
      <c r="T175" s="787"/>
      <c r="U175" s="787"/>
      <c r="V175" s="779">
        <f t="shared" si="21"/>
        <v>0</v>
      </c>
      <c r="W175" s="795"/>
    </row>
    <row r="176" spans="1:23" ht="12" customHeight="1">
      <c r="R176" s="809"/>
      <c r="S176" s="782"/>
      <c r="T176" s="787"/>
      <c r="U176" s="787"/>
      <c r="V176" s="779">
        <f t="shared" si="21"/>
        <v>0</v>
      </c>
      <c r="W176" s="795"/>
    </row>
    <row r="177" spans="1:23" ht="12" customHeight="1">
      <c r="R177" s="809"/>
      <c r="S177" s="782"/>
      <c r="T177" s="787"/>
      <c r="U177" s="787"/>
      <c r="V177" s="779">
        <f t="shared" si="21"/>
        <v>0</v>
      </c>
      <c r="W177" s="795"/>
    </row>
    <row r="178" spans="1:23" ht="12" customHeight="1">
      <c r="R178" s="809"/>
      <c r="S178" s="782"/>
      <c r="T178" s="787"/>
      <c r="U178" s="787"/>
      <c r="V178" s="779">
        <f t="shared" si="21"/>
        <v>0</v>
      </c>
      <c r="W178" s="795"/>
    </row>
    <row r="179" spans="1:23">
      <c r="R179" s="753"/>
      <c r="S179" s="760"/>
    </row>
    <row r="180" spans="1:23" ht="20.25" customHeight="1">
      <c r="A180" s="754" t="s">
        <v>533</v>
      </c>
      <c r="B180" s="754"/>
      <c r="C180" s="755"/>
      <c r="D180" s="756"/>
      <c r="E180" s="756"/>
      <c r="F180" s="756"/>
      <c r="G180" s="753"/>
      <c r="H180" s="753"/>
      <c r="I180" s="753"/>
      <c r="J180" s="753"/>
      <c r="K180" s="753"/>
      <c r="L180" s="757"/>
      <c r="M180" s="753"/>
      <c r="N180" s="753"/>
      <c r="O180" s="758"/>
      <c r="P180" s="753"/>
      <c r="R180" s="753"/>
      <c r="S180" s="760"/>
    </row>
    <row r="181" spans="1:23" ht="20.25" customHeight="1">
      <c r="A181" s="761" t="s">
        <v>558</v>
      </c>
      <c r="B181" s="761"/>
      <c r="C181" s="761"/>
      <c r="D181" s="761"/>
      <c r="E181" s="761"/>
      <c r="F181" s="761"/>
      <c r="G181" s="761"/>
      <c r="H181" s="761"/>
      <c r="I181" s="761"/>
      <c r="J181" s="761"/>
      <c r="K181" s="761"/>
      <c r="L181" s="761"/>
      <c r="M181" s="761"/>
      <c r="N181" s="761"/>
      <c r="O181" s="761"/>
      <c r="P181" s="761"/>
      <c r="Q181" s="759"/>
      <c r="R181" s="753"/>
      <c r="S181" s="760"/>
    </row>
    <row r="182" spans="1:23" ht="12" customHeight="1">
      <c r="A182" s="762"/>
      <c r="B182" s="762"/>
      <c r="C182" s="763"/>
      <c r="D182" s="762"/>
      <c r="E182" s="762"/>
      <c r="F182" s="762"/>
      <c r="G182" s="762"/>
      <c r="H182" s="762"/>
      <c r="I182" s="762"/>
      <c r="J182" s="762"/>
      <c r="K182" s="762"/>
      <c r="L182" s="761"/>
      <c r="M182" s="762"/>
      <c r="N182" s="762"/>
      <c r="O182" s="764"/>
      <c r="P182" s="762"/>
      <c r="Q182" s="759"/>
      <c r="R182" s="753"/>
      <c r="S182" s="760"/>
    </row>
    <row r="183" spans="1:23" ht="12" customHeight="1">
      <c r="A183" s="765"/>
      <c r="B183" s="765"/>
      <c r="C183" s="766"/>
      <c r="D183" s="765"/>
      <c r="E183" s="765"/>
      <c r="F183" s="765"/>
      <c r="G183" s="765"/>
      <c r="H183" s="765"/>
      <c r="I183" s="765"/>
      <c r="J183" s="765"/>
      <c r="K183" s="765"/>
      <c r="L183" s="765"/>
      <c r="M183" s="765"/>
      <c r="N183" s="765"/>
      <c r="O183" s="767"/>
      <c r="P183" s="765"/>
      <c r="Q183" s="759"/>
      <c r="R183" s="753"/>
      <c r="S183" s="760"/>
    </row>
    <row r="184" spans="1:23" ht="36.75" customHeight="1">
      <c r="A184" s="770" t="s">
        <v>37</v>
      </c>
      <c r="B184" s="770" t="s">
        <v>535</v>
      </c>
      <c r="C184" s="771" t="s">
        <v>536</v>
      </c>
      <c r="D184" s="772" t="s">
        <v>537</v>
      </c>
      <c r="E184" s="772" t="s">
        <v>538</v>
      </c>
      <c r="F184" s="772" t="s">
        <v>539</v>
      </c>
      <c r="G184" s="772" t="s">
        <v>540</v>
      </c>
      <c r="H184" s="772" t="s">
        <v>541</v>
      </c>
      <c r="I184" s="772" t="s">
        <v>542</v>
      </c>
      <c r="J184" s="772" t="s">
        <v>543</v>
      </c>
      <c r="K184" s="773" t="s">
        <v>544</v>
      </c>
      <c r="L184" s="772" t="s">
        <v>545</v>
      </c>
      <c r="M184" s="773" t="s">
        <v>546</v>
      </c>
      <c r="N184" s="772" t="s">
        <v>547</v>
      </c>
      <c r="O184" s="774" t="s">
        <v>538</v>
      </c>
      <c r="P184" s="772" t="s">
        <v>548</v>
      </c>
      <c r="Q184" s="759"/>
      <c r="R184" s="770" t="s">
        <v>535</v>
      </c>
      <c r="S184" s="772" t="s">
        <v>502</v>
      </c>
      <c r="T184" s="772" t="s">
        <v>338</v>
      </c>
      <c r="U184" s="772" t="s">
        <v>539</v>
      </c>
      <c r="V184" s="772" t="s">
        <v>549</v>
      </c>
      <c r="W184" s="770" t="s">
        <v>549</v>
      </c>
    </row>
    <row r="185" spans="1:23" s="776" customFormat="1" ht="13.5" customHeight="1">
      <c r="A185" s="777" t="str">
        <f>IF(B185&lt;&gt;"",ROW()-(ROW()-1),"")</f>
        <v/>
      </c>
      <c r="B185" s="789"/>
      <c r="C185" s="778">
        <f>IF(ISNA(VLOOKUP(B185,NXT!$Q$61:$S$81,2,0)),0,VLOOKUP(B185,NXT!$Q$61:$S$81,2,0))</f>
        <v>0</v>
      </c>
      <c r="D185" s="630">
        <f>ROUND(C185*O185,0)</f>
        <v>0</v>
      </c>
      <c r="E185" s="630"/>
      <c r="F185" s="630"/>
      <c r="G185" s="779">
        <f>(D185+E185)*F185</f>
        <v>0</v>
      </c>
      <c r="H185" s="630">
        <f>IF($E$191&lt;&gt;0,H$191/($D$191+$E$191/5)*($D185+$E185/5),0)</f>
        <v>0</v>
      </c>
      <c r="I185" s="630">
        <f t="shared" ref="I185:K189" si="22">IF($D$191&lt;&gt;0,I$191/$D$191*$D185,0)</f>
        <v>0</v>
      </c>
      <c r="J185" s="630">
        <f t="shared" si="22"/>
        <v>0</v>
      </c>
      <c r="K185" s="630">
        <f t="shared" si="22"/>
        <v>0</v>
      </c>
      <c r="L185" s="779"/>
      <c r="M185" s="630" t="e">
        <f>34560000/($O$68+#REF!+#REF!)*O185</f>
        <v>#REF!</v>
      </c>
      <c r="N185" s="779">
        <f>ROUND(SUM(G185:L185),0)</f>
        <v>0</v>
      </c>
      <c r="O185" s="630"/>
      <c r="P185" s="630">
        <f>IF(N185&lt;&gt;0,N185/O185,0)</f>
        <v>0</v>
      </c>
      <c r="Q185" s="775"/>
      <c r="R185" s="781"/>
      <c r="S185" s="845"/>
      <c r="T185" s="236"/>
      <c r="U185" s="236"/>
      <c r="V185" s="779">
        <f t="shared" ref="V185:V194" si="23">ROUND(T185*U185,0)</f>
        <v>0</v>
      </c>
      <c r="W185" s="779"/>
    </row>
    <row r="186" spans="1:23" ht="13.5" customHeight="1">
      <c r="A186" s="777" t="str">
        <f>IF(B186&lt;&gt;"",A185+1,"")</f>
        <v/>
      </c>
      <c r="B186" s="789"/>
      <c r="C186" s="778">
        <f>IF(ISNA(VLOOKUP(B186,NXT!$Q$61:$S$81,2,0)),0,VLOOKUP(B186,NXT!$Q$61:$S$81,2,0))</f>
        <v>0</v>
      </c>
      <c r="D186" s="630">
        <f>ROUND(C186*O186,0)</f>
        <v>0</v>
      </c>
      <c r="E186" s="630"/>
      <c r="F186" s="630"/>
      <c r="G186" s="779">
        <f>(D186+E186)*F186</f>
        <v>0</v>
      </c>
      <c r="H186" s="630">
        <f>IF($E$191&lt;&gt;0,H$191/($D$191+$E$191/5)*($D186+$E186/5),0)</f>
        <v>0</v>
      </c>
      <c r="I186" s="630">
        <f t="shared" si="22"/>
        <v>0</v>
      </c>
      <c r="J186" s="630">
        <f t="shared" si="22"/>
        <v>0</v>
      </c>
      <c r="K186" s="630">
        <f t="shared" si="22"/>
        <v>0</v>
      </c>
      <c r="L186" s="779"/>
      <c r="M186" s="630"/>
      <c r="N186" s="779">
        <f>ROUND(SUM(G186:L186),0)</f>
        <v>0</v>
      </c>
      <c r="O186" s="630"/>
      <c r="P186" s="630">
        <f>IF(N186&lt;&gt;0,N186/O186,0)</f>
        <v>0</v>
      </c>
      <c r="Q186" s="798"/>
      <c r="R186" s="786"/>
      <c r="S186" s="845"/>
      <c r="T186" s="236"/>
      <c r="U186" s="236"/>
      <c r="V186" s="779">
        <f t="shared" si="23"/>
        <v>0</v>
      </c>
      <c r="W186" s="795"/>
    </row>
    <row r="187" spans="1:23" ht="13.5" customHeight="1">
      <c r="A187" s="777" t="str">
        <f>IF(B187&lt;&gt;"",A186+1,"")</f>
        <v/>
      </c>
      <c r="B187" s="789"/>
      <c r="C187" s="778">
        <f>IF(ISNA(VLOOKUP(B187,NXT!$Q$61:$S$81,2,0)),0,VLOOKUP(B187,NXT!$Q$61:$S$81,2,0))</f>
        <v>0</v>
      </c>
      <c r="D187" s="630">
        <f>ROUND(C187*O187,0)</f>
        <v>0</v>
      </c>
      <c r="E187" s="630"/>
      <c r="F187" s="630"/>
      <c r="G187" s="779">
        <f>(D187+E187)*F187</f>
        <v>0</v>
      </c>
      <c r="H187" s="630">
        <f>IF($E$191&lt;&gt;0,H$191/($D$191+$E$191/5)*($D187+$E187/5),0)</f>
        <v>0</v>
      </c>
      <c r="I187" s="630">
        <f t="shared" si="22"/>
        <v>0</v>
      </c>
      <c r="J187" s="630">
        <f t="shared" si="22"/>
        <v>0</v>
      </c>
      <c r="K187" s="630">
        <f t="shared" si="22"/>
        <v>0</v>
      </c>
      <c r="L187" s="779"/>
      <c r="M187" s="630"/>
      <c r="N187" s="779">
        <f>ROUND(SUM(G187:L187),0)</f>
        <v>0</v>
      </c>
      <c r="O187" s="785"/>
      <c r="P187" s="630">
        <f>IF(N187&lt;&gt;0,N187/O187,0)</f>
        <v>0</v>
      </c>
      <c r="Q187" s="798"/>
      <c r="R187" s="786"/>
      <c r="S187" s="845"/>
      <c r="T187" s="236"/>
      <c r="U187" s="236"/>
      <c r="V187" s="779">
        <f t="shared" si="23"/>
        <v>0</v>
      </c>
      <c r="W187" s="795"/>
    </row>
    <row r="188" spans="1:23">
      <c r="A188" s="777" t="str">
        <f>IF(B188&lt;&gt;"",A187+1,"")</f>
        <v/>
      </c>
      <c r="B188" s="789"/>
      <c r="C188" s="778">
        <f>IF(ISNA(VLOOKUP(B188,NXT!$Q$61:$S$81,2,0)),0,VLOOKUP(B188,NXT!$Q$61:$S$81,2,0))</f>
        <v>0</v>
      </c>
      <c r="D188" s="630">
        <f>ROUND(C188*O188,0)</f>
        <v>0</v>
      </c>
      <c r="E188" s="630"/>
      <c r="F188" s="630"/>
      <c r="G188" s="779">
        <f>(D188+E188)*F188</f>
        <v>0</v>
      </c>
      <c r="H188" s="630">
        <f>IF($E$191&lt;&gt;0,H$191/($D$191+$E$191/5)*($D188+$E188/5),0)</f>
        <v>0</v>
      </c>
      <c r="I188" s="630">
        <f t="shared" si="22"/>
        <v>0</v>
      </c>
      <c r="J188" s="630">
        <f t="shared" si="22"/>
        <v>0</v>
      </c>
      <c r="K188" s="630">
        <f t="shared" si="22"/>
        <v>0</v>
      </c>
      <c r="L188" s="779"/>
      <c r="M188" s="630"/>
      <c r="N188" s="779">
        <f>ROUND(SUM(G188:L188),0)</f>
        <v>0</v>
      </c>
      <c r="O188" s="785"/>
      <c r="P188" s="630">
        <f>IF(N188&lt;&gt;0,N188/O188,0)</f>
        <v>0</v>
      </c>
      <c r="Q188" s="798"/>
      <c r="R188" s="786"/>
      <c r="S188" s="845"/>
      <c r="T188" s="236"/>
      <c r="U188" s="236"/>
      <c r="V188" s="779">
        <f t="shared" si="23"/>
        <v>0</v>
      </c>
      <c r="W188" s="795"/>
    </row>
    <row r="189" spans="1:23">
      <c r="A189" s="777" t="str">
        <f>IF(B189&lt;&gt;"",A188+1,"")</f>
        <v/>
      </c>
      <c r="B189" s="789"/>
      <c r="C189" s="778">
        <f>IF(ISNA(VLOOKUP(B189,NXT!$Q$61:$S$81,2,0)),0,VLOOKUP(B189,NXT!$Q$61:$S$81,2,0))</f>
        <v>0</v>
      </c>
      <c r="D189" s="630">
        <f>ROUND(C189*O189,0)</f>
        <v>0</v>
      </c>
      <c r="E189" s="630"/>
      <c r="F189" s="630"/>
      <c r="G189" s="779">
        <f>(D189+E189)*F189</f>
        <v>0</v>
      </c>
      <c r="H189" s="630">
        <f>IF($E$191&lt;&gt;0,H$191/($D$191+$E$191/5)*($D189+$E189/5),0)</f>
        <v>0</v>
      </c>
      <c r="I189" s="630">
        <f t="shared" si="22"/>
        <v>0</v>
      </c>
      <c r="J189" s="630">
        <f t="shared" si="22"/>
        <v>0</v>
      </c>
      <c r="K189" s="630">
        <f t="shared" si="22"/>
        <v>0</v>
      </c>
      <c r="L189" s="630"/>
      <c r="M189" s="630"/>
      <c r="N189" s="779">
        <f>ROUND(SUM(G189:L189),0)</f>
        <v>0</v>
      </c>
      <c r="O189" s="785"/>
      <c r="P189" s="630">
        <f>IF(N189&lt;&gt;0,N189/O189,0)</f>
        <v>0</v>
      </c>
      <c r="Q189" s="798"/>
      <c r="R189" s="786"/>
      <c r="S189" s="845"/>
      <c r="T189" s="236"/>
      <c r="U189" s="236"/>
      <c r="V189" s="779">
        <f t="shared" si="23"/>
        <v>0</v>
      </c>
      <c r="W189" s="795"/>
    </row>
    <row r="190" spans="1:23">
      <c r="A190" s="777" t="str">
        <f>IF(B190&lt;&gt;"",#REF!+1,"")</f>
        <v/>
      </c>
      <c r="B190" s="790"/>
      <c r="C190" s="791"/>
      <c r="D190" s="793"/>
      <c r="E190" s="793"/>
      <c r="F190" s="793"/>
      <c r="G190" s="794"/>
      <c r="H190" s="839"/>
      <c r="I190" s="793"/>
      <c r="J190" s="795"/>
      <c r="K190" s="793"/>
      <c r="L190" s="796"/>
      <c r="M190" s="793"/>
      <c r="N190" s="827"/>
      <c r="O190" s="797"/>
      <c r="P190" s="793"/>
      <c r="Q190" s="798"/>
      <c r="R190" s="786"/>
      <c r="S190" s="845"/>
      <c r="T190" s="236"/>
      <c r="U190" s="236"/>
      <c r="V190" s="779">
        <f t="shared" si="23"/>
        <v>0</v>
      </c>
      <c r="W190" s="795"/>
    </row>
    <row r="191" spans="1:23">
      <c r="A191" s="800"/>
      <c r="B191" s="801" t="s">
        <v>550</v>
      </c>
      <c r="C191" s="802"/>
      <c r="D191" s="803">
        <f>SUM(D185:D189)</f>
        <v>0</v>
      </c>
      <c r="E191" s="803">
        <f>SUM(E185:E189)</f>
        <v>0</v>
      </c>
      <c r="F191" s="803"/>
      <c r="G191" s="803">
        <f>SUM(G185:G189)</f>
        <v>0</v>
      </c>
      <c r="H191" s="804"/>
      <c r="I191" s="804">
        <f>V196</f>
        <v>0</v>
      </c>
      <c r="J191" s="804"/>
      <c r="K191" s="804">
        <v>57138842</v>
      </c>
      <c r="L191" s="803">
        <f>ROUND(SUM(L185:L190),0)</f>
        <v>0</v>
      </c>
      <c r="M191" s="803" t="e">
        <f>ROUND(SUM(M185:M190),0)</f>
        <v>#REF!</v>
      </c>
      <c r="N191" s="803">
        <f>ROUND(SUM(N185:N190),0)</f>
        <v>0</v>
      </c>
      <c r="O191" s="803">
        <f>ROUND(SUM(O185:O190),0)</f>
        <v>0</v>
      </c>
      <c r="P191" s="803"/>
      <c r="Q191" s="798"/>
      <c r="R191" s="786"/>
      <c r="S191" s="845"/>
      <c r="T191" s="236"/>
      <c r="U191" s="236"/>
      <c r="V191" s="779">
        <f t="shared" si="23"/>
        <v>0</v>
      </c>
      <c r="W191" s="795"/>
    </row>
    <row r="192" spans="1:23">
      <c r="Q192" s="798"/>
      <c r="R192" s="786"/>
      <c r="S192" s="845"/>
      <c r="T192" s="809"/>
      <c r="U192" s="787"/>
      <c r="V192" s="779">
        <f t="shared" si="23"/>
        <v>0</v>
      </c>
      <c r="W192" s="795"/>
    </row>
    <row r="193" spans="1:23">
      <c r="Q193" s="798"/>
      <c r="R193" s="848"/>
      <c r="S193" s="845"/>
      <c r="T193" s="809"/>
      <c r="U193" s="787"/>
      <c r="V193" s="779">
        <f t="shared" si="23"/>
        <v>0</v>
      </c>
      <c r="W193" s="795"/>
    </row>
    <row r="194" spans="1:23">
      <c r="Q194" s="798"/>
      <c r="R194" s="520"/>
      <c r="S194" s="845"/>
      <c r="T194" s="236"/>
      <c r="U194" s="236"/>
      <c r="V194" s="779">
        <f t="shared" si="23"/>
        <v>0</v>
      </c>
      <c r="W194" s="795"/>
    </row>
    <row r="195" spans="1:23" s="799" customFormat="1">
      <c r="A195" s="750"/>
      <c r="B195" s="750"/>
      <c r="C195" s="750"/>
      <c r="D195" s="750"/>
      <c r="E195" s="750"/>
      <c r="F195" s="750"/>
      <c r="G195" s="750"/>
      <c r="H195" s="750"/>
      <c r="I195" s="750"/>
      <c r="J195" s="750"/>
      <c r="K195" s="750"/>
      <c r="L195" s="750"/>
      <c r="M195" s="750"/>
      <c r="N195" s="750"/>
      <c r="O195" s="750"/>
      <c r="P195" s="750"/>
      <c r="Q195" s="798"/>
      <c r="R195" s="786"/>
      <c r="S195" s="782"/>
      <c r="T195" s="236"/>
      <c r="U195" s="236"/>
      <c r="V195" s="779"/>
      <c r="W195" s="795"/>
    </row>
    <row r="196" spans="1:23" s="754" customFormat="1">
      <c r="A196" s="750"/>
      <c r="B196" s="750"/>
      <c r="C196" s="750"/>
      <c r="D196" s="750"/>
      <c r="E196" s="750"/>
      <c r="F196" s="750"/>
      <c r="G196" s="750"/>
      <c r="H196" s="750"/>
      <c r="I196" s="750"/>
      <c r="J196" s="750"/>
      <c r="K196" s="750"/>
      <c r="L196" s="750"/>
      <c r="M196" s="750"/>
      <c r="N196" s="750"/>
      <c r="O196" s="750"/>
      <c r="P196" s="750"/>
      <c r="Q196" s="798"/>
      <c r="R196" s="832"/>
      <c r="S196" s="833"/>
      <c r="T196" s="834"/>
      <c r="U196" s="850"/>
      <c r="V196" s="813">
        <f>SUM(V185:V195)</f>
        <v>0</v>
      </c>
      <c r="W196" s="813">
        <f>SUM(W185:W195)</f>
        <v>0</v>
      </c>
    </row>
    <row r="197" spans="1:23">
      <c r="R197" s="835"/>
      <c r="S197" s="845"/>
      <c r="T197" s="236"/>
      <c r="U197" s="236"/>
      <c r="V197" s="779">
        <f t="shared" ref="V197:V204" si="24">ROUND(T197*U197,0)</f>
        <v>0</v>
      </c>
      <c r="W197" s="779"/>
    </row>
    <row r="198" spans="1:23">
      <c r="R198" s="835"/>
      <c r="S198" s="845"/>
      <c r="T198" s="787"/>
      <c r="U198" s="787"/>
      <c r="V198" s="779">
        <f t="shared" si="24"/>
        <v>0</v>
      </c>
      <c r="W198" s="795"/>
    </row>
    <row r="199" spans="1:23">
      <c r="R199" s="786"/>
      <c r="S199" s="845"/>
      <c r="T199" s="787"/>
      <c r="U199" s="787"/>
      <c r="V199" s="779">
        <f t="shared" si="24"/>
        <v>0</v>
      </c>
      <c r="W199" s="795"/>
    </row>
    <row r="200" spans="1:23">
      <c r="R200" s="809"/>
      <c r="S200" s="845"/>
      <c r="T200" s="787"/>
      <c r="U200" s="787"/>
      <c r="V200" s="779">
        <f t="shared" si="24"/>
        <v>0</v>
      </c>
      <c r="W200" s="795"/>
    </row>
    <row r="201" spans="1:23">
      <c r="R201" s="786"/>
      <c r="S201" s="782"/>
      <c r="T201" s="787"/>
      <c r="U201" s="787"/>
      <c r="V201" s="779">
        <f t="shared" si="24"/>
        <v>0</v>
      </c>
      <c r="W201" s="795"/>
    </row>
    <row r="202" spans="1:23">
      <c r="R202" s="786"/>
      <c r="S202" s="782"/>
      <c r="T202" s="787"/>
      <c r="U202" s="787"/>
      <c r="V202" s="779">
        <f t="shared" si="24"/>
        <v>0</v>
      </c>
      <c r="W202" s="795"/>
    </row>
    <row r="203" spans="1:23">
      <c r="R203" s="809"/>
      <c r="S203" s="782"/>
      <c r="T203" s="787"/>
      <c r="U203" s="787"/>
      <c r="V203" s="779">
        <f t="shared" si="24"/>
        <v>0</v>
      </c>
      <c r="W203" s="795"/>
    </row>
    <row r="204" spans="1:23">
      <c r="R204" s="809"/>
      <c r="S204" s="782"/>
      <c r="T204" s="787"/>
      <c r="U204" s="787"/>
      <c r="V204" s="779">
        <f t="shared" si="24"/>
        <v>0</v>
      </c>
      <c r="W204" s="795"/>
    </row>
    <row r="205" spans="1:23">
      <c r="A205" s="762"/>
      <c r="B205" s="762"/>
      <c r="C205" s="763"/>
      <c r="D205" s="762"/>
      <c r="E205" s="762"/>
      <c r="F205" s="762"/>
      <c r="G205" s="762"/>
      <c r="H205" s="762"/>
      <c r="I205" s="762"/>
      <c r="J205" s="762"/>
      <c r="K205" s="762"/>
      <c r="L205" s="761"/>
      <c r="M205" s="762"/>
      <c r="N205" s="762"/>
      <c r="O205" s="764"/>
      <c r="P205" s="762"/>
      <c r="R205" s="753"/>
      <c r="S205" s="760"/>
    </row>
    <row r="206" spans="1:23" ht="18.75" customHeight="1">
      <c r="A206" s="769"/>
      <c r="B206" s="769"/>
      <c r="C206" s="853"/>
      <c r="D206" s="769"/>
      <c r="E206" s="769"/>
      <c r="F206" s="769"/>
      <c r="G206" s="769"/>
      <c r="H206" s="769"/>
      <c r="I206" s="769"/>
      <c r="J206" s="769"/>
      <c r="K206" s="769"/>
      <c r="L206" s="769"/>
      <c r="M206" s="769"/>
      <c r="N206" s="769"/>
      <c r="O206" s="821"/>
      <c r="P206" s="769"/>
      <c r="Q206" s="759"/>
      <c r="R206" s="753"/>
      <c r="S206" s="760"/>
    </row>
    <row r="207" spans="1:23" ht="20.25" customHeight="1">
      <c r="A207" s="754" t="s">
        <v>533</v>
      </c>
      <c r="B207" s="754"/>
      <c r="C207" s="755"/>
      <c r="D207" s="756"/>
      <c r="E207" s="756"/>
      <c r="F207" s="756"/>
      <c r="G207" s="753"/>
      <c r="H207" s="753"/>
      <c r="I207" s="753"/>
      <c r="J207" s="753"/>
      <c r="K207" s="753"/>
      <c r="L207" s="757"/>
      <c r="M207" s="753"/>
      <c r="N207" s="753"/>
      <c r="O207" s="758"/>
      <c r="P207" s="753"/>
      <c r="Q207" s="759"/>
      <c r="R207" s="753"/>
      <c r="S207" s="760"/>
    </row>
    <row r="208" spans="1:23" ht="20.25" customHeight="1">
      <c r="A208" s="761" t="s">
        <v>559</v>
      </c>
      <c r="B208" s="761"/>
      <c r="C208" s="761"/>
      <c r="D208" s="761"/>
      <c r="E208" s="761"/>
      <c r="F208" s="761"/>
      <c r="G208" s="761"/>
      <c r="H208" s="761"/>
      <c r="I208" s="761"/>
      <c r="J208" s="761"/>
      <c r="K208" s="761"/>
      <c r="L208" s="761"/>
      <c r="M208" s="761"/>
      <c r="N208" s="761"/>
      <c r="O208" s="761"/>
      <c r="P208" s="761"/>
      <c r="Q208" s="759"/>
      <c r="R208" s="753"/>
      <c r="S208" s="760"/>
    </row>
    <row r="209" spans="1:23" ht="12" customHeight="1">
      <c r="A209" s="762"/>
      <c r="B209" s="762"/>
      <c r="C209" s="763"/>
      <c r="D209" s="762"/>
      <c r="E209" s="762"/>
      <c r="F209" s="762"/>
      <c r="G209" s="762"/>
      <c r="H209" s="762"/>
      <c r="I209" s="762"/>
      <c r="J209" s="762"/>
      <c r="K209" s="762"/>
      <c r="L209" s="761"/>
      <c r="M209" s="762"/>
      <c r="N209" s="762"/>
      <c r="O209" s="764"/>
      <c r="P209" s="762"/>
      <c r="Q209" s="759"/>
      <c r="R209" s="753"/>
      <c r="S209" s="760"/>
    </row>
    <row r="210" spans="1:23" ht="12" customHeight="1">
      <c r="A210" s="765"/>
      <c r="B210" s="765"/>
      <c r="C210" s="766"/>
      <c r="D210" s="765"/>
      <c r="E210" s="765"/>
      <c r="F210" s="765"/>
      <c r="G210" s="765"/>
      <c r="H210" s="765"/>
      <c r="I210" s="765"/>
      <c r="J210" s="765"/>
      <c r="K210" s="765"/>
      <c r="L210" s="765"/>
      <c r="M210" s="765"/>
      <c r="N210" s="765"/>
      <c r="O210" s="767"/>
      <c r="P210" s="765"/>
      <c r="Q210" s="759"/>
      <c r="R210" s="753"/>
      <c r="S210" s="760"/>
    </row>
    <row r="211" spans="1:23" ht="36.75" customHeight="1">
      <c r="A211" s="770" t="s">
        <v>37</v>
      </c>
      <c r="B211" s="770" t="s">
        <v>535</v>
      </c>
      <c r="C211" s="771" t="s">
        <v>536</v>
      </c>
      <c r="D211" s="772" t="s">
        <v>537</v>
      </c>
      <c r="E211" s="772" t="s">
        <v>538</v>
      </c>
      <c r="F211" s="772" t="s">
        <v>539</v>
      </c>
      <c r="G211" s="772" t="s">
        <v>540</v>
      </c>
      <c r="H211" s="772" t="s">
        <v>541</v>
      </c>
      <c r="I211" s="772" t="s">
        <v>542</v>
      </c>
      <c r="J211" s="772" t="s">
        <v>543</v>
      </c>
      <c r="K211" s="773" t="s">
        <v>544</v>
      </c>
      <c r="L211" s="772" t="s">
        <v>545</v>
      </c>
      <c r="M211" s="773" t="s">
        <v>546</v>
      </c>
      <c r="N211" s="772" t="s">
        <v>547</v>
      </c>
      <c r="O211" s="774" t="s">
        <v>538</v>
      </c>
      <c r="P211" s="772" t="s">
        <v>548</v>
      </c>
      <c r="Q211" s="759"/>
      <c r="R211" s="770" t="s">
        <v>535</v>
      </c>
      <c r="S211" s="772" t="s">
        <v>502</v>
      </c>
      <c r="T211" s="772" t="s">
        <v>338</v>
      </c>
      <c r="U211" s="772" t="s">
        <v>539</v>
      </c>
      <c r="V211" s="772" t="s">
        <v>549</v>
      </c>
      <c r="W211" s="770" t="s">
        <v>549</v>
      </c>
    </row>
    <row r="212" spans="1:23" s="776" customFormat="1" ht="13.5" customHeight="1">
      <c r="A212" s="777" t="str">
        <f>IF(B212&lt;&gt;"",ROW()-(ROW()-1),"")</f>
        <v/>
      </c>
      <c r="B212" s="789"/>
      <c r="C212" s="778">
        <f>IF(ISNA(VLOOKUP(B212,NXT!$Q$61:$S$81,2,0)),0,VLOOKUP(B212,NXT!$Q$61:$S$81,2,0))</f>
        <v>0</v>
      </c>
      <c r="D212" s="630">
        <f t="shared" ref="D212:D217" si="25">ROUND(C212*O212,0)</f>
        <v>0</v>
      </c>
      <c r="E212" s="630"/>
      <c r="F212" s="630"/>
      <c r="G212" s="779">
        <f t="shared" ref="G212:G217" si="26">(D212+E212)*F212</f>
        <v>0</v>
      </c>
      <c r="H212" s="630">
        <f t="shared" ref="H212:H217" si="27">IF($D$219&lt;&gt;0,H$219/($D$219+$E$219/4)*($D212+$E212/4),0)</f>
        <v>0</v>
      </c>
      <c r="I212" s="630">
        <f t="shared" ref="I212:K217" si="28">IF($D$219&lt;&gt;0,I$219/$D$219*$D212,0)</f>
        <v>0</v>
      </c>
      <c r="J212" s="630">
        <f t="shared" si="28"/>
        <v>0</v>
      </c>
      <c r="K212" s="630">
        <f t="shared" si="28"/>
        <v>0</v>
      </c>
      <c r="L212" s="630"/>
      <c r="M212" s="630"/>
      <c r="N212" s="779">
        <f t="shared" ref="N212:N217" si="29">ROUND(SUM(G212:L212),0)</f>
        <v>0</v>
      </c>
      <c r="O212" s="785"/>
      <c r="P212" s="630">
        <f t="shared" ref="P212:P217" si="30">IF(N212&lt;&gt;0,N212/O212,0)</f>
        <v>0</v>
      </c>
      <c r="Q212" s="775"/>
      <c r="R212" s="781"/>
      <c r="S212" s="845"/>
      <c r="T212" s="236"/>
      <c r="U212" s="236"/>
      <c r="V212" s="779">
        <f t="shared" ref="V212:V221" si="31">ROUND(T212*U212,0)</f>
        <v>0</v>
      </c>
      <c r="W212" s="779"/>
    </row>
    <row r="213" spans="1:23" ht="13.5" customHeight="1">
      <c r="A213" s="777" t="str">
        <f t="shared" ref="A213:A218" si="32">IF(B213&lt;&gt;"",A212+1,"")</f>
        <v/>
      </c>
      <c r="B213" s="789"/>
      <c r="C213" s="778">
        <f>IF(ISNA(VLOOKUP(B213,NXT!$Q$61:$S$81,2,0)),0,VLOOKUP(B213,NXT!$Q$61:$S$81,2,0))</f>
        <v>0</v>
      </c>
      <c r="D213" s="630">
        <f t="shared" si="25"/>
        <v>0</v>
      </c>
      <c r="E213" s="630"/>
      <c r="F213" s="630"/>
      <c r="G213" s="779">
        <f t="shared" si="26"/>
        <v>0</v>
      </c>
      <c r="H213" s="630">
        <f t="shared" si="27"/>
        <v>0</v>
      </c>
      <c r="I213" s="630">
        <f t="shared" si="28"/>
        <v>0</v>
      </c>
      <c r="J213" s="630">
        <f t="shared" si="28"/>
        <v>0</v>
      </c>
      <c r="K213" s="630">
        <f t="shared" si="28"/>
        <v>0</v>
      </c>
      <c r="L213" s="779"/>
      <c r="M213" s="630" t="e">
        <f>34560000/($O$68+#REF!+#REF!)*O213</f>
        <v>#REF!</v>
      </c>
      <c r="N213" s="779">
        <f t="shared" si="29"/>
        <v>0</v>
      </c>
      <c r="O213" s="630"/>
      <c r="P213" s="630">
        <f t="shared" si="30"/>
        <v>0</v>
      </c>
      <c r="Q213" s="798"/>
      <c r="R213" s="786"/>
      <c r="S213" s="845"/>
      <c r="T213" s="236"/>
      <c r="U213" s="236"/>
      <c r="V213" s="779">
        <f t="shared" si="31"/>
        <v>0</v>
      </c>
      <c r="W213" s="795"/>
    </row>
    <row r="214" spans="1:23" ht="13.5" customHeight="1">
      <c r="A214" s="777" t="str">
        <f t="shared" si="32"/>
        <v/>
      </c>
      <c r="B214" s="515"/>
      <c r="C214" s="778">
        <f>IF(ISNA(VLOOKUP(B214,NXT!$Q$61:$S$81,2,0)),0,VLOOKUP(B214,NXT!$Q$61:$S$81,2,0))</f>
        <v>0</v>
      </c>
      <c r="D214" s="630">
        <f t="shared" si="25"/>
        <v>0</v>
      </c>
      <c r="E214" s="630"/>
      <c r="F214" s="630"/>
      <c r="G214" s="779">
        <f t="shared" si="26"/>
        <v>0</v>
      </c>
      <c r="H214" s="630">
        <f t="shared" si="27"/>
        <v>0</v>
      </c>
      <c r="I214" s="630">
        <f t="shared" si="28"/>
        <v>0</v>
      </c>
      <c r="J214" s="630">
        <f t="shared" si="28"/>
        <v>0</v>
      </c>
      <c r="K214" s="630">
        <f t="shared" si="28"/>
        <v>0</v>
      </c>
      <c r="L214" s="630"/>
      <c r="M214" s="630"/>
      <c r="N214" s="779">
        <f t="shared" si="29"/>
        <v>0</v>
      </c>
      <c r="O214" s="785"/>
      <c r="P214" s="630">
        <f t="shared" si="30"/>
        <v>0</v>
      </c>
      <c r="Q214" s="798"/>
      <c r="R214" s="786"/>
      <c r="S214" s="845"/>
      <c r="T214" s="236"/>
      <c r="U214" s="236"/>
      <c r="V214" s="779">
        <f t="shared" si="31"/>
        <v>0</v>
      </c>
      <c r="W214" s="795"/>
    </row>
    <row r="215" spans="1:23" ht="13.5" customHeight="1">
      <c r="A215" s="777" t="str">
        <f t="shared" si="32"/>
        <v/>
      </c>
      <c r="B215" s="789"/>
      <c r="C215" s="778">
        <f>IF(ISNA(VLOOKUP(B215,NXT!$Q$61:$S$81,2,0)),0,VLOOKUP(B215,NXT!$Q$61:$S$81,2,0))</f>
        <v>0</v>
      </c>
      <c r="D215" s="630">
        <f t="shared" si="25"/>
        <v>0</v>
      </c>
      <c r="E215" s="630"/>
      <c r="F215" s="630"/>
      <c r="G215" s="779">
        <f t="shared" si="26"/>
        <v>0</v>
      </c>
      <c r="H215" s="630">
        <f t="shared" si="27"/>
        <v>0</v>
      </c>
      <c r="I215" s="630">
        <f t="shared" si="28"/>
        <v>0</v>
      </c>
      <c r="J215" s="630">
        <f t="shared" si="28"/>
        <v>0</v>
      </c>
      <c r="K215" s="630">
        <f t="shared" si="28"/>
        <v>0</v>
      </c>
      <c r="L215" s="630"/>
      <c r="M215" s="630"/>
      <c r="N215" s="779">
        <f t="shared" si="29"/>
        <v>0</v>
      </c>
      <c r="O215" s="785"/>
      <c r="P215" s="630">
        <f t="shared" si="30"/>
        <v>0</v>
      </c>
      <c r="Q215" s="798"/>
      <c r="R215" s="786"/>
      <c r="S215" s="845"/>
      <c r="T215" s="236"/>
      <c r="U215" s="236"/>
      <c r="V215" s="779">
        <f t="shared" si="31"/>
        <v>0</v>
      </c>
      <c r="W215" s="795"/>
    </row>
    <row r="216" spans="1:23" ht="13.5" customHeight="1">
      <c r="A216" s="777" t="str">
        <f t="shared" si="32"/>
        <v/>
      </c>
      <c r="B216" s="789"/>
      <c r="C216" s="778">
        <f>IF(ISNA(VLOOKUP(B216,NXT!$Q$61:$S$81,2,0)),0,VLOOKUP(B216,NXT!$Q$61:$S$81,2,0))</f>
        <v>0</v>
      </c>
      <c r="D216" s="630">
        <f t="shared" si="25"/>
        <v>0</v>
      </c>
      <c r="E216" s="630"/>
      <c r="F216" s="630"/>
      <c r="G216" s="779">
        <f t="shared" si="26"/>
        <v>0</v>
      </c>
      <c r="H216" s="630">
        <f t="shared" si="27"/>
        <v>0</v>
      </c>
      <c r="I216" s="630">
        <f t="shared" si="28"/>
        <v>0</v>
      </c>
      <c r="J216" s="630">
        <f t="shared" si="28"/>
        <v>0</v>
      </c>
      <c r="K216" s="630">
        <f t="shared" si="28"/>
        <v>0</v>
      </c>
      <c r="L216" s="630"/>
      <c r="M216" s="630"/>
      <c r="N216" s="779">
        <f t="shared" si="29"/>
        <v>0</v>
      </c>
      <c r="O216" s="785"/>
      <c r="P216" s="630">
        <f t="shared" si="30"/>
        <v>0</v>
      </c>
      <c r="Q216" s="798"/>
      <c r="R216" s="786"/>
      <c r="S216" s="845"/>
      <c r="T216" s="236"/>
      <c r="U216" s="236"/>
      <c r="V216" s="779">
        <f t="shared" si="31"/>
        <v>0</v>
      </c>
      <c r="W216" s="795"/>
    </row>
    <row r="217" spans="1:23">
      <c r="A217" s="777" t="str">
        <f t="shared" si="32"/>
        <v/>
      </c>
      <c r="B217" s="789"/>
      <c r="C217" s="778">
        <f>IF(ISNA(VLOOKUP(B217,NXT!$Q$61:$S$81,2,0)),0,VLOOKUP(B217,NXT!$Q$61:$S$81,2,0))</f>
        <v>0</v>
      </c>
      <c r="D217" s="630">
        <f t="shared" si="25"/>
        <v>0</v>
      </c>
      <c r="E217" s="630"/>
      <c r="F217" s="630"/>
      <c r="G217" s="779">
        <f t="shared" si="26"/>
        <v>0</v>
      </c>
      <c r="H217" s="630">
        <f t="shared" si="27"/>
        <v>0</v>
      </c>
      <c r="I217" s="630">
        <f t="shared" si="28"/>
        <v>0</v>
      </c>
      <c r="J217" s="630">
        <f t="shared" si="28"/>
        <v>0</v>
      </c>
      <c r="K217" s="630">
        <f t="shared" si="28"/>
        <v>0</v>
      </c>
      <c r="L217" s="630"/>
      <c r="M217" s="630"/>
      <c r="N217" s="779">
        <f t="shared" si="29"/>
        <v>0</v>
      </c>
      <c r="O217" s="785"/>
      <c r="P217" s="630">
        <f t="shared" si="30"/>
        <v>0</v>
      </c>
      <c r="Q217" s="798"/>
      <c r="R217" s="786"/>
      <c r="S217" s="845"/>
      <c r="T217" s="236"/>
      <c r="U217" s="787"/>
      <c r="V217" s="779">
        <f t="shared" si="31"/>
        <v>0</v>
      </c>
      <c r="W217" s="795"/>
    </row>
    <row r="218" spans="1:23">
      <c r="A218" s="777" t="str">
        <f t="shared" si="32"/>
        <v/>
      </c>
      <c r="B218" s="790"/>
      <c r="C218" s="791"/>
      <c r="D218" s="793"/>
      <c r="E218" s="793"/>
      <c r="F218" s="793"/>
      <c r="G218" s="794"/>
      <c r="H218" s="839"/>
      <c r="I218" s="793"/>
      <c r="J218" s="795"/>
      <c r="K218" s="793"/>
      <c r="L218" s="796"/>
      <c r="M218" s="793"/>
      <c r="N218" s="827"/>
      <c r="O218" s="797"/>
      <c r="P218" s="793"/>
      <c r="Q218" s="798"/>
      <c r="R218" s="786"/>
      <c r="S218" s="847"/>
      <c r="T218" s="236"/>
      <c r="U218" s="236"/>
      <c r="V218" s="779">
        <f t="shared" si="31"/>
        <v>0</v>
      </c>
      <c r="W218" s="795"/>
    </row>
    <row r="219" spans="1:23" s="799" customFormat="1">
      <c r="A219" s="800"/>
      <c r="B219" s="801" t="s">
        <v>550</v>
      </c>
      <c r="C219" s="802"/>
      <c r="D219" s="803">
        <f>SUM(D212:D217)</f>
        <v>0</v>
      </c>
      <c r="E219" s="803">
        <f>SUM(E212:E217)</f>
        <v>0</v>
      </c>
      <c r="F219" s="803"/>
      <c r="G219" s="803">
        <f>SUM(G212:G218)</f>
        <v>0</v>
      </c>
      <c r="H219" s="804"/>
      <c r="I219" s="804">
        <f>V223</f>
        <v>0</v>
      </c>
      <c r="J219" s="804"/>
      <c r="K219" s="804">
        <v>57138842</v>
      </c>
      <c r="L219" s="803">
        <f>ROUND(SUM(L212:L218),0)</f>
        <v>0</v>
      </c>
      <c r="M219" s="803" t="e">
        <f>ROUND(SUM(M212:M218),0)</f>
        <v>#REF!</v>
      </c>
      <c r="N219" s="803">
        <f>ROUND(SUM(N212:N218),0)</f>
        <v>0</v>
      </c>
      <c r="O219" s="803">
        <f>ROUND(SUM(O212:O218),0)</f>
        <v>0</v>
      </c>
      <c r="P219" s="803"/>
      <c r="Q219" s="798"/>
      <c r="R219" s="786"/>
      <c r="S219" s="847"/>
      <c r="T219" s="809"/>
      <c r="U219" s="787"/>
      <c r="V219" s="779">
        <f t="shared" si="31"/>
        <v>0</v>
      </c>
      <c r="W219" s="795"/>
    </row>
    <row r="220" spans="1:23" s="754" customFormat="1">
      <c r="A220" s="750"/>
      <c r="B220" s="750"/>
      <c r="C220" s="750"/>
      <c r="D220" s="750"/>
      <c r="E220" s="750"/>
      <c r="F220" s="750"/>
      <c r="G220" s="750"/>
      <c r="H220" s="750"/>
      <c r="I220" s="750"/>
      <c r="J220" s="750"/>
      <c r="K220" s="750"/>
      <c r="L220" s="750"/>
      <c r="M220" s="750"/>
      <c r="N220" s="750"/>
      <c r="O220" s="750"/>
      <c r="P220" s="750"/>
      <c r="Q220" s="798"/>
      <c r="R220" s="848"/>
      <c r="S220" s="847"/>
      <c r="T220" s="809"/>
      <c r="U220" s="787"/>
      <c r="V220" s="779">
        <f t="shared" si="31"/>
        <v>0</v>
      </c>
      <c r="W220" s="795"/>
    </row>
    <row r="221" spans="1:23">
      <c r="Q221" s="798"/>
      <c r="R221" s="520"/>
      <c r="S221" s="847"/>
      <c r="T221" s="236"/>
      <c r="U221" s="236"/>
      <c r="V221" s="779">
        <f t="shared" si="31"/>
        <v>0</v>
      </c>
      <c r="W221" s="795"/>
    </row>
    <row r="222" spans="1:23">
      <c r="Q222" s="798"/>
      <c r="R222" s="849"/>
      <c r="S222" s="782"/>
      <c r="T222" s="236"/>
      <c r="U222" s="236"/>
      <c r="V222" s="795"/>
      <c r="W222" s="795"/>
    </row>
    <row r="223" spans="1:23">
      <c r="Q223" s="798"/>
      <c r="R223" s="832"/>
      <c r="S223" s="833"/>
      <c r="T223" s="834"/>
      <c r="U223" s="850"/>
      <c r="V223" s="813">
        <f>SUM(V212:V222)</f>
        <v>0</v>
      </c>
      <c r="W223" s="813">
        <f>SUM(W212:W222)</f>
        <v>0</v>
      </c>
    </row>
    <row r="224" spans="1:23">
      <c r="R224" s="786"/>
      <c r="S224" s="845"/>
      <c r="T224" s="236"/>
      <c r="U224" s="787"/>
      <c r="V224" s="779">
        <f t="shared" ref="V224:V231" si="33">ROUND(T224*U224,0)</f>
        <v>0</v>
      </c>
      <c r="W224" s="779"/>
    </row>
    <row r="225" spans="1:23">
      <c r="R225" s="786"/>
      <c r="S225" s="845"/>
      <c r="T225" s="787"/>
      <c r="U225" s="787"/>
      <c r="V225" s="779">
        <f t="shared" si="33"/>
        <v>0</v>
      </c>
      <c r="W225" s="795"/>
    </row>
    <row r="226" spans="1:23">
      <c r="R226" s="527"/>
      <c r="S226" s="845"/>
      <c r="T226" s="787"/>
      <c r="U226" s="787"/>
      <c r="V226" s="779">
        <f t="shared" si="33"/>
        <v>0</v>
      </c>
      <c r="W226" s="795"/>
    </row>
    <row r="227" spans="1:23">
      <c r="R227" s="809"/>
      <c r="S227" s="845"/>
      <c r="T227" s="787"/>
      <c r="U227" s="787"/>
      <c r="V227" s="779">
        <f t="shared" si="33"/>
        <v>0</v>
      </c>
      <c r="W227" s="795"/>
    </row>
    <row r="228" spans="1:23">
      <c r="R228" s="786"/>
      <c r="S228" s="845"/>
      <c r="T228" s="787"/>
      <c r="U228" s="787"/>
      <c r="V228" s="779">
        <f t="shared" si="33"/>
        <v>0</v>
      </c>
      <c r="W228" s="795"/>
    </row>
    <row r="229" spans="1:23">
      <c r="R229" s="786"/>
      <c r="S229" s="782"/>
      <c r="T229" s="787"/>
      <c r="U229" s="787"/>
      <c r="V229" s="779">
        <f t="shared" si="33"/>
        <v>0</v>
      </c>
      <c r="W229" s="795"/>
    </row>
    <row r="230" spans="1:23">
      <c r="R230" s="809"/>
      <c r="S230" s="782"/>
      <c r="T230" s="787"/>
      <c r="U230" s="787"/>
      <c r="V230" s="779">
        <f t="shared" si="33"/>
        <v>0</v>
      </c>
      <c r="W230" s="795"/>
    </row>
    <row r="231" spans="1:23">
      <c r="R231" s="809"/>
      <c r="S231" s="782"/>
      <c r="T231" s="787"/>
      <c r="U231" s="787"/>
      <c r="V231" s="779">
        <f t="shared" si="33"/>
        <v>0</v>
      </c>
      <c r="W231" s="795"/>
    </row>
    <row r="232" spans="1:23">
      <c r="R232" s="759"/>
      <c r="S232" s="836"/>
      <c r="T232" s="769"/>
      <c r="U232" s="769"/>
      <c r="V232" s="807"/>
      <c r="W232" s="837"/>
    </row>
    <row r="233" spans="1:23" ht="20.25" customHeight="1">
      <c r="A233" s="754" t="s">
        <v>533</v>
      </c>
      <c r="B233" s="754"/>
      <c r="C233" s="755"/>
      <c r="D233" s="756"/>
      <c r="E233" s="756"/>
      <c r="F233" s="756"/>
      <c r="G233" s="753"/>
      <c r="H233" s="753"/>
      <c r="I233" s="753"/>
      <c r="J233" s="753"/>
      <c r="K233" s="753"/>
      <c r="L233" s="757"/>
      <c r="M233" s="753"/>
      <c r="N233" s="753"/>
      <c r="O233" s="758"/>
      <c r="P233" s="753"/>
      <c r="R233" s="753"/>
      <c r="S233" s="760"/>
    </row>
    <row r="234" spans="1:23" ht="20.25" customHeight="1">
      <c r="A234" s="761" t="s">
        <v>560</v>
      </c>
      <c r="B234" s="761"/>
      <c r="C234" s="761"/>
      <c r="D234" s="761"/>
      <c r="E234" s="761"/>
      <c r="F234" s="761"/>
      <c r="G234" s="761"/>
      <c r="H234" s="761"/>
      <c r="I234" s="761"/>
      <c r="J234" s="761"/>
      <c r="K234" s="761"/>
      <c r="L234" s="761"/>
      <c r="M234" s="761"/>
      <c r="N234" s="761"/>
      <c r="O234" s="761"/>
      <c r="P234" s="761"/>
      <c r="Q234" s="759"/>
      <c r="R234" s="753"/>
      <c r="S234" s="760"/>
    </row>
    <row r="235" spans="1:23" ht="12" customHeight="1">
      <c r="A235" s="762"/>
      <c r="B235" s="762"/>
      <c r="C235" s="763"/>
      <c r="D235" s="762"/>
      <c r="E235" s="762"/>
      <c r="F235" s="762"/>
      <c r="G235" s="762"/>
      <c r="H235" s="762"/>
      <c r="I235" s="762"/>
      <c r="J235" s="762"/>
      <c r="K235" s="762"/>
      <c r="L235" s="761"/>
      <c r="M235" s="762"/>
      <c r="N235" s="762"/>
      <c r="O235" s="764"/>
      <c r="P235" s="762"/>
      <c r="Q235" s="759"/>
      <c r="R235" s="753"/>
      <c r="S235" s="760"/>
    </row>
    <row r="236" spans="1:23" ht="12" customHeight="1">
      <c r="A236" s="765"/>
      <c r="B236" s="765"/>
      <c r="C236" s="766"/>
      <c r="D236" s="765"/>
      <c r="E236" s="765"/>
      <c r="F236" s="765"/>
      <c r="G236" s="765"/>
      <c r="H236" s="765"/>
      <c r="I236" s="765"/>
      <c r="J236" s="765"/>
      <c r="K236" s="765"/>
      <c r="L236" s="765"/>
      <c r="M236" s="765"/>
      <c r="N236" s="765"/>
      <c r="O236" s="767"/>
      <c r="P236" s="765"/>
      <c r="Q236" s="759"/>
      <c r="R236" s="753"/>
      <c r="S236" s="760"/>
    </row>
    <row r="237" spans="1:23" ht="36.75" customHeight="1">
      <c r="A237" s="770" t="s">
        <v>37</v>
      </c>
      <c r="B237" s="770" t="s">
        <v>535</v>
      </c>
      <c r="C237" s="771" t="s">
        <v>536</v>
      </c>
      <c r="D237" s="772" t="s">
        <v>537</v>
      </c>
      <c r="E237" s="772" t="s">
        <v>538</v>
      </c>
      <c r="F237" s="772" t="s">
        <v>539</v>
      </c>
      <c r="G237" s="772" t="s">
        <v>540</v>
      </c>
      <c r="H237" s="772" t="s">
        <v>541</v>
      </c>
      <c r="I237" s="772" t="s">
        <v>542</v>
      </c>
      <c r="J237" s="772" t="s">
        <v>543</v>
      </c>
      <c r="K237" s="773" t="s">
        <v>544</v>
      </c>
      <c r="L237" s="772" t="s">
        <v>545</v>
      </c>
      <c r="M237" s="773" t="s">
        <v>546</v>
      </c>
      <c r="N237" s="772" t="s">
        <v>547</v>
      </c>
      <c r="O237" s="774" t="s">
        <v>538</v>
      </c>
      <c r="P237" s="772" t="s">
        <v>548</v>
      </c>
      <c r="Q237" s="759"/>
      <c r="R237" s="770" t="s">
        <v>535</v>
      </c>
      <c r="S237" s="772" t="s">
        <v>502</v>
      </c>
      <c r="T237" s="772" t="s">
        <v>338</v>
      </c>
      <c r="U237" s="772" t="s">
        <v>539</v>
      </c>
      <c r="V237" s="772" t="s">
        <v>549</v>
      </c>
      <c r="W237" s="770" t="s">
        <v>549</v>
      </c>
    </row>
    <row r="238" spans="1:23" s="776" customFormat="1" ht="13.5" customHeight="1">
      <c r="A238" s="777" t="str">
        <f>IF(B238&lt;&gt;"",ROW()-(ROW()-1),"")</f>
        <v/>
      </c>
      <c r="B238" s="789"/>
      <c r="C238" s="778">
        <f>IF(ISNA(VLOOKUP(B238,NXT!$Q$61:$S$81,2,0)),0,VLOOKUP(B238,NXT!$Q$61:$S$81,2,0))</f>
        <v>0</v>
      </c>
      <c r="D238" s="630">
        <f t="shared" ref="D238:D243" si="34">ROUND(C238*O238,0)</f>
        <v>0</v>
      </c>
      <c r="E238" s="630"/>
      <c r="F238" s="630"/>
      <c r="G238" s="779">
        <f t="shared" ref="G238:G243" si="35">(D238+E238)*F238</f>
        <v>0</v>
      </c>
      <c r="H238" s="630">
        <f t="shared" ref="H238:H243" si="36">IF($D$245&lt;&gt;0,H$245/($D$245+$E$245/4)*($D238+$E238/4),0)</f>
        <v>0</v>
      </c>
      <c r="I238" s="630">
        <f t="shared" ref="I238:K243" si="37">IF($D$245&lt;&gt;0,I$245/$D$245*$D238,0)</f>
        <v>0</v>
      </c>
      <c r="J238" s="630">
        <f t="shared" si="37"/>
        <v>0</v>
      </c>
      <c r="K238" s="630">
        <f t="shared" si="37"/>
        <v>0</v>
      </c>
      <c r="L238" s="779">
        <f t="shared" ref="L238:L243" si="38">V250</f>
        <v>0</v>
      </c>
      <c r="M238" s="630" t="e">
        <f>34560000/($O$68+#REF!+#REF!)*O238</f>
        <v>#REF!</v>
      </c>
      <c r="N238" s="779"/>
      <c r="O238" s="785"/>
      <c r="P238" s="630">
        <f t="shared" ref="P238:P243" si="39">IF(N238&lt;&gt;0,N238/O238,0)</f>
        <v>0</v>
      </c>
      <c r="Q238" s="775"/>
      <c r="R238" s="781"/>
      <c r="S238" s="845"/>
      <c r="T238" s="236"/>
      <c r="U238" s="236"/>
      <c r="V238" s="779">
        <f t="shared" ref="V238:V247" si="40">ROUND(T238*U238,0)</f>
        <v>0</v>
      </c>
      <c r="W238" s="779"/>
    </row>
    <row r="239" spans="1:23" ht="13.5" customHeight="1">
      <c r="A239" s="777" t="str">
        <f t="shared" ref="A239:A244" si="41">IF(B239&lt;&gt;"",A238+1,"")</f>
        <v/>
      </c>
      <c r="B239" s="789"/>
      <c r="C239" s="778">
        <f>IF(ISNA(VLOOKUP(B239,NXT!$Q$61:$S$81,2,0)),0,VLOOKUP(B239,NXT!$Q$61:$S$81,2,0))</f>
        <v>0</v>
      </c>
      <c r="D239" s="630">
        <f t="shared" si="34"/>
        <v>0</v>
      </c>
      <c r="E239" s="630"/>
      <c r="F239" s="630"/>
      <c r="G239" s="779">
        <f t="shared" si="35"/>
        <v>0</v>
      </c>
      <c r="H239" s="630">
        <f t="shared" si="36"/>
        <v>0</v>
      </c>
      <c r="I239" s="630">
        <f t="shared" si="37"/>
        <v>0</v>
      </c>
      <c r="J239" s="630">
        <f t="shared" si="37"/>
        <v>0</v>
      </c>
      <c r="K239" s="630">
        <f t="shared" si="37"/>
        <v>0</v>
      </c>
      <c r="L239" s="630">
        <f t="shared" si="38"/>
        <v>0</v>
      </c>
      <c r="M239" s="630"/>
      <c r="N239" s="779"/>
      <c r="O239" s="785"/>
      <c r="P239" s="630">
        <f t="shared" si="39"/>
        <v>0</v>
      </c>
      <c r="Q239" s="798"/>
      <c r="R239" s="786"/>
      <c r="S239" s="845"/>
      <c r="T239" s="236"/>
      <c r="U239" s="236"/>
      <c r="V239" s="779">
        <f t="shared" si="40"/>
        <v>0</v>
      </c>
      <c r="W239" s="795"/>
    </row>
    <row r="240" spans="1:23" ht="13.5" customHeight="1">
      <c r="A240" s="777" t="str">
        <f t="shared" si="41"/>
        <v/>
      </c>
      <c r="B240" s="789"/>
      <c r="C240" s="778">
        <f>IF(ISNA(VLOOKUP(B240,NXT!$Q$61:$S$81,2,0)),0,VLOOKUP(B240,NXT!$Q$61:$S$81,2,0))</f>
        <v>0</v>
      </c>
      <c r="D240" s="630">
        <f t="shared" si="34"/>
        <v>0</v>
      </c>
      <c r="E240" s="630"/>
      <c r="F240" s="630"/>
      <c r="G240" s="779">
        <f t="shared" si="35"/>
        <v>0</v>
      </c>
      <c r="H240" s="630">
        <f t="shared" si="36"/>
        <v>0</v>
      </c>
      <c r="I240" s="630">
        <f t="shared" si="37"/>
        <v>0</v>
      </c>
      <c r="J240" s="630">
        <f t="shared" si="37"/>
        <v>0</v>
      </c>
      <c r="K240" s="630">
        <f t="shared" si="37"/>
        <v>0</v>
      </c>
      <c r="L240" s="630">
        <f t="shared" si="38"/>
        <v>0</v>
      </c>
      <c r="M240" s="630">
        <v>25840000</v>
      </c>
      <c r="N240" s="779"/>
      <c r="O240" s="785"/>
      <c r="P240" s="630">
        <f t="shared" si="39"/>
        <v>0</v>
      </c>
      <c r="Q240" s="798"/>
      <c r="R240" s="786"/>
      <c r="S240" s="845"/>
      <c r="T240" s="236"/>
      <c r="U240" s="236"/>
      <c r="V240" s="779">
        <f t="shared" si="40"/>
        <v>0</v>
      </c>
      <c r="W240" s="795"/>
    </row>
    <row r="241" spans="1:23" ht="13.5" customHeight="1">
      <c r="A241" s="777" t="str">
        <f t="shared" si="41"/>
        <v/>
      </c>
      <c r="B241" s="789"/>
      <c r="C241" s="778">
        <f>IF(ISNA(VLOOKUP(B241,NXT!$Q$61:$S$81,2,0)),0,VLOOKUP(B241,NXT!$Q$61:$S$81,2,0))</f>
        <v>0</v>
      </c>
      <c r="D241" s="630">
        <f t="shared" si="34"/>
        <v>0</v>
      </c>
      <c r="E241" s="630"/>
      <c r="F241" s="630"/>
      <c r="G241" s="779">
        <f t="shared" si="35"/>
        <v>0</v>
      </c>
      <c r="H241" s="630">
        <f t="shared" si="36"/>
        <v>0</v>
      </c>
      <c r="I241" s="630">
        <f t="shared" si="37"/>
        <v>0</v>
      </c>
      <c r="J241" s="630">
        <f t="shared" si="37"/>
        <v>0</v>
      </c>
      <c r="K241" s="630">
        <f t="shared" si="37"/>
        <v>0</v>
      </c>
      <c r="L241" s="630">
        <f t="shared" si="38"/>
        <v>0</v>
      </c>
      <c r="M241" s="630" t="e">
        <f>34560000/($O$68+#REF!+#REF!)*O241</f>
        <v>#REF!</v>
      </c>
      <c r="N241" s="779"/>
      <c r="O241" s="785"/>
      <c r="P241" s="630">
        <f t="shared" si="39"/>
        <v>0</v>
      </c>
      <c r="Q241" s="798"/>
      <c r="R241" s="786"/>
      <c r="S241" s="845"/>
      <c r="T241" s="236"/>
      <c r="U241" s="236"/>
      <c r="V241" s="779">
        <f t="shared" si="40"/>
        <v>0</v>
      </c>
      <c r="W241" s="795"/>
    </row>
    <row r="242" spans="1:23" ht="13.5" customHeight="1">
      <c r="A242" s="777" t="str">
        <f t="shared" si="41"/>
        <v/>
      </c>
      <c r="B242" s="789"/>
      <c r="C242" s="778">
        <f>IF(ISNA(VLOOKUP(B242,NXT!$Q$61:$S$81,2,0)),0,VLOOKUP(B242,NXT!$Q$61:$S$81,2,0))</f>
        <v>0</v>
      </c>
      <c r="D242" s="630">
        <f t="shared" si="34"/>
        <v>0</v>
      </c>
      <c r="E242" s="630"/>
      <c r="F242" s="630"/>
      <c r="G242" s="779">
        <f t="shared" si="35"/>
        <v>0</v>
      </c>
      <c r="H242" s="630">
        <f t="shared" si="36"/>
        <v>0</v>
      </c>
      <c r="I242" s="630">
        <f t="shared" si="37"/>
        <v>0</v>
      </c>
      <c r="J242" s="630">
        <f t="shared" si="37"/>
        <v>0</v>
      </c>
      <c r="K242" s="630">
        <f t="shared" si="37"/>
        <v>0</v>
      </c>
      <c r="L242" s="630">
        <f t="shared" si="38"/>
        <v>0</v>
      </c>
      <c r="M242" s="630"/>
      <c r="N242" s="779"/>
      <c r="O242" s="785"/>
      <c r="P242" s="630">
        <f t="shared" si="39"/>
        <v>0</v>
      </c>
      <c r="Q242" s="798"/>
      <c r="R242" s="786"/>
      <c r="S242" s="845"/>
      <c r="T242" s="236"/>
      <c r="U242" s="236"/>
      <c r="V242" s="779">
        <f t="shared" si="40"/>
        <v>0</v>
      </c>
      <c r="W242" s="795"/>
    </row>
    <row r="243" spans="1:23">
      <c r="A243" s="777" t="str">
        <f t="shared" si="41"/>
        <v/>
      </c>
      <c r="B243" s="789"/>
      <c r="C243" s="778"/>
      <c r="D243" s="630">
        <f t="shared" si="34"/>
        <v>0</v>
      </c>
      <c r="E243" s="630"/>
      <c r="F243" s="630"/>
      <c r="G243" s="779">
        <f t="shared" si="35"/>
        <v>0</v>
      </c>
      <c r="H243" s="630">
        <f t="shared" si="36"/>
        <v>0</v>
      </c>
      <c r="I243" s="630">
        <f t="shared" si="37"/>
        <v>0</v>
      </c>
      <c r="J243" s="630">
        <f t="shared" si="37"/>
        <v>0</v>
      </c>
      <c r="K243" s="630">
        <f t="shared" si="37"/>
        <v>0</v>
      </c>
      <c r="L243" s="630">
        <f t="shared" si="38"/>
        <v>0</v>
      </c>
      <c r="M243" s="630" t="e">
        <f>34560000/($O$68+#REF!+#REF!)*O243</f>
        <v>#REF!</v>
      </c>
      <c r="N243" s="779"/>
      <c r="O243" s="785"/>
      <c r="P243" s="630">
        <f t="shared" si="39"/>
        <v>0</v>
      </c>
      <c r="Q243" s="798"/>
      <c r="R243" s="786"/>
      <c r="S243" s="845"/>
      <c r="T243" s="236"/>
      <c r="U243" s="787"/>
      <c r="V243" s="779">
        <f t="shared" si="40"/>
        <v>0</v>
      </c>
      <c r="W243" s="795"/>
    </row>
    <row r="244" spans="1:23">
      <c r="A244" s="777" t="str">
        <f t="shared" si="41"/>
        <v/>
      </c>
      <c r="B244" s="790"/>
      <c r="C244" s="791"/>
      <c r="D244" s="793"/>
      <c r="E244" s="793"/>
      <c r="F244" s="793"/>
      <c r="G244" s="794"/>
      <c r="H244" s="839"/>
      <c r="I244" s="793"/>
      <c r="J244" s="795"/>
      <c r="K244" s="793"/>
      <c r="L244" s="796"/>
      <c r="M244" s="793"/>
      <c r="N244" s="827"/>
      <c r="O244" s="797"/>
      <c r="P244" s="793"/>
      <c r="Q244" s="798"/>
      <c r="R244" s="786"/>
      <c r="S244" s="847"/>
      <c r="T244" s="236"/>
      <c r="U244" s="236"/>
      <c r="V244" s="779">
        <f t="shared" si="40"/>
        <v>0</v>
      </c>
      <c r="W244" s="795"/>
    </row>
    <row r="245" spans="1:23" s="799" customFormat="1">
      <c r="A245" s="800"/>
      <c r="B245" s="801" t="s">
        <v>550</v>
      </c>
      <c r="C245" s="802"/>
      <c r="D245" s="803">
        <f>SUM(D238:D243)</f>
        <v>0</v>
      </c>
      <c r="E245" s="803">
        <f>SUM(E238:E243)</f>
        <v>0</v>
      </c>
      <c r="F245" s="803"/>
      <c r="G245" s="803">
        <f>SUM(G238:G243)</f>
        <v>0</v>
      </c>
      <c r="H245" s="804"/>
      <c r="I245" s="804">
        <f>V249</f>
        <v>0</v>
      </c>
      <c r="J245" s="804"/>
      <c r="K245" s="804">
        <v>57138842</v>
      </c>
      <c r="L245" s="803">
        <f>ROUND(SUM(L238:L244),0)</f>
        <v>0</v>
      </c>
      <c r="M245" s="803" t="e">
        <f>ROUND(SUM(M238:M244),0)</f>
        <v>#REF!</v>
      </c>
      <c r="N245" s="803">
        <f>ROUND(SUM(N238:N244),0)</f>
        <v>0</v>
      </c>
      <c r="O245" s="803">
        <f>ROUND(SUM(O238:O244),0)</f>
        <v>0</v>
      </c>
      <c r="P245" s="803"/>
      <c r="Q245" s="798"/>
      <c r="R245" s="786"/>
      <c r="S245" s="847"/>
      <c r="T245" s="809"/>
      <c r="U245" s="787"/>
      <c r="V245" s="779">
        <f t="shared" si="40"/>
        <v>0</v>
      </c>
      <c r="W245" s="795"/>
    </row>
    <row r="246" spans="1:23" s="754" customFormat="1">
      <c r="A246" s="750"/>
      <c r="B246" s="750"/>
      <c r="C246" s="750"/>
      <c r="D246" s="750"/>
      <c r="E246" s="750"/>
      <c r="F246" s="750"/>
      <c r="G246" s="750"/>
      <c r="H246" s="750"/>
      <c r="I246" s="750"/>
      <c r="J246" s="750"/>
      <c r="K246" s="750"/>
      <c r="L246" s="750"/>
      <c r="M246" s="750"/>
      <c r="N246" s="750"/>
      <c r="O246" s="750"/>
      <c r="P246" s="750"/>
      <c r="Q246" s="798"/>
      <c r="R246" s="848"/>
      <c r="S246" s="847"/>
      <c r="T246" s="809"/>
      <c r="U246" s="787"/>
      <c r="V246" s="779">
        <f t="shared" si="40"/>
        <v>0</v>
      </c>
      <c r="W246" s="795"/>
    </row>
    <row r="247" spans="1:23">
      <c r="Q247" s="798"/>
      <c r="R247" s="520"/>
      <c r="S247" s="847"/>
      <c r="T247" s="236"/>
      <c r="U247" s="236"/>
      <c r="V247" s="779">
        <f t="shared" si="40"/>
        <v>0</v>
      </c>
      <c r="W247" s="795"/>
    </row>
    <row r="248" spans="1:23">
      <c r="Q248" s="798"/>
      <c r="R248" s="849"/>
      <c r="S248" s="782"/>
      <c r="T248" s="236"/>
      <c r="U248" s="236"/>
      <c r="V248" s="795"/>
      <c r="W248" s="795"/>
    </row>
    <row r="249" spans="1:23">
      <c r="Q249" s="798"/>
      <c r="R249" s="832"/>
      <c r="S249" s="833"/>
      <c r="T249" s="834"/>
      <c r="U249" s="850"/>
      <c r="V249" s="813">
        <f>SUM(V238:V248)</f>
        <v>0</v>
      </c>
      <c r="W249" s="813">
        <f>SUM(W238:W248)</f>
        <v>0</v>
      </c>
    </row>
    <row r="250" spans="1:23">
      <c r="R250" s="809"/>
      <c r="S250" s="845"/>
      <c r="T250" s="236"/>
      <c r="U250" s="236"/>
      <c r="V250" s="779">
        <f t="shared" ref="V250:V255" si="42">ROUND(T250*U250,0)</f>
        <v>0</v>
      </c>
      <c r="W250" s="779"/>
    </row>
    <row r="251" spans="1:23">
      <c r="R251" s="786"/>
      <c r="S251" s="845"/>
      <c r="T251" s="787"/>
      <c r="U251" s="787"/>
      <c r="V251" s="779">
        <f t="shared" si="42"/>
        <v>0</v>
      </c>
      <c r="W251" s="795"/>
    </row>
    <row r="252" spans="1:23">
      <c r="R252" s="809"/>
      <c r="S252" s="845"/>
      <c r="T252" s="787"/>
      <c r="U252" s="787"/>
      <c r="V252" s="779">
        <f t="shared" si="42"/>
        <v>0</v>
      </c>
      <c r="W252" s="795"/>
    </row>
    <row r="253" spans="1:23">
      <c r="R253" s="786"/>
      <c r="S253" s="782"/>
      <c r="T253" s="787"/>
      <c r="U253" s="787"/>
      <c r="V253" s="779">
        <f t="shared" si="42"/>
        <v>0</v>
      </c>
      <c r="W253" s="795"/>
    </row>
    <row r="254" spans="1:23">
      <c r="R254" s="786"/>
      <c r="S254" s="782"/>
      <c r="T254" s="787"/>
      <c r="U254" s="787"/>
      <c r="V254" s="779">
        <f t="shared" si="42"/>
        <v>0</v>
      </c>
      <c r="W254" s="795"/>
    </row>
    <row r="255" spans="1:23">
      <c r="R255" s="809"/>
      <c r="S255" s="782"/>
      <c r="T255" s="787"/>
      <c r="U255" s="787"/>
      <c r="V255" s="779">
        <f t="shared" si="42"/>
        <v>0</v>
      </c>
      <c r="W255" s="795"/>
    </row>
    <row r="256" spans="1:23">
      <c r="R256" s="809"/>
      <c r="S256" s="782"/>
      <c r="T256" s="787"/>
      <c r="U256" s="787"/>
      <c r="V256" s="855">
        <f>SUM(V250:V255)</f>
        <v>0</v>
      </c>
      <c r="W256" s="795"/>
    </row>
    <row r="257" spans="1:23">
      <c r="A257" s="761"/>
      <c r="B257" s="761"/>
      <c r="C257" s="761"/>
      <c r="D257" s="761"/>
      <c r="E257" s="761"/>
      <c r="F257" s="761"/>
      <c r="G257" s="761"/>
      <c r="H257" s="761"/>
      <c r="I257" s="761"/>
      <c r="J257" s="761"/>
      <c r="K257" s="761"/>
      <c r="L257" s="761"/>
      <c r="M257" s="761"/>
      <c r="N257" s="761"/>
      <c r="O257" s="761"/>
      <c r="P257" s="761"/>
      <c r="R257" s="753"/>
      <c r="S257" s="760"/>
    </row>
    <row r="258" spans="1:23" ht="20.25" customHeight="1">
      <c r="A258" s="754" t="s">
        <v>533</v>
      </c>
      <c r="B258" s="754"/>
      <c r="C258" s="755"/>
      <c r="D258" s="756"/>
      <c r="E258" s="756"/>
      <c r="F258" s="756"/>
      <c r="G258" s="753"/>
      <c r="H258" s="753"/>
      <c r="I258" s="753"/>
      <c r="J258" s="753"/>
      <c r="K258" s="753"/>
      <c r="L258" s="757"/>
      <c r="M258" s="753"/>
      <c r="N258" s="753"/>
      <c r="O258" s="758"/>
      <c r="P258" s="753"/>
      <c r="Q258" s="759"/>
      <c r="R258" s="753"/>
      <c r="S258" s="760"/>
    </row>
    <row r="259" spans="1:23" ht="20.25" customHeight="1">
      <c r="A259" s="761" t="s">
        <v>561</v>
      </c>
      <c r="B259" s="761"/>
      <c r="C259" s="761"/>
      <c r="D259" s="761"/>
      <c r="E259" s="761"/>
      <c r="F259" s="761"/>
      <c r="G259" s="761"/>
      <c r="H259" s="761"/>
      <c r="I259" s="761"/>
      <c r="J259" s="761"/>
      <c r="K259" s="761"/>
      <c r="L259" s="761"/>
      <c r="M259" s="761"/>
      <c r="N259" s="761"/>
      <c r="O259" s="761"/>
      <c r="P259" s="761"/>
      <c r="Q259" s="759"/>
      <c r="R259" s="753"/>
      <c r="S259" s="760"/>
    </row>
    <row r="260" spans="1:23" ht="12" customHeight="1">
      <c r="A260" s="762"/>
      <c r="B260" s="762"/>
      <c r="C260" s="763"/>
      <c r="D260" s="762"/>
      <c r="E260" s="762"/>
      <c r="F260" s="762"/>
      <c r="G260" s="762"/>
      <c r="H260" s="762"/>
      <c r="I260" s="762"/>
      <c r="J260" s="762"/>
      <c r="K260" s="762"/>
      <c r="L260" s="761"/>
      <c r="M260" s="762"/>
      <c r="N260" s="762"/>
      <c r="O260" s="764"/>
      <c r="P260" s="762"/>
      <c r="Q260" s="759"/>
      <c r="R260" s="753"/>
      <c r="S260" s="760"/>
    </row>
    <row r="261" spans="1:23" ht="12" customHeight="1">
      <c r="A261" s="765"/>
      <c r="B261" s="765"/>
      <c r="C261" s="766"/>
      <c r="D261" s="765"/>
      <c r="E261" s="765"/>
      <c r="F261" s="765"/>
      <c r="G261" s="765"/>
      <c r="H261" s="765"/>
      <c r="I261" s="765"/>
      <c r="J261" s="765"/>
      <c r="K261" s="765"/>
      <c r="L261" s="765"/>
      <c r="M261" s="765"/>
      <c r="N261" s="765"/>
      <c r="O261" s="767"/>
      <c r="P261" s="765"/>
      <c r="Q261" s="759"/>
      <c r="R261" s="753"/>
      <c r="S261" s="760"/>
    </row>
    <row r="262" spans="1:23" ht="36.75" customHeight="1">
      <c r="A262" s="770" t="s">
        <v>37</v>
      </c>
      <c r="B262" s="770" t="s">
        <v>535</v>
      </c>
      <c r="C262" s="771" t="s">
        <v>536</v>
      </c>
      <c r="D262" s="772" t="s">
        <v>537</v>
      </c>
      <c r="E262" s="772" t="s">
        <v>538</v>
      </c>
      <c r="F262" s="772" t="s">
        <v>539</v>
      </c>
      <c r="G262" s="772" t="s">
        <v>540</v>
      </c>
      <c r="H262" s="772" t="s">
        <v>541</v>
      </c>
      <c r="I262" s="772" t="s">
        <v>542</v>
      </c>
      <c r="J262" s="772" t="s">
        <v>543</v>
      </c>
      <c r="K262" s="773" t="s">
        <v>544</v>
      </c>
      <c r="L262" s="772" t="s">
        <v>545</v>
      </c>
      <c r="M262" s="773" t="s">
        <v>546</v>
      </c>
      <c r="N262" s="772" t="s">
        <v>547</v>
      </c>
      <c r="O262" s="774" t="s">
        <v>538</v>
      </c>
      <c r="P262" s="772" t="s">
        <v>548</v>
      </c>
      <c r="Q262" s="759"/>
      <c r="R262" s="770" t="s">
        <v>535</v>
      </c>
      <c r="S262" s="772" t="s">
        <v>502</v>
      </c>
      <c r="T262" s="772" t="s">
        <v>338</v>
      </c>
      <c r="U262" s="772" t="s">
        <v>539</v>
      </c>
      <c r="V262" s="772" t="s">
        <v>549</v>
      </c>
      <c r="W262" s="770" t="s">
        <v>549</v>
      </c>
    </row>
    <row r="263" spans="1:23" s="776" customFormat="1" ht="13.5" customHeight="1">
      <c r="A263" s="777" t="str">
        <f>IF(B263&lt;&gt;"",ROW()-(ROW()-1),"")</f>
        <v/>
      </c>
      <c r="B263" s="852"/>
      <c r="C263" s="778">
        <f>IF(ISNA(VLOOKUP(B263,NXT!$Q$61:$S$81,2,0)),0,VLOOKUP(B263,NXT!$Q$61:$S$81,2,0))</f>
        <v>0</v>
      </c>
      <c r="D263" s="630">
        <f t="shared" ref="D263:D268" si="43">ROUND(C263*O263,0)</f>
        <v>0</v>
      </c>
      <c r="E263" s="630"/>
      <c r="F263" s="630"/>
      <c r="G263" s="779">
        <f t="shared" ref="G263:G268" si="44">(D263+E263)*F263</f>
        <v>0</v>
      </c>
      <c r="H263" s="630">
        <f t="shared" ref="H263:H268" si="45">IF($D$270&lt;&gt;0,H$270/($D$270+$E$270/4)*($D263+$E263/4),0)</f>
        <v>0</v>
      </c>
      <c r="I263" s="630">
        <f t="shared" ref="I263:K268" si="46">IF($D$270&lt;&gt;0,I$270/$D$270*$D263,0)</f>
        <v>0</v>
      </c>
      <c r="J263" s="630">
        <f t="shared" si="46"/>
        <v>0</v>
      </c>
      <c r="K263" s="630">
        <f t="shared" si="46"/>
        <v>0</v>
      </c>
      <c r="L263" s="856"/>
      <c r="M263" s="630" t="e">
        <f>34560000/($O$68+#REF!+#REF!)*O263</f>
        <v>#REF!</v>
      </c>
      <c r="N263" s="779">
        <f t="shared" ref="N263:N268" si="47">ROUND(SUM(G263:L263),0)</f>
        <v>0</v>
      </c>
      <c r="O263" s="630"/>
      <c r="P263" s="630">
        <f t="shared" ref="P263:P268" si="48">IF(N263&lt;&gt;0,N263/O263,0)</f>
        <v>0</v>
      </c>
      <c r="Q263" s="775"/>
      <c r="R263" s="781"/>
      <c r="S263" s="845"/>
      <c r="T263" s="236"/>
      <c r="U263" s="236"/>
      <c r="V263" s="779">
        <f t="shared" ref="V263:V272" si="49">ROUND(T263*U263,0)</f>
        <v>0</v>
      </c>
      <c r="W263" s="779"/>
    </row>
    <row r="264" spans="1:23" ht="13.5" customHeight="1">
      <c r="A264" s="777" t="str">
        <f t="shared" ref="A264:A269" si="50">IF(B264&lt;&gt;"",A263+1,"")</f>
        <v/>
      </c>
      <c r="B264" s="789"/>
      <c r="C264" s="778">
        <f>IF(ISNA(VLOOKUP(B264,NXT!$Q$61:$S$81,2,0)),0,VLOOKUP(B264,NXT!$Q$61:$S$81,2,0))</f>
        <v>0</v>
      </c>
      <c r="D264" s="630">
        <f t="shared" si="43"/>
        <v>0</v>
      </c>
      <c r="E264" s="630"/>
      <c r="F264" s="630"/>
      <c r="G264" s="779">
        <f t="shared" si="44"/>
        <v>0</v>
      </c>
      <c r="H264" s="630">
        <f t="shared" si="45"/>
        <v>0</v>
      </c>
      <c r="I264" s="630">
        <f t="shared" si="46"/>
        <v>0</v>
      </c>
      <c r="J264" s="630">
        <f t="shared" si="46"/>
        <v>0</v>
      </c>
      <c r="K264" s="630">
        <f t="shared" si="46"/>
        <v>0</v>
      </c>
      <c r="L264" s="856"/>
      <c r="M264" s="630"/>
      <c r="N264" s="779">
        <f t="shared" si="47"/>
        <v>0</v>
      </c>
      <c r="O264" s="785"/>
      <c r="P264" s="630">
        <f t="shared" si="48"/>
        <v>0</v>
      </c>
      <c r="Q264" s="798"/>
      <c r="R264" s="786"/>
      <c r="S264" s="845"/>
      <c r="T264" s="236"/>
      <c r="U264" s="236"/>
      <c r="V264" s="779">
        <f t="shared" si="49"/>
        <v>0</v>
      </c>
      <c r="W264" s="795"/>
    </row>
    <row r="265" spans="1:23" ht="13.5" customHeight="1">
      <c r="A265" s="777" t="str">
        <f t="shared" si="50"/>
        <v/>
      </c>
      <c r="B265" s="789"/>
      <c r="C265" s="778">
        <f>IF(ISNA(VLOOKUP(B265,NXT!$Q$61:$S$81,2,0)),0,VLOOKUP(B265,NXT!$Q$61:$S$81,2,0))</f>
        <v>0</v>
      </c>
      <c r="D265" s="630">
        <f t="shared" si="43"/>
        <v>0</v>
      </c>
      <c r="E265" s="630"/>
      <c r="F265" s="630"/>
      <c r="G265" s="779">
        <f t="shared" si="44"/>
        <v>0</v>
      </c>
      <c r="H265" s="630">
        <f t="shared" si="45"/>
        <v>0</v>
      </c>
      <c r="I265" s="630">
        <f t="shared" si="46"/>
        <v>0</v>
      </c>
      <c r="J265" s="630">
        <f t="shared" si="46"/>
        <v>0</v>
      </c>
      <c r="K265" s="630">
        <f t="shared" si="46"/>
        <v>0</v>
      </c>
      <c r="L265" s="856"/>
      <c r="M265" s="630">
        <v>25840000</v>
      </c>
      <c r="N265" s="779">
        <f t="shared" si="47"/>
        <v>0</v>
      </c>
      <c r="O265" s="785"/>
      <c r="P265" s="630">
        <f t="shared" si="48"/>
        <v>0</v>
      </c>
      <c r="Q265" s="798"/>
      <c r="R265" s="786"/>
      <c r="S265" s="845"/>
      <c r="T265" s="236"/>
      <c r="U265" s="236"/>
      <c r="V265" s="779">
        <f t="shared" si="49"/>
        <v>0</v>
      </c>
      <c r="W265" s="795"/>
    </row>
    <row r="266" spans="1:23" ht="13.5" customHeight="1">
      <c r="A266" s="777" t="str">
        <f t="shared" si="50"/>
        <v/>
      </c>
      <c r="B266" s="789"/>
      <c r="C266" s="778">
        <f>IF(ISNA(VLOOKUP(B266,NXT!$Q$61:$S$81,2,0)),0,VLOOKUP(B266,NXT!$Q$61:$S$81,2,0))</f>
        <v>0</v>
      </c>
      <c r="D266" s="630">
        <f t="shared" si="43"/>
        <v>0</v>
      </c>
      <c r="E266" s="630"/>
      <c r="F266" s="630"/>
      <c r="G266" s="779">
        <f t="shared" si="44"/>
        <v>0</v>
      </c>
      <c r="H266" s="630">
        <f t="shared" si="45"/>
        <v>0</v>
      </c>
      <c r="I266" s="630">
        <f t="shared" si="46"/>
        <v>0</v>
      </c>
      <c r="J266" s="630">
        <f t="shared" si="46"/>
        <v>0</v>
      </c>
      <c r="K266" s="630">
        <f t="shared" si="46"/>
        <v>0</v>
      </c>
      <c r="L266" s="630"/>
      <c r="M266" s="630" t="e">
        <f>34560000/($O$68+#REF!+#REF!)*O266</f>
        <v>#REF!</v>
      </c>
      <c r="N266" s="779">
        <f t="shared" si="47"/>
        <v>0</v>
      </c>
      <c r="O266" s="785"/>
      <c r="P266" s="630">
        <f t="shared" si="48"/>
        <v>0</v>
      </c>
      <c r="Q266" s="798"/>
      <c r="R266" s="786"/>
      <c r="S266" s="845"/>
      <c r="T266" s="236"/>
      <c r="U266" s="236"/>
      <c r="V266" s="779">
        <f t="shared" si="49"/>
        <v>0</v>
      </c>
      <c r="W266" s="795"/>
    </row>
    <row r="267" spans="1:23" ht="13.5" customHeight="1">
      <c r="A267" s="777" t="str">
        <f t="shared" si="50"/>
        <v/>
      </c>
      <c r="B267" s="789"/>
      <c r="C267" s="778">
        <f>IF(ISNA(VLOOKUP(B267,NXT!$Q$61:$S$81,2,0)),0,VLOOKUP(B267,NXT!$Q$61:$S$81,2,0))</f>
        <v>0</v>
      </c>
      <c r="D267" s="630">
        <f t="shared" si="43"/>
        <v>0</v>
      </c>
      <c r="E267" s="630"/>
      <c r="F267" s="630"/>
      <c r="G267" s="779">
        <f t="shared" si="44"/>
        <v>0</v>
      </c>
      <c r="H267" s="630">
        <f t="shared" si="45"/>
        <v>0</v>
      </c>
      <c r="I267" s="630">
        <f t="shared" si="46"/>
        <v>0</v>
      </c>
      <c r="J267" s="630">
        <f t="shared" si="46"/>
        <v>0</v>
      </c>
      <c r="K267" s="630">
        <f t="shared" si="46"/>
        <v>0</v>
      </c>
      <c r="L267" s="630"/>
      <c r="M267" s="630"/>
      <c r="N267" s="779">
        <f t="shared" si="47"/>
        <v>0</v>
      </c>
      <c r="O267" s="785"/>
      <c r="P267" s="630">
        <f t="shared" si="48"/>
        <v>0</v>
      </c>
      <c r="Q267" s="798"/>
      <c r="R267" s="786"/>
      <c r="S267" s="845"/>
      <c r="T267" s="236"/>
      <c r="U267" s="236"/>
      <c r="V267" s="779">
        <f t="shared" si="49"/>
        <v>0</v>
      </c>
      <c r="W267" s="795"/>
    </row>
    <row r="268" spans="1:23">
      <c r="A268" s="777" t="str">
        <f t="shared" si="50"/>
        <v/>
      </c>
      <c r="B268" s="789"/>
      <c r="C268" s="778">
        <f>IF(ISNA(VLOOKUP(B268,NXT!$Q$61:$S$81,2,0)),0,VLOOKUP(B268,NXT!$Q$61:$S$81,2,0))</f>
        <v>0</v>
      </c>
      <c r="D268" s="630">
        <f t="shared" si="43"/>
        <v>0</v>
      </c>
      <c r="E268" s="630"/>
      <c r="F268" s="630"/>
      <c r="G268" s="779">
        <f t="shared" si="44"/>
        <v>0</v>
      </c>
      <c r="H268" s="630">
        <f t="shared" si="45"/>
        <v>0</v>
      </c>
      <c r="I268" s="630">
        <f t="shared" si="46"/>
        <v>0</v>
      </c>
      <c r="J268" s="630">
        <f t="shared" si="46"/>
        <v>0</v>
      </c>
      <c r="K268" s="630">
        <f t="shared" si="46"/>
        <v>0</v>
      </c>
      <c r="L268" s="630"/>
      <c r="M268" s="630" t="e">
        <f>34560000/($O$68+#REF!+#REF!)*O268</f>
        <v>#REF!</v>
      </c>
      <c r="N268" s="779">
        <f t="shared" si="47"/>
        <v>0</v>
      </c>
      <c r="O268" s="785"/>
      <c r="P268" s="630">
        <f t="shared" si="48"/>
        <v>0</v>
      </c>
      <c r="Q268" s="798"/>
      <c r="R268" s="786"/>
      <c r="S268" s="845"/>
      <c r="T268" s="236"/>
      <c r="U268" s="787"/>
      <c r="V268" s="779">
        <f t="shared" si="49"/>
        <v>0</v>
      </c>
      <c r="W268" s="795"/>
    </row>
    <row r="269" spans="1:23">
      <c r="A269" s="777" t="str">
        <f t="shared" si="50"/>
        <v/>
      </c>
      <c r="B269" s="790"/>
      <c r="C269" s="791"/>
      <c r="D269" s="793"/>
      <c r="E269" s="793"/>
      <c r="F269" s="793"/>
      <c r="G269" s="794"/>
      <c r="H269" s="839"/>
      <c r="I269" s="793"/>
      <c r="J269" s="795"/>
      <c r="K269" s="793"/>
      <c r="L269" s="796"/>
      <c r="M269" s="793"/>
      <c r="N269" s="827"/>
      <c r="O269" s="797"/>
      <c r="P269" s="793"/>
      <c r="Q269" s="798"/>
      <c r="R269" s="786"/>
      <c r="S269" s="845"/>
      <c r="T269" s="236"/>
      <c r="U269" s="236"/>
      <c r="V269" s="779">
        <f t="shared" si="49"/>
        <v>0</v>
      </c>
      <c r="W269" s="795"/>
    </row>
    <row r="270" spans="1:23" s="799" customFormat="1">
      <c r="A270" s="800"/>
      <c r="B270" s="801" t="s">
        <v>550</v>
      </c>
      <c r="C270" s="802"/>
      <c r="D270" s="803">
        <f>SUM(D263:D268)</f>
        <v>0</v>
      </c>
      <c r="E270" s="803">
        <f>SUM(E263:E268)</f>
        <v>0</v>
      </c>
      <c r="F270" s="803"/>
      <c r="G270" s="803">
        <f>SUM(G263:G268)</f>
        <v>0</v>
      </c>
      <c r="H270" s="804"/>
      <c r="I270" s="804">
        <f>V274</f>
        <v>0</v>
      </c>
      <c r="J270" s="804"/>
      <c r="K270" s="804"/>
      <c r="L270" s="803">
        <f>ROUND(SUM(L263:L269),0)</f>
        <v>0</v>
      </c>
      <c r="M270" s="803" t="e">
        <f>ROUND(SUM(M263:M269),0)</f>
        <v>#REF!</v>
      </c>
      <c r="N270" s="803">
        <f>ROUND(SUM(N263:N269),0)</f>
        <v>0</v>
      </c>
      <c r="O270" s="803">
        <f>ROUND(SUM(O263:O269),0)</f>
        <v>0</v>
      </c>
      <c r="P270" s="803"/>
      <c r="Q270" s="798"/>
      <c r="R270" s="786"/>
      <c r="S270" s="782"/>
      <c r="T270" s="809"/>
      <c r="U270" s="787"/>
      <c r="V270" s="779">
        <f t="shared" si="49"/>
        <v>0</v>
      </c>
      <c r="W270" s="795"/>
    </row>
    <row r="271" spans="1:23" s="754" customFormat="1">
      <c r="A271" s="750"/>
      <c r="B271" s="750"/>
      <c r="C271" s="750"/>
      <c r="D271" s="750"/>
      <c r="E271" s="750"/>
      <c r="F271" s="750"/>
      <c r="G271" s="750"/>
      <c r="H271" s="750"/>
      <c r="I271" s="750"/>
      <c r="J271" s="750"/>
      <c r="K271" s="750"/>
      <c r="L271" s="750"/>
      <c r="M271" s="750"/>
      <c r="N271" s="750"/>
      <c r="O271" s="750"/>
      <c r="P271" s="750"/>
      <c r="Q271" s="798"/>
      <c r="R271" s="848"/>
      <c r="S271" s="782"/>
      <c r="T271" s="809"/>
      <c r="U271" s="787"/>
      <c r="V271" s="779">
        <f t="shared" si="49"/>
        <v>0</v>
      </c>
      <c r="W271" s="795"/>
    </row>
    <row r="272" spans="1:23">
      <c r="L272" s="758">
        <f>L270-V282</f>
        <v>0</v>
      </c>
      <c r="Q272" s="798"/>
      <c r="R272" s="520"/>
      <c r="S272" s="782"/>
      <c r="T272" s="236"/>
      <c r="U272" s="236"/>
      <c r="V272" s="779">
        <f t="shared" si="49"/>
        <v>0</v>
      </c>
      <c r="W272" s="795"/>
    </row>
    <row r="273" spans="7:23">
      <c r="Q273" s="798"/>
      <c r="R273" s="849"/>
      <c r="S273" s="782"/>
      <c r="T273" s="236"/>
      <c r="U273" s="236"/>
      <c r="V273" s="795"/>
      <c r="W273" s="795"/>
    </row>
    <row r="274" spans="7:23">
      <c r="Q274" s="798"/>
      <c r="R274" s="832"/>
      <c r="S274" s="833"/>
      <c r="T274" s="834"/>
      <c r="U274" s="850"/>
      <c r="V274" s="813">
        <f>SUM(V263:V273)</f>
        <v>0</v>
      </c>
      <c r="W274" s="813">
        <f>SUM(W263:W273)</f>
        <v>0</v>
      </c>
    </row>
    <row r="275" spans="7:23">
      <c r="R275" s="835"/>
      <c r="S275" s="845"/>
      <c r="T275" s="236"/>
      <c r="U275" s="236"/>
      <c r="V275" s="779">
        <f t="shared" ref="V275:V281" si="51">ROUND(T275*U275,0)</f>
        <v>0</v>
      </c>
      <c r="W275" s="779"/>
    </row>
    <row r="276" spans="7:23">
      <c r="R276" s="786"/>
      <c r="S276" s="845"/>
      <c r="T276" s="787"/>
      <c r="U276" s="236"/>
      <c r="V276" s="779">
        <f t="shared" si="51"/>
        <v>0</v>
      </c>
      <c r="W276" s="795"/>
    </row>
    <row r="277" spans="7:23">
      <c r="R277" s="786"/>
      <c r="S277" s="845"/>
      <c r="T277" s="787"/>
      <c r="U277" s="236"/>
      <c r="V277" s="779">
        <f t="shared" si="51"/>
        <v>0</v>
      </c>
      <c r="W277" s="795"/>
    </row>
    <row r="278" spans="7:23">
      <c r="R278" s="786"/>
      <c r="S278" s="845"/>
      <c r="T278" s="787"/>
      <c r="U278" s="787"/>
      <c r="V278" s="779">
        <f t="shared" si="51"/>
        <v>0</v>
      </c>
      <c r="W278" s="795"/>
    </row>
    <row r="279" spans="7:23">
      <c r="R279" s="786"/>
      <c r="S279" s="782"/>
      <c r="T279" s="787"/>
      <c r="U279" s="787"/>
      <c r="V279" s="779">
        <f t="shared" si="51"/>
        <v>0</v>
      </c>
      <c r="W279" s="795"/>
    </row>
    <row r="280" spans="7:23">
      <c r="R280" s="786"/>
      <c r="S280" s="782"/>
      <c r="T280" s="787"/>
      <c r="U280" s="787"/>
      <c r="V280" s="779">
        <f t="shared" si="51"/>
        <v>0</v>
      </c>
      <c r="W280" s="795"/>
    </row>
    <row r="281" spans="7:23">
      <c r="R281" s="809"/>
      <c r="S281" s="782"/>
      <c r="T281" s="787"/>
      <c r="U281" s="787"/>
      <c r="V281" s="779">
        <f t="shared" si="51"/>
        <v>0</v>
      </c>
      <c r="W281" s="795"/>
    </row>
    <row r="282" spans="7:23">
      <c r="R282" s="809"/>
      <c r="S282" s="782"/>
      <c r="T282" s="787"/>
      <c r="U282" s="787"/>
      <c r="V282" s="855">
        <f>SUM(V275:V281)</f>
        <v>0</v>
      </c>
      <c r="W282" s="795"/>
    </row>
    <row r="284" spans="7:23">
      <c r="G284" s="753"/>
      <c r="N284" s="753"/>
    </row>
    <row r="285" spans="7:23">
      <c r="G285" s="753"/>
      <c r="H285" s="753"/>
      <c r="I285" s="753"/>
      <c r="J285" s="753"/>
      <c r="K285" s="753"/>
      <c r="L285" s="753"/>
      <c r="M285" s="753"/>
      <c r="N285" s="753"/>
    </row>
    <row r="286" spans="7:23">
      <c r="G286" s="815"/>
      <c r="N286" s="815"/>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5" customWidth="1"/>
    <col min="2" max="2" width="15.7109375" style="1135" customWidth="1"/>
    <col min="3" max="3" width="16.85546875" style="1135" customWidth="1"/>
    <col min="4" max="8" width="15.28515625" style="1135" customWidth="1"/>
    <col min="9" max="9" width="10.140625" style="1135" customWidth="1"/>
    <col min="10" max="10" width="5.85546875" style="1135" customWidth="1"/>
    <col min="11" max="16384" width="10.28515625" style="1135"/>
  </cols>
  <sheetData>
    <row r="1" spans="1:10" s="857" customFormat="1" ht="15" customHeight="1">
      <c r="A1" s="1122" t="s">
        <v>317</v>
      </c>
      <c r="B1" s="1122"/>
      <c r="D1" s="858"/>
      <c r="E1" s="858"/>
      <c r="F1" s="1403" t="s">
        <v>562</v>
      </c>
      <c r="G1" s="1403"/>
      <c r="H1" s="1403"/>
      <c r="I1" s="859"/>
      <c r="J1" s="860"/>
    </row>
    <row r="2" spans="1:10" s="857" customFormat="1" ht="29.25" customHeight="1">
      <c r="A2" s="1122" t="s">
        <v>563</v>
      </c>
      <c r="B2" s="1122"/>
      <c r="D2" s="861"/>
      <c r="E2" s="861"/>
      <c r="F2" s="1404" t="s">
        <v>144</v>
      </c>
      <c r="G2" s="1404"/>
      <c r="H2" s="1404"/>
      <c r="I2" s="859"/>
      <c r="J2" s="720">
        <v>1</v>
      </c>
    </row>
    <row r="3" spans="1:10" s="857" customFormat="1" ht="15">
      <c r="A3" s="1123"/>
      <c r="B3" s="1124"/>
      <c r="C3" s="861"/>
      <c r="D3" s="861"/>
      <c r="E3" s="861"/>
      <c r="F3" s="1404"/>
      <c r="G3" s="1404"/>
      <c r="H3" s="1404"/>
      <c r="I3" s="859"/>
    </row>
    <row r="4" spans="1:10" s="1126" customFormat="1" ht="17.25" customHeight="1">
      <c r="A4" s="1405" t="s">
        <v>564</v>
      </c>
      <c r="B4" s="1405"/>
      <c r="C4" s="1405"/>
      <c r="D4" s="1405"/>
      <c r="E4" s="1405"/>
      <c r="F4" s="1405"/>
      <c r="G4" s="1405"/>
      <c r="H4" s="1405"/>
      <c r="I4" s="1125"/>
    </row>
    <row r="5" spans="1:10" s="1127" customFormat="1" ht="17.25" customHeight="1">
      <c r="B5" s="1128"/>
      <c r="C5" s="1129" t="s">
        <v>468</v>
      </c>
      <c r="D5" s="1128" t="str">
        <f>IF($J$2&lt;10,"0"&amp;$J$2&amp;"  năm 2016",$J$2&amp;"  năm 2016")</f>
        <v>01  năm 2016</v>
      </c>
      <c r="E5" s="1128"/>
      <c r="F5" s="1128"/>
      <c r="G5" s="1128"/>
      <c r="H5" s="1128"/>
      <c r="I5" s="1128"/>
    </row>
    <row r="6" spans="1:10" s="1127" customFormat="1" ht="17.25" customHeight="1">
      <c r="B6" s="1130"/>
      <c r="C6" s="1406" t="s">
        <v>565</v>
      </c>
      <c r="D6" s="1406"/>
      <c r="E6" s="1407" t="s">
        <v>453</v>
      </c>
      <c r="F6" s="1407"/>
      <c r="H6" s="1130"/>
      <c r="I6" s="1128"/>
    </row>
    <row r="7" spans="1:10" s="1132" customFormat="1" ht="9.75" customHeight="1">
      <c r="A7" s="1131"/>
      <c r="B7" s="1131"/>
      <c r="C7" s="1131"/>
      <c r="D7" s="1131"/>
      <c r="E7" s="1131"/>
      <c r="F7" s="1131"/>
      <c r="G7" s="1131"/>
      <c r="H7" s="1131"/>
      <c r="I7" s="1130"/>
    </row>
    <row r="8" spans="1:10" s="863" customFormat="1" ht="17.25" customHeight="1">
      <c r="A8" s="1408" t="s">
        <v>566</v>
      </c>
      <c r="B8" s="1409" t="s">
        <v>567</v>
      </c>
      <c r="C8" s="1409" t="s">
        <v>568</v>
      </c>
      <c r="D8" s="1409"/>
      <c r="E8" s="1409"/>
      <c r="F8" s="1409"/>
      <c r="G8" s="1409"/>
      <c r="H8" s="1409"/>
      <c r="I8" s="862"/>
    </row>
    <row r="9" spans="1:10" s="866" customFormat="1" ht="28.5">
      <c r="A9" s="1408"/>
      <c r="B9" s="1409"/>
      <c r="C9" s="864" t="s">
        <v>569</v>
      </c>
      <c r="D9" s="864" t="s">
        <v>570</v>
      </c>
      <c r="E9" s="864" t="s">
        <v>571</v>
      </c>
      <c r="F9" s="864" t="s">
        <v>572</v>
      </c>
      <c r="G9" s="864" t="s">
        <v>573</v>
      </c>
      <c r="H9" s="864" t="s">
        <v>574</v>
      </c>
      <c r="I9" s="865"/>
    </row>
    <row r="10" spans="1:10" s="869" customFormat="1" ht="15">
      <c r="A10" s="867" t="s">
        <v>2</v>
      </c>
      <c r="B10" s="868">
        <v>1</v>
      </c>
      <c r="C10" s="868">
        <v>2</v>
      </c>
      <c r="D10" s="868">
        <v>3</v>
      </c>
      <c r="E10" s="868">
        <v>4</v>
      </c>
      <c r="F10" s="868">
        <v>5</v>
      </c>
      <c r="G10" s="868">
        <v>6</v>
      </c>
      <c r="H10" s="868">
        <v>7</v>
      </c>
      <c r="I10" s="859"/>
    </row>
    <row r="11" spans="1:10" s="1127" customFormat="1" ht="24.75" customHeight="1">
      <c r="A11" s="1133" t="s">
        <v>575</v>
      </c>
      <c r="B11" s="1134">
        <f>ROUND(SUM(C11:H11),0)</f>
        <v>0</v>
      </c>
      <c r="C11" s="1134">
        <v>0</v>
      </c>
      <c r="D11" s="1134">
        <v>0</v>
      </c>
      <c r="E11" s="1134">
        <v>0</v>
      </c>
      <c r="F11" s="1134">
        <v>0</v>
      </c>
      <c r="G11" s="1134">
        <v>0</v>
      </c>
      <c r="H11" s="1134">
        <v>0</v>
      </c>
      <c r="I11" s="1128"/>
    </row>
    <row r="12" spans="1:10" s="1127" customFormat="1" ht="24.75" customHeight="1">
      <c r="A12" s="1133" t="s">
        <v>576</v>
      </c>
      <c r="B12" s="1134">
        <f ca="1">ROUND(SUM(C12:H12),0)</f>
        <v>2108273740</v>
      </c>
      <c r="C12" s="1134">
        <f ca="1">IF(ISNA(VLOOKUP($E6,INDIRECT("DSSP"&amp;$J$2),6,0)),0,VLOOKUP($E6,INDIRECT("DSSP"&amp;$J$2),6,0))</f>
        <v>1914000000</v>
      </c>
      <c r="D12" s="1134">
        <f ca="1">IF(ISNA(VLOOKUP($E6,INDIRECT("DSSP"&amp;$J$2),7,0)),0,VLOOKUP($E6,INDIRECT("DSSP"&amp;$J$2),7,0))</f>
        <v>76689004.104627773</v>
      </c>
      <c r="E12" s="1134">
        <f ca="1">IF(ISNA(VLOOKUP($E6,INDIRECT("DSSP"&amp;$J$2),8,0)),0,VLOOKUP($E6,INDIRECT("DSSP"&amp;$J$2),8,0))</f>
        <v>27934714.334004026</v>
      </c>
      <c r="F12" s="1134">
        <f ca="1">IF(ISNA(VLOOKUP($E6,INDIRECT("DSSP"&amp;$J$2),9,0)),0,VLOOKUP($E6,INDIRECT("DSSP"&amp;$J$2),9,0))</f>
        <v>44073604.828973837</v>
      </c>
      <c r="G12" s="1134">
        <f ca="1">IF(ISNA(VLOOKUP($E6,INDIRECT("DSSP"&amp;$J$2),10,0)),0,VLOOKUP($E6,INDIRECT("DSSP"&amp;$J$2),10,0))</f>
        <v>30351417.078470826</v>
      </c>
      <c r="H12" s="1134">
        <f ca="1">IF(ISNA(VLOOKUP($E6,INDIRECT("DSSP"&amp;$J$2),11,0)),0,VLOOKUP($E6,INDIRECT("DSSP"&amp;$J$2),11,0))</f>
        <v>15225000</v>
      </c>
      <c r="I12" s="1128"/>
    </row>
    <row r="13" spans="1:10" s="1127" customFormat="1" ht="24.75" customHeight="1">
      <c r="A13" s="1133" t="s">
        <v>577</v>
      </c>
      <c r="B13" s="1134">
        <f ca="1">ROUND(IF(ISNA(VLOOKUP($E6,INDIRECT("DSSP"&amp;$J$2),13,0)),0,VLOOKUP($E6,INDIRECT("DSSP"&amp;$J$2),13,0)),0)</f>
        <v>2108273740</v>
      </c>
      <c r="C13" s="1134">
        <f t="shared" ref="C13:H13" ca="1" si="0">C12</f>
        <v>1914000000</v>
      </c>
      <c r="D13" s="1134">
        <f t="shared" ca="1" si="0"/>
        <v>76689004.104627773</v>
      </c>
      <c r="E13" s="1134">
        <f t="shared" ca="1" si="0"/>
        <v>27934714.334004026</v>
      </c>
      <c r="F13" s="1134">
        <f t="shared" ca="1" si="0"/>
        <v>44073604.828973837</v>
      </c>
      <c r="G13" s="1134">
        <f t="shared" ca="1" si="0"/>
        <v>30351417.078470826</v>
      </c>
      <c r="H13" s="1134">
        <f t="shared" ca="1" si="0"/>
        <v>15225000</v>
      </c>
      <c r="I13" s="1128"/>
    </row>
    <row r="14" spans="1:10" s="1127" customFormat="1" ht="24.75" customHeight="1">
      <c r="A14" s="1133" t="s">
        <v>578</v>
      </c>
      <c r="B14" s="1134">
        <f ca="1">B12-B13</f>
        <v>0</v>
      </c>
      <c r="C14" s="1134">
        <f t="shared" ref="C14:H14" ca="1" si="1">C12-C13</f>
        <v>0</v>
      </c>
      <c r="D14" s="1134">
        <f t="shared" ca="1" si="1"/>
        <v>0</v>
      </c>
      <c r="E14" s="1134">
        <f t="shared" ca="1" si="1"/>
        <v>0</v>
      </c>
      <c r="F14" s="1134">
        <f t="shared" ca="1" si="1"/>
        <v>0</v>
      </c>
      <c r="G14" s="1134">
        <f t="shared" ca="1" si="1"/>
        <v>0</v>
      </c>
      <c r="H14" s="1134">
        <f t="shared" ca="1" si="1"/>
        <v>0</v>
      </c>
      <c r="I14" s="1128"/>
    </row>
    <row r="15" spans="1:10" s="1127" customFormat="1" ht="15">
      <c r="B15" s="1128"/>
      <c r="C15" s="1128"/>
      <c r="D15" s="1128"/>
      <c r="E15" s="1128"/>
      <c r="F15" s="1128"/>
      <c r="G15" s="1128"/>
      <c r="H15" s="1128"/>
      <c r="I15" s="1128"/>
    </row>
    <row r="16" spans="1:10" s="1127" customFormat="1" ht="15">
      <c r="B16" s="1128"/>
      <c r="C16" s="1128"/>
      <c r="D16" s="1128"/>
      <c r="E16" s="1402" t="str">
        <f xml:space="preserve"> IF(OR($J$2=1,$J$2=4,$J$2=6,$J$2=9,$J$2=11),"Ngày  30  tháng  "&amp;$J$2&amp;"  năm 2016",IF(OR($J$2=3,$J$2=5,$J$2=7,$J$2=8,$J$2=10,$J$2=12),"Ngày  31  tháng  "&amp;$J$2&amp;"  năm 2016","Ngày  29  tháng  "&amp;$J$2&amp;"  năm 2016"))</f>
        <v>Ngày  30  tháng  1  năm 2016</v>
      </c>
      <c r="F16" s="1402"/>
      <c r="G16" s="1402"/>
      <c r="H16" s="1402"/>
      <c r="I16" s="1128"/>
    </row>
    <row r="17" spans="2:9" s="1127" customFormat="1" ht="15">
      <c r="B17" s="869" t="s">
        <v>579</v>
      </c>
      <c r="C17" s="1128"/>
      <c r="D17" s="1128"/>
      <c r="E17" s="1402" t="s">
        <v>12</v>
      </c>
      <c r="F17" s="1402"/>
      <c r="G17" s="1402"/>
      <c r="H17" s="1402"/>
      <c r="I17" s="1128"/>
    </row>
    <row r="19" spans="2:9" ht="15">
      <c r="E19" s="1136"/>
    </row>
    <row r="26" spans="2:9">
      <c r="B26" s="1106"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6" customWidth="1"/>
    <col min="2" max="2" width="9.140625" style="1026" customWidth="1"/>
    <col min="3" max="3" width="9" style="1027" customWidth="1"/>
    <col min="4" max="4" width="28.140625" style="1026" customWidth="1"/>
    <col min="5" max="5" width="9.140625" style="1026" customWidth="1"/>
    <col min="6" max="6" width="9.28515625" style="1027" customWidth="1"/>
    <col min="7" max="7" width="9" style="1026" customWidth="1"/>
    <col min="8" max="8" width="14.5703125" style="1026" customWidth="1"/>
    <col min="9" max="9" width="6" style="1026" customWidth="1"/>
    <col min="10" max="10" width="14.140625" style="1026" customWidth="1"/>
    <col min="11" max="11" width="14.85546875" style="1028" customWidth="1"/>
    <col min="12" max="12" width="14.42578125" style="1026" customWidth="1"/>
    <col min="13" max="13" width="5.85546875" style="1026" customWidth="1"/>
    <col min="14" max="14" width="7.42578125" style="1026" customWidth="1"/>
    <col min="15" max="15" width="11.7109375" style="1026" customWidth="1"/>
    <col min="16" max="16" width="4.5703125" style="1107" customWidth="1"/>
    <col min="17" max="17" width="12.85546875" style="1026" bestFit="1" customWidth="1"/>
    <col min="18" max="16384" width="9.140625" style="1026"/>
  </cols>
  <sheetData>
    <row r="1" spans="1:17" ht="15" customHeight="1">
      <c r="A1" s="1025" t="s">
        <v>1240</v>
      </c>
      <c r="M1" s="1029"/>
      <c r="N1" s="1030" t="s">
        <v>1241</v>
      </c>
      <c r="O1" s="1029"/>
    </row>
    <row r="2" spans="1:17" ht="15" customHeight="1">
      <c r="A2" s="1025" t="s">
        <v>1242</v>
      </c>
      <c r="L2" s="1028"/>
      <c r="M2" s="1028"/>
      <c r="N2" s="1031" t="s">
        <v>320</v>
      </c>
      <c r="O2" s="1028"/>
    </row>
    <row r="3" spans="1:17" ht="15" customHeight="1">
      <c r="L3" s="1028"/>
      <c r="M3" s="1028"/>
      <c r="N3" s="1031" t="s">
        <v>238</v>
      </c>
      <c r="O3" s="1028"/>
    </row>
    <row r="5" spans="1:17" s="1032" customFormat="1" ht="24" customHeight="1">
      <c r="A5" s="1419" t="s">
        <v>1243</v>
      </c>
      <c r="B5" s="1419"/>
      <c r="C5" s="1419"/>
      <c r="D5" s="1419"/>
      <c r="E5" s="1419"/>
      <c r="F5" s="1419"/>
      <c r="G5" s="1419"/>
      <c r="H5" s="1419"/>
      <c r="I5" s="1419"/>
      <c r="J5" s="1419"/>
      <c r="K5" s="1419"/>
      <c r="L5" s="1419"/>
      <c r="M5" s="1419"/>
      <c r="N5" s="1419"/>
      <c r="O5" s="1419"/>
      <c r="P5" s="1108"/>
    </row>
    <row r="6" spans="1:17" s="1032" customFormat="1" ht="21" customHeight="1">
      <c r="A6" s="1420" t="s">
        <v>1300</v>
      </c>
      <c r="B6" s="1420"/>
      <c r="C6" s="1420"/>
      <c r="D6" s="1420"/>
      <c r="E6" s="1420"/>
      <c r="F6" s="1420"/>
      <c r="G6" s="1420"/>
      <c r="H6" s="1420"/>
      <c r="I6" s="1420"/>
      <c r="J6" s="1420"/>
      <c r="K6" s="1420"/>
      <c r="L6" s="1420"/>
      <c r="M6" s="1420"/>
      <c r="N6" s="1420"/>
      <c r="O6" s="1420"/>
      <c r="P6" s="1108"/>
    </row>
    <row r="7" spans="1:17" s="1032" customFormat="1" ht="21" customHeight="1">
      <c r="A7" s="1421" t="s">
        <v>1308</v>
      </c>
      <c r="B7" s="1421"/>
      <c r="C7" s="1421"/>
      <c r="D7" s="1421"/>
      <c r="E7" s="1421"/>
      <c r="F7" s="1421"/>
      <c r="G7" s="1421"/>
      <c r="H7" s="1421"/>
      <c r="I7" s="1421"/>
      <c r="J7" s="1421"/>
      <c r="K7" s="1421"/>
      <c r="L7" s="1421"/>
      <c r="M7" s="1421"/>
      <c r="N7" s="1421"/>
      <c r="O7" s="1421"/>
      <c r="P7" s="1108"/>
    </row>
    <row r="8" spans="1:17">
      <c r="D8" s="1027"/>
    </row>
    <row r="9" spans="1:17" s="1033" customFormat="1" ht="24" customHeight="1">
      <c r="A9" s="1410" t="s">
        <v>501</v>
      </c>
      <c r="B9" s="1413" t="s">
        <v>1244</v>
      </c>
      <c r="C9" s="1414"/>
      <c r="D9" s="1414"/>
      <c r="E9" s="1414"/>
      <c r="F9" s="1414"/>
      <c r="G9" s="1414"/>
      <c r="H9" s="1415"/>
      <c r="I9" s="1413" t="s">
        <v>1245</v>
      </c>
      <c r="J9" s="1414"/>
      <c r="K9" s="1414"/>
      <c r="L9" s="1415"/>
      <c r="M9" s="1416" t="s">
        <v>1246</v>
      </c>
      <c r="N9" s="1416"/>
      <c r="O9" s="1416"/>
      <c r="P9" s="1109"/>
    </row>
    <row r="10" spans="1:17" s="1033" customFormat="1" ht="24" customHeight="1">
      <c r="A10" s="1411"/>
      <c r="B10" s="1413" t="s">
        <v>1247</v>
      </c>
      <c r="C10" s="1415"/>
      <c r="D10" s="1410" t="s">
        <v>1248</v>
      </c>
      <c r="E10" s="1410" t="s">
        <v>1249</v>
      </c>
      <c r="F10" s="1410" t="s">
        <v>1250</v>
      </c>
      <c r="G10" s="1410" t="s">
        <v>1251</v>
      </c>
      <c r="H10" s="1410" t="s">
        <v>1252</v>
      </c>
      <c r="I10" s="1413" t="s">
        <v>1253</v>
      </c>
      <c r="J10" s="1415"/>
      <c r="K10" s="1417" t="s">
        <v>1254</v>
      </c>
      <c r="L10" s="1410" t="s">
        <v>1255</v>
      </c>
      <c r="M10" s="1416" t="s">
        <v>1247</v>
      </c>
      <c r="N10" s="1416"/>
      <c r="O10" s="1416" t="s">
        <v>1256</v>
      </c>
      <c r="P10" s="1109"/>
    </row>
    <row r="11" spans="1:17" s="1033" customFormat="1" ht="55.5" customHeight="1">
      <c r="A11" s="1412"/>
      <c r="B11" s="1034" t="s">
        <v>1257</v>
      </c>
      <c r="C11" s="1034" t="s">
        <v>502</v>
      </c>
      <c r="D11" s="1412"/>
      <c r="E11" s="1412"/>
      <c r="F11" s="1412"/>
      <c r="G11" s="1412"/>
      <c r="H11" s="1412"/>
      <c r="I11" s="1034" t="s">
        <v>1258</v>
      </c>
      <c r="J11" s="1034" t="s">
        <v>1259</v>
      </c>
      <c r="K11" s="1418"/>
      <c r="L11" s="1412"/>
      <c r="M11" s="1034" t="s">
        <v>17</v>
      </c>
      <c r="N11" s="1034" t="s">
        <v>502</v>
      </c>
      <c r="O11" s="1416"/>
      <c r="P11" s="1109"/>
    </row>
    <row r="12" spans="1:17" s="1037" customFormat="1" ht="13.5">
      <c r="A12" s="1035" t="s">
        <v>2</v>
      </c>
      <c r="B12" s="1035" t="s">
        <v>3</v>
      </c>
      <c r="C12" s="1035" t="s">
        <v>4</v>
      </c>
      <c r="D12" s="1035" t="s">
        <v>5</v>
      </c>
      <c r="E12" s="1035" t="s">
        <v>6</v>
      </c>
      <c r="F12" s="1035" t="s">
        <v>156</v>
      </c>
      <c r="G12" s="1035" t="s">
        <v>1260</v>
      </c>
      <c r="H12" s="1035">
        <v>1</v>
      </c>
      <c r="I12" s="1035">
        <v>2</v>
      </c>
      <c r="J12" s="1035">
        <v>3</v>
      </c>
      <c r="K12" s="1036"/>
      <c r="L12" s="1035">
        <v>4</v>
      </c>
      <c r="M12" s="1035" t="s">
        <v>1261</v>
      </c>
      <c r="N12" s="1035" t="s">
        <v>1262</v>
      </c>
      <c r="O12" s="1035" t="s">
        <v>1263</v>
      </c>
      <c r="P12" s="1110"/>
    </row>
    <row r="13" spans="1:17" s="1037" customFormat="1" ht="21.75" customHeight="1">
      <c r="A13" s="1065" t="s">
        <v>1261</v>
      </c>
      <c r="B13" s="1066" t="s">
        <v>1303</v>
      </c>
      <c r="C13" s="1065"/>
      <c r="D13" s="1065"/>
      <c r="E13" s="1065"/>
      <c r="F13" s="1065"/>
      <c r="G13" s="1065"/>
      <c r="H13" s="1072"/>
      <c r="I13" s="1072"/>
      <c r="J13" s="1072"/>
      <c r="K13" s="1072"/>
      <c r="L13" s="1072"/>
      <c r="M13" s="1065"/>
      <c r="N13" s="1065"/>
      <c r="O13" s="1065"/>
      <c r="P13" s="1110" t="str">
        <f>IF(D13='THE-TS'!$D$11,"x","")</f>
        <v/>
      </c>
    </row>
    <row r="14" spans="1:17" ht="21.75" customHeight="1">
      <c r="A14" s="1064">
        <v>1</v>
      </c>
      <c r="B14" s="1077" t="s">
        <v>1310</v>
      </c>
      <c r="C14" s="1039">
        <v>40543</v>
      </c>
      <c r="D14" s="351" t="s">
        <v>1264</v>
      </c>
      <c r="E14" s="786" t="s">
        <v>1265</v>
      </c>
      <c r="F14" s="1079" t="s">
        <v>1338</v>
      </c>
      <c r="G14" s="1112" t="str">
        <f>RIGHT(B14,5)</f>
        <v>03/10</v>
      </c>
      <c r="H14" s="449">
        <v>1101349856</v>
      </c>
      <c r="I14" s="449">
        <v>25</v>
      </c>
      <c r="J14" s="8">
        <f>ROUND(H14/I14,0)+10</f>
        <v>44054004</v>
      </c>
      <c r="K14" s="8">
        <v>220269960</v>
      </c>
      <c r="L14" s="8">
        <f>K14+J14</f>
        <v>264323964</v>
      </c>
      <c r="M14" s="786"/>
      <c r="N14" s="786"/>
      <c r="O14" s="234"/>
      <c r="P14" s="1110" t="str">
        <f>IF(D14='THE-TS'!$D$11,"x","")</f>
        <v/>
      </c>
      <c r="Q14" s="1102">
        <f>J14/12</f>
        <v>3671167</v>
      </c>
    </row>
    <row r="15" spans="1:17" ht="21.75" customHeight="1">
      <c r="A15" s="1064">
        <v>2</v>
      </c>
      <c r="B15" s="1077" t="s">
        <v>1311</v>
      </c>
      <c r="C15" s="1039">
        <v>40543</v>
      </c>
      <c r="D15" s="351" t="s">
        <v>1266</v>
      </c>
      <c r="E15" s="786" t="s">
        <v>1265</v>
      </c>
      <c r="F15" s="1079" t="s">
        <v>1338</v>
      </c>
      <c r="G15" s="1112" t="str">
        <f t="shared" ref="G15:G32" si="0">RIGHT(B15,5)</f>
        <v>04/10</v>
      </c>
      <c r="H15" s="449">
        <v>1712810212</v>
      </c>
      <c r="I15" s="449">
        <v>5</v>
      </c>
      <c r="J15" s="8"/>
      <c r="K15" s="8">
        <v>1712810212</v>
      </c>
      <c r="L15" s="8">
        <f t="shared" ref="L15:L32" si="1">K15+J15</f>
        <v>1712810212</v>
      </c>
      <c r="M15" s="1060"/>
      <c r="N15" s="786"/>
      <c r="O15" s="234"/>
      <c r="P15" s="1110" t="str">
        <f>IF(D15='THE-TS'!$D$11,"x","")</f>
        <v/>
      </c>
      <c r="Q15" s="1102">
        <f>SUM(J15:J33)/12</f>
        <v>47128135.75</v>
      </c>
    </row>
    <row r="16" spans="1:17" ht="21.75" customHeight="1">
      <c r="A16" s="1064">
        <v>3</v>
      </c>
      <c r="B16" s="1077" t="s">
        <v>1312</v>
      </c>
      <c r="C16" s="1039">
        <v>40543</v>
      </c>
      <c r="D16" s="351" t="s">
        <v>1267</v>
      </c>
      <c r="E16" s="786" t="s">
        <v>1265</v>
      </c>
      <c r="F16" s="1079" t="s">
        <v>1338</v>
      </c>
      <c r="G16" s="1112" t="str">
        <f t="shared" si="0"/>
        <v>05/10</v>
      </c>
      <c r="H16" s="449">
        <v>4567613580</v>
      </c>
      <c r="I16" s="449">
        <v>25</v>
      </c>
      <c r="J16" s="8">
        <f>ROUND(H16/I16,0)-25</f>
        <v>182704518</v>
      </c>
      <c r="K16" s="8">
        <v>913522740</v>
      </c>
      <c r="L16" s="8">
        <f t="shared" si="1"/>
        <v>1096227258</v>
      </c>
      <c r="M16" s="786"/>
      <c r="N16" s="786"/>
      <c r="O16" s="234"/>
      <c r="P16" s="1110" t="str">
        <f>IF(D16='THE-TS'!$D$11,"x","")</f>
        <v/>
      </c>
      <c r="Q16" s="1102"/>
    </row>
    <row r="17" spans="1:17" ht="21.75" customHeight="1">
      <c r="A17" s="1064">
        <v>4</v>
      </c>
      <c r="B17" s="1078" t="s">
        <v>1313</v>
      </c>
      <c r="C17" s="1039">
        <v>41425</v>
      </c>
      <c r="D17" s="351" t="s">
        <v>1268</v>
      </c>
      <c r="E17" s="786" t="s">
        <v>1265</v>
      </c>
      <c r="F17" s="1079" t="s">
        <v>1328</v>
      </c>
      <c r="G17" s="1112" t="str">
        <f t="shared" si="0"/>
        <v>01/13</v>
      </c>
      <c r="H17" s="449">
        <v>108970000</v>
      </c>
      <c r="I17" s="1073">
        <v>5</v>
      </c>
      <c r="J17" s="8">
        <f>ROUND(H17/I17,0)-10</f>
        <v>21793990</v>
      </c>
      <c r="K17" s="8">
        <v>56301177</v>
      </c>
      <c r="L17" s="8">
        <f t="shared" si="1"/>
        <v>78095167</v>
      </c>
      <c r="M17" s="786"/>
      <c r="N17" s="786"/>
      <c r="O17" s="234"/>
      <c r="P17" s="1110" t="str">
        <f>IF(D17='THE-TS'!$D$11,"x","")</f>
        <v/>
      </c>
      <c r="Q17" s="1102"/>
    </row>
    <row r="18" spans="1:17" s="1037" customFormat="1" ht="21.75" customHeight="1">
      <c r="A18" s="1063" t="s">
        <v>1304</v>
      </c>
      <c r="B18" s="1067" t="s">
        <v>1305</v>
      </c>
      <c r="C18" s="1063"/>
      <c r="D18" s="1063"/>
      <c r="E18" s="1063"/>
      <c r="F18" s="1063"/>
      <c r="G18" s="1112"/>
      <c r="H18" s="1074"/>
      <c r="I18" s="1074"/>
      <c r="J18" s="1074"/>
      <c r="K18" s="1074"/>
      <c r="L18" s="8"/>
      <c r="M18" s="1063"/>
      <c r="N18" s="1063"/>
      <c r="O18" s="234"/>
      <c r="P18" s="1110" t="str">
        <f>IF(D18='THE-TS'!$D$11,"x","")</f>
        <v/>
      </c>
      <c r="Q18" s="1102"/>
    </row>
    <row r="19" spans="1:17" ht="21.75" customHeight="1">
      <c r="A19" s="1064">
        <v>1</v>
      </c>
      <c r="B19" s="1079" t="s">
        <v>1317</v>
      </c>
      <c r="C19" s="1039">
        <v>40543</v>
      </c>
      <c r="D19" s="351" t="s">
        <v>1272</v>
      </c>
      <c r="E19" s="786"/>
      <c r="F19" s="1079" t="s">
        <v>1338</v>
      </c>
      <c r="G19" s="1112" t="str">
        <f t="shared" si="0"/>
        <v>02/10</v>
      </c>
      <c r="H19" s="449">
        <v>210000000</v>
      </c>
      <c r="I19" s="449">
        <v>5</v>
      </c>
      <c r="J19" s="8"/>
      <c r="K19" s="8">
        <v>210000000</v>
      </c>
      <c r="L19" s="8">
        <f t="shared" si="1"/>
        <v>210000000</v>
      </c>
      <c r="M19" s="1060"/>
      <c r="N19" s="786"/>
      <c r="O19" s="234"/>
      <c r="P19" s="1110" t="str">
        <f>IF(D19='THE-TS'!$D$11,"x","")</f>
        <v/>
      </c>
      <c r="Q19" s="1102"/>
    </row>
    <row r="20" spans="1:17" ht="21.75" customHeight="1">
      <c r="A20" s="1064">
        <v>2</v>
      </c>
      <c r="B20" s="1077" t="s">
        <v>1318</v>
      </c>
      <c r="C20" s="1039">
        <v>40543</v>
      </c>
      <c r="D20" s="351" t="s">
        <v>1273</v>
      </c>
      <c r="E20" s="786" t="s">
        <v>1265</v>
      </c>
      <c r="F20" s="1079" t="s">
        <v>1338</v>
      </c>
      <c r="G20" s="1112" t="str">
        <f t="shared" si="0"/>
        <v>06/10</v>
      </c>
      <c r="H20" s="449">
        <v>2787898863</v>
      </c>
      <c r="I20" s="449">
        <v>5</v>
      </c>
      <c r="J20" s="8"/>
      <c r="K20" s="8">
        <v>2787898863</v>
      </c>
      <c r="L20" s="8">
        <f t="shared" si="1"/>
        <v>2787898863</v>
      </c>
      <c r="M20" s="1060"/>
      <c r="N20" s="786"/>
      <c r="O20" s="234"/>
      <c r="P20" s="1110" t="str">
        <f>IF(D20='THE-TS'!$D$11,"x","")</f>
        <v/>
      </c>
      <c r="Q20" s="1102"/>
    </row>
    <row r="21" spans="1:17" ht="21.75" customHeight="1">
      <c r="A21" s="1064">
        <v>3</v>
      </c>
      <c r="B21" s="1077" t="s">
        <v>1319</v>
      </c>
      <c r="C21" s="1039">
        <v>41883</v>
      </c>
      <c r="D21" s="351" t="s">
        <v>1274</v>
      </c>
      <c r="E21" s="786"/>
      <c r="F21" s="1079" t="s">
        <v>1329</v>
      </c>
      <c r="G21" s="1112" t="str">
        <f t="shared" si="0"/>
        <v>12/14</v>
      </c>
      <c r="H21" s="449">
        <v>150000000</v>
      </c>
      <c r="I21" s="1073">
        <v>3</v>
      </c>
      <c r="J21" s="8">
        <f>ROUND(H21/I21,0)-5</f>
        <v>49999995</v>
      </c>
      <c r="K21" s="8">
        <v>62500005</v>
      </c>
      <c r="L21" s="8">
        <f t="shared" si="1"/>
        <v>112500000</v>
      </c>
      <c r="M21" s="1060"/>
      <c r="N21" s="234"/>
      <c r="O21" s="234"/>
      <c r="P21" s="1110" t="str">
        <f>IF(D21='THE-TS'!$D$11,"x","")</f>
        <v/>
      </c>
      <c r="Q21" s="1102"/>
    </row>
    <row r="22" spans="1:17" ht="21.75" customHeight="1">
      <c r="A22" s="1064">
        <v>4</v>
      </c>
      <c r="B22" s="1077" t="s">
        <v>1320</v>
      </c>
      <c r="C22" s="1039">
        <v>41883</v>
      </c>
      <c r="D22" s="351" t="s">
        <v>1275</v>
      </c>
      <c r="E22" s="786"/>
      <c r="F22" s="1079" t="s">
        <v>1329</v>
      </c>
      <c r="G22" s="1112" t="str">
        <f t="shared" si="0"/>
        <v>13/14</v>
      </c>
      <c r="H22" s="449">
        <v>80000000</v>
      </c>
      <c r="I22" s="1073">
        <v>3</v>
      </c>
      <c r="J22" s="8">
        <f>ROUND(H22/I22,0)+4</f>
        <v>26666671</v>
      </c>
      <c r="K22" s="8">
        <v>33333330</v>
      </c>
      <c r="L22" s="8">
        <f t="shared" si="1"/>
        <v>60000001</v>
      </c>
      <c r="M22" s="1060"/>
      <c r="N22" s="786"/>
      <c r="O22" s="234"/>
      <c r="P22" s="1110" t="str">
        <f>IF(D22='THE-TS'!$D$11,"x","")</f>
        <v/>
      </c>
      <c r="Q22" s="1102"/>
    </row>
    <row r="23" spans="1:17" ht="21.75" customHeight="1">
      <c r="A23" s="1064">
        <v>5</v>
      </c>
      <c r="B23" s="1077" t="s">
        <v>1321</v>
      </c>
      <c r="C23" s="1039">
        <v>41890</v>
      </c>
      <c r="D23" s="351" t="s">
        <v>1276</v>
      </c>
      <c r="E23" s="786"/>
      <c r="F23" s="1079" t="s">
        <v>1329</v>
      </c>
      <c r="G23" s="1112" t="str">
        <f t="shared" si="0"/>
        <v>14/14</v>
      </c>
      <c r="H23" s="449">
        <v>50000000</v>
      </c>
      <c r="I23" s="1073">
        <v>3</v>
      </c>
      <c r="J23" s="8">
        <f>ROUND(H23/I23,0)-1</f>
        <v>16666666</v>
      </c>
      <c r="K23" s="8">
        <v>20833335</v>
      </c>
      <c r="L23" s="8">
        <f t="shared" si="1"/>
        <v>37500001</v>
      </c>
      <c r="M23" s="1060"/>
      <c r="N23" s="786"/>
      <c r="O23" s="234"/>
      <c r="P23" s="1110" t="str">
        <f>IF(D23='THE-TS'!$D$11,"x","")</f>
        <v/>
      </c>
      <c r="Q23" s="1102"/>
    </row>
    <row r="24" spans="1:17" ht="21.75" customHeight="1">
      <c r="A24" s="1064">
        <v>6</v>
      </c>
      <c r="B24" s="1077" t="s">
        <v>1322</v>
      </c>
      <c r="C24" s="1039">
        <v>41890</v>
      </c>
      <c r="D24" s="351" t="s">
        <v>1277</v>
      </c>
      <c r="E24" s="786"/>
      <c r="F24" s="1079" t="s">
        <v>1329</v>
      </c>
      <c r="G24" s="1112" t="str">
        <f t="shared" si="0"/>
        <v>15/14</v>
      </c>
      <c r="H24" s="449">
        <v>100000000</v>
      </c>
      <c r="I24" s="1073">
        <v>5</v>
      </c>
      <c r="J24" s="8">
        <f>ROUND(H24/I24,0)-5</f>
        <v>19999995</v>
      </c>
      <c r="K24" s="8">
        <v>25000005</v>
      </c>
      <c r="L24" s="8">
        <f t="shared" si="1"/>
        <v>45000000</v>
      </c>
      <c r="M24" s="1060"/>
      <c r="N24" s="786"/>
      <c r="O24" s="234"/>
      <c r="P24" s="1110" t="str">
        <f>IF(D24='THE-TS'!$D$11,"x","")</f>
        <v/>
      </c>
      <c r="Q24" s="1102"/>
    </row>
    <row r="25" spans="1:17" ht="21.75" customHeight="1">
      <c r="A25" s="1064">
        <v>7</v>
      </c>
      <c r="B25" s="1077" t="s">
        <v>1323</v>
      </c>
      <c r="C25" s="1039">
        <v>41890</v>
      </c>
      <c r="D25" s="351" t="s">
        <v>1278</v>
      </c>
      <c r="E25" s="786"/>
      <c r="F25" s="1079" t="s">
        <v>1329</v>
      </c>
      <c r="G25" s="1112" t="str">
        <f t="shared" si="0"/>
        <v>16/14</v>
      </c>
      <c r="H25" s="449">
        <v>100000000</v>
      </c>
      <c r="I25" s="1073">
        <v>5</v>
      </c>
      <c r="J25" s="8">
        <f>ROUND(H25/I25,0)-5</f>
        <v>19999995</v>
      </c>
      <c r="K25" s="8">
        <v>25000005</v>
      </c>
      <c r="L25" s="8">
        <f t="shared" si="1"/>
        <v>45000000</v>
      </c>
      <c r="M25" s="1060"/>
      <c r="N25" s="786"/>
      <c r="O25" s="234"/>
      <c r="P25" s="1110" t="str">
        <f>IF(D25='THE-TS'!$D$11,"x","")</f>
        <v>x</v>
      </c>
      <c r="Q25" s="1102"/>
    </row>
    <row r="26" spans="1:17" ht="21.75" customHeight="1">
      <c r="A26" s="1064">
        <v>8</v>
      </c>
      <c r="B26" s="1077" t="s">
        <v>1324</v>
      </c>
      <c r="C26" s="1039">
        <v>41890</v>
      </c>
      <c r="D26" s="351" t="s">
        <v>1279</v>
      </c>
      <c r="E26" s="786"/>
      <c r="F26" s="1079" t="s">
        <v>1329</v>
      </c>
      <c r="G26" s="1112" t="str">
        <f t="shared" si="0"/>
        <v>17/14</v>
      </c>
      <c r="H26" s="449">
        <v>110000000</v>
      </c>
      <c r="I26" s="1073">
        <v>5</v>
      </c>
      <c r="J26" s="8">
        <f>ROUND(H26/I26,0)+5</f>
        <v>22000005</v>
      </c>
      <c r="K26" s="8">
        <f>27499995</f>
        <v>27499995</v>
      </c>
      <c r="L26" s="8">
        <f t="shared" si="1"/>
        <v>49500000</v>
      </c>
      <c r="M26" s="1060"/>
      <c r="N26" s="786"/>
      <c r="O26" s="234"/>
      <c r="P26" s="1110" t="str">
        <f>IF(D26='THE-TS'!$D$11,"x","")</f>
        <v/>
      </c>
      <c r="Q26" s="1102"/>
    </row>
    <row r="27" spans="1:17" ht="21.75" customHeight="1">
      <c r="A27" s="1064">
        <v>8</v>
      </c>
      <c r="B27" s="1077" t="s">
        <v>1324</v>
      </c>
      <c r="C27" s="1039">
        <v>41890</v>
      </c>
      <c r="D27" s="351" t="s">
        <v>1279</v>
      </c>
      <c r="E27" s="786"/>
      <c r="F27" s="1079" t="s">
        <v>1329</v>
      </c>
      <c r="G27" s="1112" t="str">
        <f>RIGHT(B27,5)</f>
        <v>17/14</v>
      </c>
      <c r="H27" s="449">
        <v>110000000</v>
      </c>
      <c r="I27" s="1073">
        <v>5</v>
      </c>
      <c r="J27" s="8">
        <f>ROUND(H27/I27,0)+5</f>
        <v>22000005</v>
      </c>
      <c r="K27" s="8">
        <f>27499995</f>
        <v>27499995</v>
      </c>
      <c r="L27" s="8">
        <f>K27+J27</f>
        <v>49500000</v>
      </c>
      <c r="M27" s="1060"/>
      <c r="N27" s="786"/>
      <c r="O27" s="234"/>
      <c r="P27" s="1110" t="str">
        <f>IF(D27='THE-TS'!$D$11,"x","")</f>
        <v/>
      </c>
      <c r="Q27" s="1102"/>
    </row>
    <row r="28" spans="1:17" ht="21.75" customHeight="1">
      <c r="A28" s="1064">
        <v>8</v>
      </c>
      <c r="B28" s="1077" t="s">
        <v>1324</v>
      </c>
      <c r="C28" s="1039">
        <v>41890</v>
      </c>
      <c r="D28" s="351" t="s">
        <v>1279</v>
      </c>
      <c r="E28" s="786"/>
      <c r="F28" s="1079" t="s">
        <v>1329</v>
      </c>
      <c r="G28" s="1112" t="str">
        <f t="shared" si="0"/>
        <v>17/14</v>
      </c>
      <c r="H28" s="449">
        <v>110000000</v>
      </c>
      <c r="I28" s="1073">
        <v>5</v>
      </c>
      <c r="J28" s="8">
        <f>ROUND(H28/I28,0)+5</f>
        <v>22000005</v>
      </c>
      <c r="K28" s="8">
        <f>27499995</f>
        <v>27499995</v>
      </c>
      <c r="L28" s="8">
        <f t="shared" si="1"/>
        <v>49500000</v>
      </c>
      <c r="M28" s="1060"/>
      <c r="N28" s="786"/>
      <c r="O28" s="234"/>
      <c r="P28" s="1110" t="str">
        <f>IF(D28='THE-TS'!$D$11,"x","")</f>
        <v/>
      </c>
      <c r="Q28" s="1102"/>
    </row>
    <row r="29" spans="1:17" s="1037" customFormat="1" ht="21.75" customHeight="1">
      <c r="A29" s="1063" t="s">
        <v>1306</v>
      </c>
      <c r="B29" s="1067" t="s">
        <v>1307</v>
      </c>
      <c r="C29" s="1063"/>
      <c r="D29" s="1063"/>
      <c r="E29" s="1063"/>
      <c r="F29" s="1063"/>
      <c r="G29" s="1112"/>
      <c r="H29" s="1074"/>
      <c r="I29" s="1074"/>
      <c r="J29" s="8"/>
      <c r="K29" s="1074"/>
      <c r="L29" s="8"/>
      <c r="M29" s="1063"/>
      <c r="N29" s="1063"/>
      <c r="O29" s="234"/>
      <c r="P29" s="1110" t="str">
        <f>IF(D29='THE-TS'!$D$11,"x","")</f>
        <v/>
      </c>
      <c r="Q29" s="1102"/>
    </row>
    <row r="30" spans="1:17" ht="21.75" customHeight="1">
      <c r="A30" s="1064">
        <v>1</v>
      </c>
      <c r="B30" s="1079" t="s">
        <v>1314</v>
      </c>
      <c r="C30" s="1039">
        <v>40543</v>
      </c>
      <c r="D30" s="351" t="s">
        <v>1280</v>
      </c>
      <c r="E30" s="786" t="s">
        <v>1265</v>
      </c>
      <c r="F30" s="1079" t="s">
        <v>1338</v>
      </c>
      <c r="G30" s="1112" t="str">
        <f t="shared" si="0"/>
        <v>07/10</v>
      </c>
      <c r="H30" s="449">
        <v>2173860839</v>
      </c>
      <c r="I30" s="449">
        <v>5</v>
      </c>
      <c r="J30" s="8"/>
      <c r="K30" s="8">
        <v>2173860839</v>
      </c>
      <c r="L30" s="8">
        <f t="shared" si="1"/>
        <v>2173860839</v>
      </c>
      <c r="M30" s="786"/>
      <c r="N30" s="786"/>
      <c r="O30" s="234"/>
      <c r="P30" s="1110" t="str">
        <f>IF(D30='THE-TS'!$D$11,"x","")</f>
        <v/>
      </c>
      <c r="Q30" s="1102"/>
    </row>
    <row r="31" spans="1:17" ht="21.75" customHeight="1">
      <c r="A31" s="1064">
        <v>2</v>
      </c>
      <c r="B31" s="1079" t="s">
        <v>1315</v>
      </c>
      <c r="C31" s="1039">
        <v>40543</v>
      </c>
      <c r="D31" s="351" t="s">
        <v>1281</v>
      </c>
      <c r="E31" s="786" t="s">
        <v>1265</v>
      </c>
      <c r="F31" s="1079" t="s">
        <v>1338</v>
      </c>
      <c r="G31" s="1112" t="str">
        <f t="shared" si="0"/>
        <v>08/10</v>
      </c>
      <c r="H31" s="449">
        <v>1303180703</v>
      </c>
      <c r="I31" s="449">
        <v>10</v>
      </c>
      <c r="J31" s="8">
        <f>ROUND(H31/I31,0)+10</f>
        <v>130318080</v>
      </c>
      <c r="K31" s="8">
        <v>651590340</v>
      </c>
      <c r="L31" s="8">
        <f t="shared" si="1"/>
        <v>781908420</v>
      </c>
      <c r="M31" s="786"/>
      <c r="N31" s="786"/>
      <c r="O31" s="234"/>
      <c r="P31" s="1110" t="str">
        <f>IF(D31='THE-TS'!$D$11,"x","")</f>
        <v/>
      </c>
      <c r="Q31" s="1102"/>
    </row>
    <row r="32" spans="1:17" ht="21.75" customHeight="1">
      <c r="A32" s="1064">
        <v>3</v>
      </c>
      <c r="B32" s="1079" t="s">
        <v>1316</v>
      </c>
      <c r="C32" s="1039">
        <v>40543</v>
      </c>
      <c r="D32" s="351" t="s">
        <v>1282</v>
      </c>
      <c r="E32" s="786" t="s">
        <v>1265</v>
      </c>
      <c r="F32" s="1079" t="s">
        <v>1338</v>
      </c>
      <c r="G32" s="1112" t="str">
        <f t="shared" si="0"/>
        <v>09/10</v>
      </c>
      <c r="H32" s="449">
        <v>313876943</v>
      </c>
      <c r="I32" s="449">
        <v>10</v>
      </c>
      <c r="J32" s="8">
        <f>ROUND(H32/I32,0)+10</f>
        <v>31387704</v>
      </c>
      <c r="K32" s="8">
        <v>156938460</v>
      </c>
      <c r="L32" s="8">
        <f t="shared" si="1"/>
        <v>188326164</v>
      </c>
      <c r="M32" s="786"/>
      <c r="N32" s="786"/>
      <c r="O32" s="234"/>
      <c r="P32" s="1110" t="str">
        <f>IF(D32='THE-TS'!$D$11,"x","")</f>
        <v/>
      </c>
      <c r="Q32" s="1102"/>
    </row>
    <row r="33" spans="1:16" ht="21.75" customHeight="1">
      <c r="A33" s="1042"/>
      <c r="B33" s="1068"/>
      <c r="C33" s="1069"/>
      <c r="D33" s="1070"/>
      <c r="E33" s="1043"/>
      <c r="F33" s="1069"/>
      <c r="G33" s="1068"/>
      <c r="H33" s="1075"/>
      <c r="I33" s="1075"/>
      <c r="J33" s="533"/>
      <c r="K33" s="533"/>
      <c r="L33" s="533"/>
      <c r="M33" s="1043"/>
      <c r="N33" s="1043"/>
      <c r="O33" s="1043"/>
      <c r="P33" s="1110" t="str">
        <f>IF(D33='THE-TS'!$D$11,"x","")</f>
        <v/>
      </c>
    </row>
    <row r="34" spans="1:16" s="1049" customFormat="1" ht="21.75" customHeight="1">
      <c r="A34" s="1046"/>
      <c r="B34" s="1047"/>
      <c r="C34" s="1046"/>
      <c r="D34" s="1046" t="s">
        <v>1269</v>
      </c>
      <c r="E34" s="1046" t="s">
        <v>21</v>
      </c>
      <c r="F34" s="1046" t="s">
        <v>21</v>
      </c>
      <c r="G34" s="1046" t="s">
        <v>21</v>
      </c>
      <c r="H34" s="1076">
        <f>SUM(H13:H33)</f>
        <v>15089560996</v>
      </c>
      <c r="I34" s="1076"/>
      <c r="J34" s="1076">
        <f>SUM(J13:J33)</f>
        <v>609591633</v>
      </c>
      <c r="K34" s="1076">
        <f>SUM(K13:K33)</f>
        <v>9132359256</v>
      </c>
      <c r="L34" s="1076">
        <f>SUM(L13:L33)</f>
        <v>9741950889</v>
      </c>
      <c r="M34" s="1046" t="s">
        <v>21</v>
      </c>
      <c r="N34" s="1046" t="s">
        <v>21</v>
      </c>
      <c r="O34" s="1046" t="s">
        <v>21</v>
      </c>
      <c r="P34" s="1110" t="str">
        <f>IF(D34='THE-TS'!$D$11,"x","")</f>
        <v/>
      </c>
    </row>
    <row r="35" spans="1:16" ht="6.75" customHeight="1">
      <c r="A35" s="820"/>
      <c r="B35" s="820"/>
      <c r="C35" s="1050"/>
      <c r="D35" s="820"/>
      <c r="E35" s="1050"/>
      <c r="F35" s="1050"/>
      <c r="G35" s="1050"/>
      <c r="H35" s="820"/>
      <c r="I35" s="820"/>
      <c r="J35" s="820"/>
      <c r="K35" s="1051"/>
      <c r="L35" s="820"/>
      <c r="M35" s="820"/>
      <c r="N35" s="820"/>
      <c r="O35" s="820"/>
      <c r="P35" s="1110" t="str">
        <f>IF(D35='THE-TS'!$D$11,"x","")</f>
        <v/>
      </c>
    </row>
    <row r="36" spans="1:16" ht="13.5" customHeight="1">
      <c r="A36" s="820"/>
      <c r="B36" s="820"/>
      <c r="C36" s="1050"/>
      <c r="D36" s="820" t="s">
        <v>1270</v>
      </c>
      <c r="E36" s="820"/>
      <c r="F36" s="1050"/>
      <c r="G36" s="820"/>
      <c r="H36" s="1028"/>
      <c r="I36" s="1028"/>
      <c r="J36" s="1119"/>
      <c r="L36" s="1028"/>
      <c r="M36" s="820"/>
      <c r="N36" s="820"/>
      <c r="O36" s="820"/>
      <c r="P36" s="1110" t="str">
        <f>IF(D36='THE-TS'!$D$11,"x","")</f>
        <v/>
      </c>
    </row>
    <row r="37" spans="1:16" ht="13.5" customHeight="1">
      <c r="A37" s="820"/>
      <c r="B37" s="820"/>
      <c r="C37" s="1050"/>
      <c r="D37" s="820" t="s">
        <v>1301</v>
      </c>
      <c r="E37" s="820"/>
      <c r="F37" s="1050"/>
      <c r="G37" s="820"/>
      <c r="H37" s="1061"/>
      <c r="I37" s="820"/>
      <c r="J37" s="1071"/>
      <c r="K37" s="1051"/>
      <c r="L37" s="820"/>
      <c r="M37" s="820"/>
      <c r="N37" s="820"/>
      <c r="O37" s="820"/>
      <c r="P37" s="1110" t="str">
        <f>IF(D37='THE-TS'!$D$11,"x","")</f>
        <v/>
      </c>
    </row>
    <row r="38" spans="1:16" ht="13.5" customHeight="1">
      <c r="K38" s="1052"/>
      <c r="L38" s="1031" t="s">
        <v>1302</v>
      </c>
      <c r="P38" s="1110" t="str">
        <f>IF(D38='THE-TS'!$D$11,"x","")</f>
        <v/>
      </c>
    </row>
    <row r="39" spans="1:16" ht="13.5" customHeight="1">
      <c r="B39" s="1027"/>
      <c r="D39" s="1027" t="s">
        <v>11</v>
      </c>
      <c r="F39" s="1027" t="s">
        <v>1271</v>
      </c>
      <c r="I39" s="1053"/>
      <c r="K39" s="1050"/>
      <c r="L39" s="1050" t="s">
        <v>131</v>
      </c>
      <c r="P39" s="1110" t="str">
        <f>IF(D39='THE-TS'!$D$11,"x","")</f>
        <v/>
      </c>
    </row>
    <row r="40" spans="1:16" ht="13.5" customHeight="1">
      <c r="B40" s="1027"/>
      <c r="D40" s="1027"/>
      <c r="P40" s="1110" t="str">
        <f>IF(D40='THE-TS'!$D$11,"x","")</f>
        <v/>
      </c>
    </row>
    <row r="41" spans="1:16" ht="13.5" customHeight="1">
      <c r="H41" s="1054"/>
      <c r="J41" s="1054"/>
      <c r="L41" s="1054"/>
      <c r="P41" s="1110" t="str">
        <f>IF(D41='THE-TS'!$D$11,"x","")</f>
        <v/>
      </c>
    </row>
    <row r="42" spans="1:16" ht="13.5" customHeight="1">
      <c r="H42" s="1055"/>
      <c r="P42" s="1110" t="str">
        <f>IF(D42='THE-TS'!$D$11,"x","")</f>
        <v/>
      </c>
    </row>
    <row r="43" spans="1:16" ht="13.5" customHeight="1">
      <c r="H43" s="1055"/>
      <c r="J43" s="1054"/>
      <c r="P43" s="1110" t="str">
        <f>IF(D43='THE-TS'!$D$11,"x","")</f>
        <v/>
      </c>
    </row>
    <row r="44" spans="1:16" ht="13.5" customHeight="1">
      <c r="H44" s="1055"/>
      <c r="P44" s="1110" t="str">
        <f>IF(D44='THE-TS'!$D$11,"x","")</f>
        <v/>
      </c>
    </row>
    <row r="45" spans="1:16" ht="13.5" customHeight="1">
      <c r="H45" s="1055"/>
      <c r="P45" s="1110" t="str">
        <f>IF(D45='THE-TS'!$D$11,"x","")</f>
        <v/>
      </c>
    </row>
    <row r="46" spans="1:16" s="1056" customFormat="1" ht="13.5" customHeight="1">
      <c r="C46" s="1057"/>
      <c r="D46" s="1057" t="s">
        <v>230</v>
      </c>
      <c r="F46" s="1057"/>
      <c r="H46" s="1058"/>
      <c r="K46" s="1059"/>
      <c r="L46" s="1056" t="s">
        <v>125</v>
      </c>
      <c r="P46" s="1110" t="str">
        <f>IF(D46='THE-TS'!$D$11,"x","")</f>
        <v/>
      </c>
    </row>
    <row r="47" spans="1:16" ht="13.5">
      <c r="P47" s="1110" t="str">
        <f>IF(D47='THE-TS'!$D$11,"x","")</f>
        <v/>
      </c>
    </row>
    <row r="48" spans="1:16" ht="13.5" customHeight="1">
      <c r="H48" s="1055"/>
      <c r="P48" s="1110" t="str">
        <f>IF(D48='THE-TS'!$D$11,"x","")</f>
        <v/>
      </c>
    </row>
    <row r="49" spans="1:17" ht="13.5">
      <c r="P49" s="1110" t="str">
        <f>IF(D49='THE-TS'!$D$11,"x","")</f>
        <v/>
      </c>
    </row>
    <row r="50" spans="1:17" ht="13.5">
      <c r="P50" s="1110" t="str">
        <f>IF(D50='THE-TS'!$D$11,"x","")</f>
        <v/>
      </c>
    </row>
    <row r="51" spans="1:17" ht="13.5">
      <c r="P51" s="1110" t="str">
        <f>IF(D51='THE-TS'!$D$11,"x","")</f>
        <v/>
      </c>
    </row>
    <row r="52" spans="1:17" ht="13.5">
      <c r="A52" s="1025" t="s">
        <v>1240</v>
      </c>
      <c r="L52" s="1029"/>
      <c r="M52" s="1029"/>
      <c r="N52" s="1030" t="s">
        <v>1241</v>
      </c>
      <c r="O52" s="1029"/>
      <c r="P52" s="1110" t="str">
        <f>IF(D52='THE-TS'!$D$11,"x","")</f>
        <v/>
      </c>
    </row>
    <row r="53" spans="1:17" ht="13.5">
      <c r="A53" s="1025" t="s">
        <v>1242</v>
      </c>
      <c r="L53" s="1028"/>
      <c r="M53" s="1028"/>
      <c r="N53" s="1031" t="s">
        <v>320</v>
      </c>
      <c r="O53" s="1028"/>
      <c r="P53" s="1110" t="str">
        <f>IF(D53='THE-TS'!$D$11,"x","")</f>
        <v/>
      </c>
    </row>
    <row r="54" spans="1:17" ht="13.5">
      <c r="L54" s="1028"/>
      <c r="M54" s="1028"/>
      <c r="N54" s="1031" t="s">
        <v>238</v>
      </c>
      <c r="O54" s="1028"/>
      <c r="P54" s="1110" t="str">
        <f>IF(D54='THE-TS'!$D$11,"x","")</f>
        <v/>
      </c>
    </row>
    <row r="55" spans="1:17" ht="13.5">
      <c r="P55" s="1110" t="str">
        <f>IF(D55='THE-TS'!$D$11,"x","")</f>
        <v/>
      </c>
    </row>
    <row r="56" spans="1:17" s="1121" customFormat="1" ht="28.5" customHeight="1">
      <c r="A56" s="1419" t="s">
        <v>1243</v>
      </c>
      <c r="B56" s="1419"/>
      <c r="C56" s="1419"/>
      <c r="D56" s="1419"/>
      <c r="E56" s="1419"/>
      <c r="F56" s="1419"/>
      <c r="G56" s="1419"/>
      <c r="H56" s="1419"/>
      <c r="I56" s="1419"/>
      <c r="J56" s="1419"/>
      <c r="K56" s="1419"/>
      <c r="L56" s="1419"/>
      <c r="M56" s="1419"/>
      <c r="N56" s="1419"/>
      <c r="O56" s="1419"/>
      <c r="P56" s="1120" t="str">
        <f>IF(D56='THE-TS'!$D$11,"x","")</f>
        <v/>
      </c>
    </row>
    <row r="57" spans="1:17" s="1032" customFormat="1" ht="19.5" customHeight="1">
      <c r="A57" s="1420" t="s">
        <v>1300</v>
      </c>
      <c r="B57" s="1420"/>
      <c r="C57" s="1420"/>
      <c r="D57" s="1420"/>
      <c r="E57" s="1420"/>
      <c r="F57" s="1420"/>
      <c r="G57" s="1420"/>
      <c r="H57" s="1420"/>
      <c r="I57" s="1420"/>
      <c r="J57" s="1420"/>
      <c r="K57" s="1420"/>
      <c r="L57" s="1420"/>
      <c r="M57" s="1420"/>
      <c r="N57" s="1420"/>
      <c r="O57" s="1420"/>
      <c r="P57" s="1110" t="str">
        <f>IF(D57='THE-TS'!$D$11,"x","")</f>
        <v/>
      </c>
    </row>
    <row r="58" spans="1:17" s="1032" customFormat="1" ht="19.5" customHeight="1">
      <c r="A58" s="1421" t="s">
        <v>1309</v>
      </c>
      <c r="B58" s="1421"/>
      <c r="C58" s="1421"/>
      <c r="D58" s="1421"/>
      <c r="E58" s="1421"/>
      <c r="F58" s="1421"/>
      <c r="G58" s="1421"/>
      <c r="H58" s="1421"/>
      <c r="I58" s="1421"/>
      <c r="J58" s="1421"/>
      <c r="K58" s="1421"/>
      <c r="L58" s="1421"/>
      <c r="M58" s="1421"/>
      <c r="N58" s="1421"/>
      <c r="O58" s="1421"/>
      <c r="P58" s="1110" t="str">
        <f>IF(D58='THE-TS'!$D$11,"x","")</f>
        <v/>
      </c>
    </row>
    <row r="59" spans="1:17" ht="13.5">
      <c r="D59" s="1027"/>
      <c r="P59" s="1110" t="str">
        <f>IF(D59='THE-TS'!$D$11,"x","")</f>
        <v/>
      </c>
    </row>
    <row r="60" spans="1:17" s="1033" customFormat="1" ht="17.25" customHeight="1">
      <c r="A60" s="1410" t="s">
        <v>501</v>
      </c>
      <c r="B60" s="1413" t="s">
        <v>1244</v>
      </c>
      <c r="C60" s="1414"/>
      <c r="D60" s="1414"/>
      <c r="E60" s="1414"/>
      <c r="F60" s="1414"/>
      <c r="G60" s="1414"/>
      <c r="H60" s="1415"/>
      <c r="I60" s="1413" t="s">
        <v>1245</v>
      </c>
      <c r="J60" s="1414"/>
      <c r="K60" s="1414"/>
      <c r="L60" s="1415"/>
      <c r="M60" s="1416" t="s">
        <v>1246</v>
      </c>
      <c r="N60" s="1416"/>
      <c r="O60" s="1416"/>
      <c r="P60" s="1110" t="str">
        <f>IF(D60='THE-TS'!$D$11,"x","")</f>
        <v/>
      </c>
    </row>
    <row r="61" spans="1:17" s="1033" customFormat="1" ht="17.25" customHeight="1">
      <c r="A61" s="1411"/>
      <c r="B61" s="1413" t="s">
        <v>1247</v>
      </c>
      <c r="C61" s="1415"/>
      <c r="D61" s="1410" t="s">
        <v>1248</v>
      </c>
      <c r="E61" s="1410" t="s">
        <v>1249</v>
      </c>
      <c r="F61" s="1410" t="s">
        <v>1250</v>
      </c>
      <c r="G61" s="1410" t="s">
        <v>1251</v>
      </c>
      <c r="H61" s="1410" t="s">
        <v>1252</v>
      </c>
      <c r="I61" s="1413" t="s">
        <v>1253</v>
      </c>
      <c r="J61" s="1415"/>
      <c r="K61" s="1417" t="s">
        <v>1254</v>
      </c>
      <c r="L61" s="1410" t="s">
        <v>1255</v>
      </c>
      <c r="M61" s="1416" t="s">
        <v>1247</v>
      </c>
      <c r="N61" s="1416"/>
      <c r="O61" s="1416" t="s">
        <v>1256</v>
      </c>
      <c r="P61" s="1110" t="str">
        <f>IF(D61='THE-TS'!$D$11,"x","")</f>
        <v/>
      </c>
    </row>
    <row r="62" spans="1:17" s="1033" customFormat="1" ht="55.5" customHeight="1">
      <c r="A62" s="1412"/>
      <c r="B62" s="1034" t="s">
        <v>1257</v>
      </c>
      <c r="C62" s="1034" t="s">
        <v>502</v>
      </c>
      <c r="D62" s="1412"/>
      <c r="E62" s="1412"/>
      <c r="F62" s="1412"/>
      <c r="G62" s="1412"/>
      <c r="H62" s="1412"/>
      <c r="I62" s="1034" t="s">
        <v>1258</v>
      </c>
      <c r="J62" s="1034" t="s">
        <v>1259</v>
      </c>
      <c r="K62" s="1418"/>
      <c r="L62" s="1412"/>
      <c r="M62" s="1034" t="s">
        <v>17</v>
      </c>
      <c r="N62" s="1034" t="s">
        <v>502</v>
      </c>
      <c r="O62" s="1416"/>
      <c r="P62" s="1110" t="str">
        <f>IF(D62='THE-TS'!$D$11,"x","")</f>
        <v/>
      </c>
    </row>
    <row r="63" spans="1:17" s="1037" customFormat="1" ht="13.5">
      <c r="A63" s="1035" t="s">
        <v>2</v>
      </c>
      <c r="B63" s="1035" t="s">
        <v>3</v>
      </c>
      <c r="C63" s="1035" t="s">
        <v>4</v>
      </c>
      <c r="D63" s="1035" t="s">
        <v>5</v>
      </c>
      <c r="E63" s="1035" t="s">
        <v>6</v>
      </c>
      <c r="F63" s="1035" t="s">
        <v>156</v>
      </c>
      <c r="G63" s="1035" t="s">
        <v>1260</v>
      </c>
      <c r="H63" s="1035">
        <v>1</v>
      </c>
      <c r="I63" s="1035">
        <v>2</v>
      </c>
      <c r="J63" s="1035">
        <v>3</v>
      </c>
      <c r="K63" s="1036"/>
      <c r="L63" s="1035">
        <v>4</v>
      </c>
      <c r="M63" s="1035" t="s">
        <v>1261</v>
      </c>
      <c r="N63" s="1035" t="s">
        <v>1262</v>
      </c>
      <c r="O63" s="1035" t="s">
        <v>1263</v>
      </c>
      <c r="P63" s="1110" t="str">
        <f>IF(D63='THE-TS'!$D$11,"x","")</f>
        <v/>
      </c>
    </row>
    <row r="64" spans="1:17" ht="15.75" customHeight="1">
      <c r="A64" s="1038">
        <v>1</v>
      </c>
      <c r="B64" s="1077" t="s">
        <v>1332</v>
      </c>
      <c r="C64" s="1039">
        <v>40543</v>
      </c>
      <c r="D64" s="351" t="s">
        <v>1283</v>
      </c>
      <c r="E64" s="781"/>
      <c r="F64" s="1079" t="s">
        <v>1338</v>
      </c>
      <c r="G64" s="1112" t="str">
        <f>RIGHT(B64,5)</f>
        <v>10/10</v>
      </c>
      <c r="H64" s="351">
        <v>5405781300</v>
      </c>
      <c r="I64" s="1041">
        <v>45</v>
      </c>
      <c r="J64" s="8">
        <f>ROUND(H64/I64,0)+5</f>
        <v>120128478</v>
      </c>
      <c r="K64" s="1040">
        <v>600642360</v>
      </c>
      <c r="L64" s="1040">
        <f>K64+J64</f>
        <v>720770838</v>
      </c>
      <c r="M64" s="781"/>
      <c r="N64" s="781"/>
      <c r="O64" s="234"/>
      <c r="P64" s="1110" t="str">
        <f>IF(D64='THE-TS'!$D$11,"x","")</f>
        <v/>
      </c>
      <c r="Q64" s="1102"/>
    </row>
    <row r="65" spans="1:16" ht="15.75" customHeight="1">
      <c r="A65" s="1042"/>
      <c r="B65" s="1043"/>
      <c r="C65" s="1042"/>
      <c r="D65" s="1043"/>
      <c r="E65" s="1043"/>
      <c r="F65" s="1042"/>
      <c r="G65" s="1043"/>
      <c r="H65" s="1043"/>
      <c r="I65" s="1044"/>
      <c r="J65" s="1043"/>
      <c r="K65" s="1045"/>
      <c r="L65" s="1043"/>
      <c r="M65" s="1043"/>
      <c r="N65" s="1043"/>
      <c r="O65" s="1043"/>
      <c r="P65" s="1110" t="str">
        <f>IF(D65='THE-TS'!$D$11,"x","")</f>
        <v/>
      </c>
    </row>
    <row r="66" spans="1:16" s="1049" customFormat="1" ht="15.75" customHeight="1">
      <c r="A66" s="1046"/>
      <c r="B66" s="1047"/>
      <c r="C66" s="1046"/>
      <c r="D66" s="1046" t="s">
        <v>1269</v>
      </c>
      <c r="E66" s="1047"/>
      <c r="F66" s="1046"/>
      <c r="G66" s="1047"/>
      <c r="H66" s="1048">
        <f>SUM(H64:H65)</f>
        <v>5405781300</v>
      </c>
      <c r="I66" s="1048"/>
      <c r="J66" s="1048">
        <f>SUM(J64:J65)</f>
        <v>120128478</v>
      </c>
      <c r="K66" s="1048">
        <f>SUM(K64:K65)</f>
        <v>600642360</v>
      </c>
      <c r="L66" s="1048">
        <f>SUM(L64:L65)</f>
        <v>720770838</v>
      </c>
      <c r="M66" s="1047"/>
      <c r="N66" s="1047"/>
      <c r="O66" s="1047"/>
      <c r="P66" s="1110" t="str">
        <f>IF(D66='THE-TS'!$D$11,"x","")</f>
        <v/>
      </c>
    </row>
    <row r="67" spans="1:16" ht="6.75" customHeight="1">
      <c r="A67" s="820"/>
      <c r="B67" s="820"/>
      <c r="C67" s="1050"/>
      <c r="D67" s="820"/>
      <c r="E67" s="820"/>
      <c r="F67" s="1050"/>
      <c r="G67" s="820"/>
      <c r="H67" s="820"/>
      <c r="I67" s="820"/>
      <c r="J67" s="820"/>
      <c r="K67" s="1051"/>
      <c r="L67" s="820"/>
      <c r="M67" s="820"/>
      <c r="N67" s="820"/>
      <c r="O67" s="820"/>
    </row>
    <row r="68" spans="1:16">
      <c r="A68" s="820"/>
      <c r="B68" s="820"/>
      <c r="C68" s="1050"/>
      <c r="D68" s="820" t="s">
        <v>1270</v>
      </c>
      <c r="E68" s="820"/>
      <c r="F68" s="1050"/>
      <c r="G68" s="820"/>
      <c r="H68" s="820"/>
      <c r="I68" s="820"/>
      <c r="J68" s="820"/>
      <c r="K68" s="1051"/>
      <c r="L68" s="820"/>
      <c r="M68" s="820"/>
      <c r="N68" s="820"/>
      <c r="O68" s="820"/>
    </row>
    <row r="69" spans="1:16">
      <c r="A69" s="820"/>
      <c r="B69" s="820"/>
      <c r="C69" s="1050"/>
      <c r="D69" s="820" t="s">
        <v>1301</v>
      </c>
      <c r="E69" s="820"/>
      <c r="F69" s="1050"/>
      <c r="G69" s="820"/>
      <c r="I69" s="820"/>
      <c r="J69" s="820"/>
      <c r="K69" s="1051"/>
      <c r="L69" s="820"/>
      <c r="M69" s="820"/>
      <c r="N69" s="820"/>
      <c r="O69" s="820"/>
    </row>
    <row r="70" spans="1:16">
      <c r="K70" s="1031"/>
      <c r="L70" s="1031" t="s">
        <v>1302</v>
      </c>
    </row>
    <row r="71" spans="1:16" ht="16.5" customHeight="1">
      <c r="B71" s="1027"/>
      <c r="D71" s="1027" t="s">
        <v>11</v>
      </c>
      <c r="F71" s="1027" t="s">
        <v>1271</v>
      </c>
      <c r="I71" s="1053"/>
      <c r="K71" s="1050"/>
      <c r="L71" s="1050" t="s">
        <v>131</v>
      </c>
    </row>
    <row r="74" spans="1:16">
      <c r="L74" s="1054"/>
    </row>
    <row r="75" spans="1:16">
      <c r="D75" s="1054"/>
    </row>
    <row r="76" spans="1:16">
      <c r="D76" s="1028"/>
      <c r="L76" s="1054"/>
    </row>
    <row r="77" spans="1:16">
      <c r="D77" s="1061"/>
      <c r="L77" s="1054"/>
    </row>
    <row r="78" spans="1:16" s="1056" customFormat="1" ht="13.5" customHeight="1">
      <c r="C78" s="1057"/>
      <c r="D78" s="1057" t="s">
        <v>230</v>
      </c>
      <c r="F78" s="1057"/>
      <c r="H78" s="1058"/>
      <c r="K78" s="1059"/>
      <c r="L78" s="1056" t="s">
        <v>125</v>
      </c>
      <c r="P78" s="1111"/>
    </row>
  </sheetData>
  <mergeCells count="36">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 ref="K10:K11"/>
    <mergeCell ref="L10:L11"/>
    <mergeCell ref="A56:O56"/>
    <mergeCell ref="A57:O57"/>
    <mergeCell ref="A58:O58"/>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1" customWidth="1"/>
    <col min="2" max="2" width="10.140625" style="1081" customWidth="1"/>
    <col min="3" max="3" width="11.5703125" style="1081" customWidth="1"/>
    <col min="4" max="4" width="28.7109375" style="1081" customWidth="1"/>
    <col min="5" max="5" width="13.28515625" style="1081" customWidth="1"/>
    <col min="6" max="6" width="9.140625" style="1081"/>
    <col min="7" max="7" width="14" style="1081" customWidth="1"/>
    <col min="8" max="8" width="14.7109375" style="1081" customWidth="1"/>
    <col min="9" max="10" width="9.140625" style="1081"/>
    <col min="11" max="11" width="13.85546875" style="1081" customWidth="1"/>
    <col min="12" max="16384" width="9.140625" style="1081"/>
  </cols>
  <sheetData>
    <row r="2" spans="1:11">
      <c r="A2" s="1098" t="s">
        <v>1240</v>
      </c>
      <c r="B2" s="1080"/>
      <c r="C2" s="1080"/>
      <c r="D2" s="1080"/>
      <c r="E2" s="1030"/>
      <c r="F2" s="1030"/>
      <c r="G2" s="1030" t="s">
        <v>1284</v>
      </c>
      <c r="H2" s="1030"/>
    </row>
    <row r="3" spans="1:11">
      <c r="A3" s="1098" t="s">
        <v>1242</v>
      </c>
      <c r="B3" s="1080"/>
      <c r="C3" s="1080"/>
      <c r="D3" s="1080"/>
      <c r="E3" s="1031"/>
      <c r="F3" s="1031"/>
      <c r="G3" s="1031" t="s">
        <v>320</v>
      </c>
      <c r="H3" s="1031"/>
    </row>
    <row r="4" spans="1:11">
      <c r="A4" s="1027"/>
      <c r="B4" s="1027"/>
      <c r="C4" s="1031"/>
      <c r="D4" s="1031"/>
      <c r="E4" s="1031"/>
      <c r="F4" s="1031"/>
      <c r="G4" s="1031" t="s">
        <v>238</v>
      </c>
      <c r="H4" s="1031"/>
    </row>
    <row r="5" spans="1:11">
      <c r="A5" s="1027"/>
      <c r="B5" s="1027"/>
      <c r="C5" s="1031"/>
      <c r="D5" s="1031"/>
      <c r="E5" s="1031"/>
      <c r="F5" s="1031"/>
      <c r="G5" s="1031"/>
      <c r="H5" s="1031"/>
    </row>
    <row r="6" spans="1:11" ht="23.25" customHeight="1" thickBot="1">
      <c r="A6" s="1436" t="s">
        <v>1285</v>
      </c>
      <c r="B6" s="1436"/>
      <c r="C6" s="1436"/>
      <c r="D6" s="1436"/>
      <c r="E6" s="1436"/>
      <c r="F6" s="1436"/>
      <c r="G6" s="1436"/>
      <c r="H6" s="1436"/>
    </row>
    <row r="7" spans="1:11" ht="17.25" customHeight="1" thickBot="1">
      <c r="A7" s="1422" t="str">
        <f ca="1" xml:space="preserve"> IF(ROWS($1:1)&gt;COUNT(Dong3),"","Số: "&amp;OFFSET('SO-TS'!$B$1,SMALL(Dong3,ROWS($1:1)),))</f>
        <v>Số: SX 16/14</v>
      </c>
      <c r="B7" s="1422"/>
      <c r="C7" s="1422"/>
      <c r="D7" s="1422"/>
      <c r="E7" s="1422"/>
      <c r="F7" s="1422"/>
      <c r="G7" s="1422"/>
      <c r="H7" s="1422"/>
      <c r="J7" s="1099" t="s">
        <v>1325</v>
      </c>
      <c r="K7" s="1100" t="s">
        <v>1368</v>
      </c>
    </row>
    <row r="8" spans="1:11" ht="17.25" customHeight="1">
      <c r="A8" s="1437" t="str">
        <f ca="1" xml:space="preserve"> IF(ROWS($1:1)&gt;COUNT(Dong3),"","Ngày   "&amp;DAY(OFFSET('SO-TS'!$C$1,SMALL(Dong3,ROWS($1:1)),))&amp;"   tháng   "&amp;MONTH(OFFSET('SO-TS'!$C$1,SMALL(Dong3,ROWS($1:1)),))&amp;"  năm   "&amp;YEAR(OFFSET('SO-TS'!$C$1,SMALL(Dong3,ROWS($1:1)),)))</f>
        <v>Ngày   8   tháng   9  năm   2014</v>
      </c>
      <c r="B8" s="1437"/>
      <c r="C8" s="1437"/>
      <c r="D8" s="1437"/>
      <c r="E8" s="1437"/>
      <c r="F8" s="1437"/>
      <c r="G8" s="1437"/>
      <c r="H8" s="1437"/>
    </row>
    <row r="9" spans="1:11" ht="12" customHeight="1">
      <c r="A9" s="1027"/>
      <c r="B9" s="1027"/>
      <c r="C9" s="1027"/>
      <c r="D9" s="1027"/>
      <c r="E9" s="1027"/>
      <c r="F9" s="1027"/>
      <c r="G9" s="1031"/>
      <c r="H9" s="1031"/>
    </row>
    <row r="10" spans="1:11" ht="15" customHeight="1">
      <c r="A10" s="1026" t="str">
        <f ca="1">"Căn cứ vào biên bản giao nhận TSCĐ "&amp;"  "&amp;A7&amp;"  "&amp;A8</f>
        <v>Căn cứ vào biên bản giao nhận TSCĐ   Số: SX 16/14  Ngày   8   tháng   9  năm   2014</v>
      </c>
      <c r="B10" s="1026"/>
      <c r="C10" s="1026"/>
      <c r="D10" s="1026"/>
      <c r="E10" s="1026"/>
      <c r="F10" s="1026"/>
      <c r="G10" s="1026"/>
      <c r="H10" s="1026"/>
    </row>
    <row r="11" spans="1:11" ht="15" customHeight="1">
      <c r="A11" s="1026" t="s">
        <v>1326</v>
      </c>
      <c r="B11" s="1026"/>
      <c r="C11" s="1026"/>
      <c r="D11" s="1026" t="s">
        <v>1278</v>
      </c>
      <c r="E11" s="1026" t="str">
        <f ca="1" xml:space="preserve"> IF(ROWS($1:1)&gt;COUNT(Dong3),"","Số hiệu TSCĐ:   "&amp;OFFSET('SO-TS'!$G$1,SMALL(Dong3,ROWS($1:1)),))</f>
        <v>Số hiệu TSCĐ:   16/14</v>
      </c>
      <c r="F11" s="1026"/>
      <c r="H11" s="1026"/>
    </row>
    <row r="12" spans="1:11" ht="15" customHeight="1">
      <c r="A12" s="1026" t="str">
        <f ca="1" xml:space="preserve"> IF(ROWS($1:1)&gt;COUNT(Dong3),"","Nước sản xuất:   "&amp;OFFSET('SO-TS'!$E$1,SMALL(Dong3,ROWS($1:1)),))</f>
        <v xml:space="preserve">Nước sản xuất:   </v>
      </c>
      <c r="B12" s="1026"/>
      <c r="C12" s="1026"/>
      <c r="D12" s="1026"/>
      <c r="E12" s="1026" t="s">
        <v>1327</v>
      </c>
      <c r="F12" s="1026"/>
      <c r="G12" s="1026"/>
      <c r="H12" s="1026"/>
    </row>
    <row r="13" spans="1:11" ht="15" customHeight="1">
      <c r="A13" s="1026" t="str">
        <f ca="1" xml:space="preserve"> IF(ROWS($1:1)&gt;COUNT(Dong3),"","Bộ phận quản lý sử dụng:  "&amp;IF(LEFT(OFFSET('SO-TS'!$B$1,SMALL(Dong3,ROWS($1:1)),),2)="VP","Văn Phòng","Sản Xuất"))</f>
        <v>Bộ phận quản lý sử dụng:  Sản Xuất</v>
      </c>
      <c r="B13" s="1026"/>
      <c r="C13" s="1026"/>
      <c r="D13" s="1026"/>
      <c r="E13" s="1026" t="str">
        <f ca="1" xml:space="preserve"> IF(ROWS($1:1)&gt;COUNT(Dong3),"","Tháng, năm đưa vào sử dụng:    "&amp;OFFSET('SO-TS'!$F$1,SMALL(Dong3,ROWS($1:1)),))</f>
        <v>Tháng, năm đưa vào sử dụng:    10/2014</v>
      </c>
      <c r="F13" s="1026"/>
      <c r="G13" s="1026"/>
      <c r="H13" s="1026"/>
    </row>
    <row r="14" spans="1:11" ht="15" customHeight="1">
      <c r="A14" s="1026" t="s">
        <v>1286</v>
      </c>
      <c r="B14" s="1026"/>
      <c r="C14" s="1026"/>
      <c r="D14" s="1026"/>
      <c r="E14" s="1026"/>
      <c r="F14" s="1026"/>
      <c r="G14" s="1026"/>
      <c r="H14" s="1026"/>
    </row>
    <row r="15" spans="1:11" ht="15" customHeight="1">
      <c r="A15" s="1026" t="s">
        <v>1340</v>
      </c>
      <c r="B15" s="1026"/>
      <c r="C15" s="1026"/>
      <c r="D15" s="1026"/>
      <c r="E15" s="1026"/>
      <c r="F15" s="1026"/>
      <c r="G15" s="1026"/>
      <c r="H15" s="1026"/>
    </row>
    <row r="16" spans="1:11" ht="15" customHeight="1">
      <c r="A16" s="1101" t="s">
        <v>1339</v>
      </c>
      <c r="B16" s="1101"/>
      <c r="C16" s="1101"/>
      <c r="D16" s="1101"/>
      <c r="E16" s="1101"/>
      <c r="F16" s="1101"/>
      <c r="G16" s="1101"/>
      <c r="H16" s="1101"/>
    </row>
    <row r="17" spans="1:8" s="1095" customFormat="1" ht="18" customHeight="1">
      <c r="A17" s="1426" t="s">
        <v>150</v>
      </c>
      <c r="B17" s="1427"/>
      <c r="C17" s="1430" t="s">
        <v>1287</v>
      </c>
      <c r="D17" s="1431"/>
      <c r="E17" s="1432"/>
      <c r="F17" s="1433" t="s">
        <v>1288</v>
      </c>
      <c r="G17" s="1434"/>
      <c r="H17" s="1435"/>
    </row>
    <row r="18" spans="1:8" s="1095" customFormat="1" ht="28.5" customHeight="1">
      <c r="A18" s="1428"/>
      <c r="B18" s="1429"/>
      <c r="C18" s="1062" t="s">
        <v>1289</v>
      </c>
      <c r="D18" s="1062" t="s">
        <v>0</v>
      </c>
      <c r="E18" s="1062" t="s">
        <v>1290</v>
      </c>
      <c r="F18" s="1062" t="s">
        <v>1291</v>
      </c>
      <c r="G18" s="1062" t="s">
        <v>1292</v>
      </c>
      <c r="H18" s="1062" t="s">
        <v>1293</v>
      </c>
    </row>
    <row r="19" spans="1:8" s="1097" customFormat="1">
      <c r="A19" s="1438" t="s">
        <v>2</v>
      </c>
      <c r="B19" s="1439"/>
      <c r="C19" s="1096" t="s">
        <v>3</v>
      </c>
      <c r="D19" s="1096" t="s">
        <v>4</v>
      </c>
      <c r="E19" s="1096">
        <v>1</v>
      </c>
      <c r="F19" s="1096">
        <v>2</v>
      </c>
      <c r="G19" s="1096">
        <v>3</v>
      </c>
      <c r="H19" s="1096">
        <v>4</v>
      </c>
    </row>
    <row r="20" spans="1:8" ht="17.25" customHeight="1">
      <c r="A20" s="902">
        <f ca="1">IF(B20&lt;&gt;"",ROW()-19,"")</f>
        <v>1</v>
      </c>
      <c r="B20" s="1082" t="str">
        <f ca="1" xml:space="preserve"> IF(ROWS($1:1)&gt;COUNT(Dong3),"",OFFSET('SO-TS'!B$1,SMALL(Dong3,ROWS($1:1)),))</f>
        <v>SX 16/14</v>
      </c>
      <c r="C20" s="1082" t="str">
        <f ca="1" xml:space="preserve"> IF(ROWS($1:1)&gt;COUNT(Dong3),"",OFFSET('SO-TS'!F$1,SMALL(Dong3,ROWS($1:1)),))</f>
        <v>10/2014</v>
      </c>
      <c r="D20" s="1113" t="str">
        <f ca="1" xml:space="preserve"> IF(ROWS($1:1)&gt;COUNT(Dong3),"",OFFSET('SO-TS'!D$1,SMALL(Dong3,ROWS($1:1)),))</f>
        <v>Máy cuốn mực</v>
      </c>
      <c r="E20" s="1114">
        <f ca="1" xml:space="preserve"> IF(ROWS($1:1)&gt;COUNT(Dong3),"",OFFSET('SO-TS'!H$1,SMALL(Dong3,ROWS($1:1)),))</f>
        <v>100000000</v>
      </c>
      <c r="F20" s="1115"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2" t="str">
        <f t="shared" ref="A21:A29" ca="1" si="0">IF(B21&lt;&gt;"",ROW()-19,"")</f>
        <v/>
      </c>
      <c r="B21" s="1082" t="str">
        <f ca="1" xml:space="preserve"> IF(ROWS($1:2)&gt;COUNT(Dong3),"",OFFSET('SO-TS'!B$1,SMALL(Dong3,ROWS($1:2)),))</f>
        <v/>
      </c>
      <c r="C21" s="1082" t="str">
        <f ca="1" xml:space="preserve"> IF(ROWS($1:2)&gt;COUNT(Dong3),"",OFFSET('SO-TS'!F$1,SMALL(Dong3,ROWS($1:2)),))</f>
        <v/>
      </c>
      <c r="D21" s="1113" t="str">
        <f ca="1" xml:space="preserve"> IF(ROWS($1:2)&gt;COUNT(Dong3),"",OFFSET('SO-TS'!D$1,SMALL(Dong3,ROWS($1:2)),))</f>
        <v/>
      </c>
      <c r="E21" s="1114" t="str">
        <f ca="1" xml:space="preserve"> IF(ROWS($1:2)&gt;COUNT(Dong3),"",OFFSET('SO-TS'!H$1,SMALL(Dong3,ROWS($1:2)),))</f>
        <v/>
      </c>
      <c r="F21" s="1115">
        <f ca="1">IF(OR(F20="",(ROW()-19)&gt;OFFSET('SO-TS'!I$1,SMALL(Dong3,ROWS($1:$1)),)),"",IF(VALUE(F20)&gt;=VALUE(YEAR(NOW())),"",F20+1))</f>
        <v>2015</v>
      </c>
      <c r="G21" s="91">
        <f ca="1">IF(F21="",0,ROUND(IF(OR(ROWS($1:$1)&gt;COUNT(Dong3),(ROW()-19)&gt;OFFSET('SO-TS'!I$1,SMALL(Dong3,ROWS($1:$1)),)),0,IF($E$30-H20&lt;($E$30/(OFFSET('SO-TS'!I$1,SMALL(Dong3,ROWS($1:$1)),))+12),$E$30-H20,$E$30/(OFFSET('SO-TS'!I$1,SMALL(Dong3,ROWS($1:$1)),)))),0))</f>
        <v>20000000</v>
      </c>
      <c r="H21" s="1117">
        <f ca="1">IF(G21&lt;&gt;0,H20+G21,0)</f>
        <v>25000000</v>
      </c>
    </row>
    <row r="22" spans="1:8" ht="17.25" customHeight="1">
      <c r="A22" s="902" t="str">
        <f t="shared" ca="1" si="0"/>
        <v/>
      </c>
      <c r="B22" s="1082" t="str">
        <f ca="1" xml:space="preserve"> IF(ROWS($1:3)&gt;COUNT(Dong3),"",OFFSET('SO-TS'!B$1,SMALL(Dong3,ROWS($1:3)),))</f>
        <v/>
      </c>
      <c r="C22" s="1082" t="str">
        <f ca="1" xml:space="preserve"> IF(ROWS($1:3)&gt;COUNT(Dong3),"",OFFSET('SO-TS'!F$1,SMALL(Dong3,ROWS($1:3)),))</f>
        <v/>
      </c>
      <c r="D22" s="1113" t="str">
        <f ca="1" xml:space="preserve"> IF(ROWS($1:3)&gt;COUNT(Dong3),"",OFFSET('SO-TS'!D$1,SMALL(Dong3,ROWS($1:3)),))</f>
        <v/>
      </c>
      <c r="E22" s="1114" t="str">
        <f ca="1" xml:space="preserve"> IF(ROWS($1:3)&gt;COUNT(Dong3),"",OFFSET('SO-TS'!H$1,SMALL(Dong3,ROWS($1:3)),))</f>
        <v/>
      </c>
      <c r="F22" s="1115">
        <f ca="1">IF(OR(F21="",(ROW()-19)&gt;OFFSET('SO-TS'!I$1,SMALL(Dong3,ROWS($1:$1)),)),"",IF(VALUE(F21)&gt;=VALUE(YEAR(NOW())),"",F21+1))</f>
        <v>2016</v>
      </c>
      <c r="G22" s="91">
        <f ca="1">IF(F22="",0,ROUND(IF(OR(ROWS($1:$1)&gt;COUNT(Dong3),(ROW()-19)&gt;OFFSET('SO-TS'!I$1,SMALL(Dong3,ROWS($1:$1)),)),0,IF($E$30-H21&lt;($E$30/(OFFSET('SO-TS'!I$1,SMALL(Dong3,ROWS($1:$1)),))+12),$E$30-H21,$E$30/(OFFSET('SO-TS'!I$1,SMALL(Dong3,ROWS($1:$1)),)))),0))</f>
        <v>20000000</v>
      </c>
      <c r="H22" s="1117">
        <f t="shared" ref="H22:H28" ca="1" si="1">IF(G22&lt;&gt;0,H21+G22,0)</f>
        <v>45000000</v>
      </c>
    </row>
    <row r="23" spans="1:8" ht="17.25" customHeight="1">
      <c r="A23" s="902" t="str">
        <f t="shared" ca="1" si="0"/>
        <v/>
      </c>
      <c r="B23" s="1082" t="str">
        <f ca="1" xml:space="preserve"> IF(ROWS($1:4)&gt;COUNT(Dong3),"",OFFSET('SO-TS'!B$1,SMALL(Dong3,ROWS($1:4)),))</f>
        <v/>
      </c>
      <c r="C23" s="1082" t="str">
        <f ca="1" xml:space="preserve"> IF(ROWS($1:4)&gt;COUNT(Dong3),"",OFFSET('SO-TS'!F$1,SMALL(Dong3,ROWS($1:4)),))</f>
        <v/>
      </c>
      <c r="D23" s="1113" t="str">
        <f ca="1" xml:space="preserve"> IF(ROWS($1:4)&gt;COUNT(Dong3),"",OFFSET('SO-TS'!D$1,SMALL(Dong3,ROWS($1:4)),))</f>
        <v/>
      </c>
      <c r="E23" s="1114" t="str">
        <f ca="1" xml:space="preserve"> IF(ROWS($1:4)&gt;COUNT(Dong3),"",OFFSET('SO-TS'!H$1,SMALL(Dong3,ROWS($1:4)),))</f>
        <v/>
      </c>
      <c r="F23" s="1115" t="str">
        <f ca="1">IF(OR(F22="",(ROW()-19)&gt;OFFSET('SO-TS'!I$1,SMALL(Dong3,ROWS($1:$1)),)),"",IF(VALUE(F22)&gt;=VALUE(YEAR(NOW())),"",F22+1))</f>
        <v/>
      </c>
      <c r="G23" s="91">
        <f ca="1">IF(F23="",0,ROUND(IF(OR(ROWS($1:$1)&gt;COUNT(Dong3),(ROW()-19)&gt;OFFSET('SO-TS'!I$1,SMALL(Dong3,ROWS($1:$1)),)),0,IF($E$30-H22&lt;($E$30/(OFFSET('SO-TS'!I$1,SMALL(Dong3,ROWS($1:$1)),))+12),$E$30-H22,$E$30/(OFFSET('SO-TS'!I$1,SMALL(Dong3,ROWS($1:$1)),)))),0))</f>
        <v>0</v>
      </c>
      <c r="H23" s="1117">
        <f t="shared" ca="1" si="1"/>
        <v>0</v>
      </c>
    </row>
    <row r="24" spans="1:8" ht="17.25" customHeight="1">
      <c r="A24" s="902" t="str">
        <f t="shared" ca="1" si="0"/>
        <v/>
      </c>
      <c r="B24" s="1082" t="str">
        <f ca="1" xml:space="preserve"> IF(ROWS($1:5)&gt;COUNT(Dong3),"",OFFSET('SO-TS'!B$1,SMALL(Dong3,ROWS($1:5)),))</f>
        <v/>
      </c>
      <c r="C24" s="1082" t="str">
        <f ca="1" xml:space="preserve"> IF(ROWS($1:5)&gt;COUNT(Dong3),"",OFFSET('SO-TS'!F$1,SMALL(Dong3,ROWS($1:5)),))</f>
        <v/>
      </c>
      <c r="D24" s="1113" t="str">
        <f ca="1" xml:space="preserve"> IF(ROWS($1:5)&gt;COUNT(Dong3),"",OFFSET('SO-TS'!D$1,SMALL(Dong3,ROWS($1:5)),))</f>
        <v/>
      </c>
      <c r="E24" s="1114" t="str">
        <f ca="1" xml:space="preserve"> IF(ROWS($1:5)&gt;COUNT(Dong3),"",OFFSET('SO-TS'!H$1,SMALL(Dong3,ROWS($1:5)),))</f>
        <v/>
      </c>
      <c r="F24" s="1115" t="str">
        <f ca="1">IF(OR(F23="",(ROW()-19)&gt;OFFSET('SO-TS'!I$1,SMALL(Dong3,ROWS($1:$1)),)),"",IF(VALUE(F23)&gt;=VALUE(YEAR(NOW())),"",F23+1))</f>
        <v/>
      </c>
      <c r="G24" s="91">
        <f ca="1">IF(F24="",0,ROUND(IF(OR(ROWS($1:$1)&gt;COUNT(Dong3),(ROW()-19)&gt;OFFSET('SO-TS'!I$1,SMALL(Dong3,ROWS($1:$1)),)),0,IF($E$30-H23&lt;($E$30/(OFFSET('SO-TS'!I$1,SMALL(Dong3,ROWS($1:$1)),))+12),$E$30-H23,$E$30/(OFFSET('SO-TS'!I$1,SMALL(Dong3,ROWS($1:$1)),)))),0))</f>
        <v>0</v>
      </c>
      <c r="H24" s="1117">
        <f t="shared" ca="1" si="1"/>
        <v>0</v>
      </c>
    </row>
    <row r="25" spans="1:8" ht="17.25" customHeight="1">
      <c r="A25" s="902" t="str">
        <f t="shared" ca="1" si="0"/>
        <v/>
      </c>
      <c r="B25" s="1082" t="str">
        <f ca="1" xml:space="preserve"> IF(ROWS($1:6)&gt;COUNT(Dong3),"",OFFSET('SO-TS'!B$1,SMALL(Dong3,ROWS($1:6)),))</f>
        <v/>
      </c>
      <c r="C25" s="1082" t="str">
        <f ca="1" xml:space="preserve"> IF(ROWS($1:6)&gt;COUNT(Dong3),"",OFFSET('SO-TS'!F$1,SMALL(Dong3,ROWS($1:6)),))</f>
        <v/>
      </c>
      <c r="D25" s="1113" t="str">
        <f ca="1" xml:space="preserve"> IF(ROWS($1:6)&gt;COUNT(Dong3),"",OFFSET('SO-TS'!D$1,SMALL(Dong3,ROWS($1:6)),))</f>
        <v/>
      </c>
      <c r="E25" s="1114" t="str">
        <f ca="1" xml:space="preserve"> IF(ROWS($1:6)&gt;COUNT(Dong3),"",OFFSET('SO-TS'!H$1,SMALL(Dong3,ROWS($1:6)),))</f>
        <v/>
      </c>
      <c r="F25" s="1115" t="str">
        <f ca="1">IF(OR(F24="",(ROW()-19)&gt;OFFSET('SO-TS'!I$1,SMALL(Dong3,ROWS($1:$1)),)),"",IF(VALUE(F24)&gt;=VALUE(YEAR(NOW())),"",F24+1))</f>
        <v/>
      </c>
      <c r="G25" s="91">
        <f ca="1">IF(F25="",0,ROUND(IF(OR(ROWS($1:$1)&gt;COUNT(Dong3),(ROW()-19)&gt;OFFSET('SO-TS'!I$1,SMALL(Dong3,ROWS($1:$1)),)),0,IF($E$30-H24&lt;($E$30/(OFFSET('SO-TS'!I$1,SMALL(Dong3,ROWS($1:$1)),))+12),$E$30-H24,$E$30/(OFFSET('SO-TS'!I$1,SMALL(Dong3,ROWS($1:$1)),)))),0))</f>
        <v>0</v>
      </c>
      <c r="H25" s="1117">
        <f t="shared" ca="1" si="1"/>
        <v>0</v>
      </c>
    </row>
    <row r="26" spans="1:8" ht="17.25" customHeight="1">
      <c r="A26" s="902" t="str">
        <f t="shared" ca="1" si="0"/>
        <v/>
      </c>
      <c r="B26" s="1082" t="str">
        <f ca="1" xml:space="preserve"> IF(ROWS($1:7)&gt;COUNT(Dong3),"",OFFSET('SO-TS'!B$1,SMALL(Dong3,ROWS($1:7)),))</f>
        <v/>
      </c>
      <c r="C26" s="1082" t="str">
        <f ca="1" xml:space="preserve"> IF(ROWS($1:7)&gt;COUNT(Dong3),"",OFFSET('SO-TS'!F$1,SMALL(Dong3,ROWS($1:7)),))</f>
        <v/>
      </c>
      <c r="D26" s="1113" t="str">
        <f ca="1" xml:space="preserve"> IF(ROWS($1:7)&gt;COUNT(Dong3),"",OFFSET('SO-TS'!D$1,SMALL(Dong3,ROWS($1:7)),))</f>
        <v/>
      </c>
      <c r="E26" s="1114" t="str">
        <f ca="1" xml:space="preserve"> IF(ROWS($1:7)&gt;COUNT(Dong3),"",OFFSET('SO-TS'!H$1,SMALL(Dong3,ROWS($1:7)),))</f>
        <v/>
      </c>
      <c r="F26" s="1115" t="str">
        <f ca="1">IF(OR(F25="",(ROW()-19)&gt;OFFSET('SO-TS'!I$1,SMALL(Dong3,ROWS($1:$1)),)),"",IF(VALUE(F25)&gt;=VALUE(YEAR(NOW())),"",F25+1))</f>
        <v/>
      </c>
      <c r="G26" s="91">
        <f ca="1">IF(F26="",0,ROUND(IF(OR(ROWS($1:$1)&gt;COUNT(Dong3),(ROW()-19)&gt;OFFSET('SO-TS'!I$1,SMALL(Dong3,ROWS($1:$1)),)),0,IF($E$30-H25&lt;($E$30/(OFFSET('SO-TS'!I$1,SMALL(Dong3,ROWS($1:$1)),))+12),$E$30-H25,$E$30/(OFFSET('SO-TS'!I$1,SMALL(Dong3,ROWS($1:$1)),)))),0))</f>
        <v>0</v>
      </c>
      <c r="H26" s="1117">
        <f t="shared" ca="1" si="1"/>
        <v>0</v>
      </c>
    </row>
    <row r="27" spans="1:8" ht="17.25" customHeight="1">
      <c r="A27" s="902" t="str">
        <f t="shared" ca="1" si="0"/>
        <v/>
      </c>
      <c r="B27" s="1082" t="str">
        <f ca="1" xml:space="preserve"> IF(ROWS($1:8)&gt;COUNT(Dong3),"",OFFSET('SO-TS'!B$1,SMALL(Dong3,ROWS($1:8)),))</f>
        <v/>
      </c>
      <c r="C27" s="1082" t="str">
        <f ca="1" xml:space="preserve"> IF(ROWS($1:8)&gt;COUNT(Dong3),"",OFFSET('SO-TS'!F$1,SMALL(Dong3,ROWS($1:8)),))</f>
        <v/>
      </c>
      <c r="D27" s="1113" t="str">
        <f ca="1" xml:space="preserve"> IF(ROWS($1:8)&gt;COUNT(Dong3),"",OFFSET('SO-TS'!D$1,SMALL(Dong3,ROWS($1:8)),))</f>
        <v/>
      </c>
      <c r="E27" s="1114" t="str">
        <f ca="1" xml:space="preserve"> IF(ROWS($1:8)&gt;COUNT(Dong3),"",OFFSET('SO-TS'!H$1,SMALL(Dong3,ROWS($1:8)),))</f>
        <v/>
      </c>
      <c r="F27" s="1115" t="str">
        <f ca="1">IF(OR(F26="",(ROW()-19)&gt;OFFSET('SO-TS'!I$1,SMALL(Dong3,ROWS($1:$1)),)),"",IF(VALUE(F26)&gt;=VALUE(YEAR(NOW())),"",F26+1))</f>
        <v/>
      </c>
      <c r="G27" s="91">
        <f ca="1">IF(F27="",0,ROUND(IF(OR(ROWS($1:$1)&gt;COUNT(Dong3),(ROW()-19)&gt;OFFSET('SO-TS'!I$1,SMALL(Dong3,ROWS($1:$1)),)),0,IF($E$30-H26&lt;($E$30/(OFFSET('SO-TS'!I$1,SMALL(Dong3,ROWS($1:$1)),))+12),$E$30-H26,$E$30/(OFFSET('SO-TS'!I$1,SMALL(Dong3,ROWS($1:$1)),)))),0))</f>
        <v>0</v>
      </c>
      <c r="H27" s="1117">
        <f t="shared" ca="1" si="1"/>
        <v>0</v>
      </c>
    </row>
    <row r="28" spans="1:8" ht="17.25" customHeight="1">
      <c r="A28" s="902" t="str">
        <f t="shared" ca="1" si="0"/>
        <v/>
      </c>
      <c r="B28" s="1082" t="str">
        <f ca="1" xml:space="preserve"> IF(ROWS($1:9)&gt;COUNT(Dong3),"",OFFSET('SO-TS'!B$1,SMALL(Dong3,ROWS($1:9)),))</f>
        <v/>
      </c>
      <c r="C28" s="1082" t="str">
        <f ca="1" xml:space="preserve"> IF(ROWS($1:9)&gt;COUNT(Dong3),"",OFFSET('SO-TS'!F$1,SMALL(Dong3,ROWS($1:9)),))</f>
        <v/>
      </c>
      <c r="D28" s="1113" t="str">
        <f ca="1" xml:space="preserve"> IF(ROWS($1:9)&gt;COUNT(Dong3),"",OFFSET('SO-TS'!D$1,SMALL(Dong3,ROWS($1:9)),))</f>
        <v/>
      </c>
      <c r="E28" s="1114" t="str">
        <f ca="1" xml:space="preserve"> IF(ROWS($1:9)&gt;COUNT(Dong3),"",OFFSET('SO-TS'!H$1,SMALL(Dong3,ROWS($1:9)),))</f>
        <v/>
      </c>
      <c r="F28" s="1115" t="str">
        <f ca="1">IF(OR(F27="",(ROW()-19)&gt;OFFSET('SO-TS'!I$1,SMALL(Dong3,ROWS($1:$1)),)),"",IF(VALUE(F27)&gt;=VALUE(YEAR(NOW())),"",F27+1))</f>
        <v/>
      </c>
      <c r="G28" s="91">
        <f ca="1">IF(F28="",0,ROUND(IF(OR(ROWS($1:$1)&gt;COUNT(Dong3),(ROW()-19)&gt;OFFSET('SO-TS'!I$1,SMALL(Dong3,ROWS($1:$1)),)),0,IF($E$30-H27&lt;($E$30/(OFFSET('SO-TS'!I$1,SMALL(Dong3,ROWS($1:$1)),))+12),$E$30-H27,$E$30/(OFFSET('SO-TS'!I$1,SMALL(Dong3,ROWS($1:$1)),)))),0))</f>
        <v>0</v>
      </c>
      <c r="H28" s="1117">
        <f t="shared" ca="1" si="1"/>
        <v>0</v>
      </c>
    </row>
    <row r="29" spans="1:8" ht="17.25" customHeight="1">
      <c r="A29" s="902" t="str">
        <f t="shared" si="0"/>
        <v/>
      </c>
      <c r="B29" s="1042"/>
      <c r="C29" s="1083"/>
      <c r="D29" s="1083"/>
      <c r="E29" s="1116"/>
      <c r="F29" s="1084"/>
      <c r="G29" s="1116"/>
      <c r="H29" s="1116"/>
    </row>
    <row r="30" spans="1:8" ht="17.25" customHeight="1">
      <c r="A30" s="1046"/>
      <c r="B30" s="1046" t="s">
        <v>1294</v>
      </c>
      <c r="C30" s="1085"/>
      <c r="D30" s="1085"/>
      <c r="E30" s="1118">
        <f ca="1">SUM(E20:E29)</f>
        <v>100000000</v>
      </c>
      <c r="F30" s="1085"/>
      <c r="G30" s="1118">
        <f ca="1">SUM(G20:G29)</f>
        <v>45000000</v>
      </c>
      <c r="H30" s="1118"/>
    </row>
    <row r="31" spans="1:8" ht="17.25" customHeight="1">
      <c r="A31" s="1086"/>
      <c r="B31" s="1086"/>
      <c r="C31" s="1087"/>
      <c r="D31" s="1087"/>
      <c r="E31" s="1087"/>
      <c r="F31" s="1087"/>
      <c r="G31" s="1088"/>
      <c r="H31" s="1088"/>
    </row>
    <row r="32" spans="1:8" ht="17.25" customHeight="1">
      <c r="A32" s="1086"/>
      <c r="B32" s="1086"/>
      <c r="C32" s="1087"/>
      <c r="D32" s="1087"/>
      <c r="E32" s="1087"/>
      <c r="F32" s="1087"/>
      <c r="G32" s="1088"/>
      <c r="H32" s="1088"/>
    </row>
    <row r="33" spans="1:8" ht="17.25" customHeight="1">
      <c r="A33" s="1440" t="s">
        <v>1295</v>
      </c>
      <c r="B33" s="1440"/>
      <c r="C33" s="1440"/>
      <c r="D33" s="1440"/>
      <c r="E33" s="1440"/>
      <c r="F33" s="1440"/>
      <c r="G33" s="1440"/>
      <c r="H33" s="1440"/>
    </row>
    <row r="34" spans="1:8" ht="27" customHeight="1">
      <c r="A34" s="1046" t="s">
        <v>37</v>
      </c>
      <c r="B34" s="1413" t="s">
        <v>1296</v>
      </c>
      <c r="C34" s="1415"/>
      <c r="D34" s="1085" t="s">
        <v>327</v>
      </c>
      <c r="E34" s="1085" t="s">
        <v>1297</v>
      </c>
      <c r="F34" s="1085" t="s">
        <v>1298</v>
      </c>
      <c r="G34" s="1088"/>
      <c r="H34" s="1088"/>
    </row>
    <row r="35" spans="1:8" ht="17.25" customHeight="1">
      <c r="A35" s="1046" t="s">
        <v>2</v>
      </c>
      <c r="B35" s="1046" t="s">
        <v>3</v>
      </c>
      <c r="C35" s="1085"/>
      <c r="D35" s="1085" t="s">
        <v>4</v>
      </c>
      <c r="E35" s="1085">
        <v>1</v>
      </c>
      <c r="F35" s="1085">
        <v>2</v>
      </c>
      <c r="G35" s="1088"/>
      <c r="H35" s="1088"/>
    </row>
    <row r="36" spans="1:8" ht="17.25" customHeight="1">
      <c r="A36" s="1089"/>
      <c r="B36" s="1089"/>
      <c r="C36" s="1090"/>
      <c r="D36" s="1090"/>
      <c r="E36" s="1090"/>
      <c r="F36" s="1090"/>
      <c r="G36" s="1088"/>
      <c r="H36" s="1088"/>
    </row>
    <row r="37" spans="1:8" ht="17.25" customHeight="1">
      <c r="A37" s="1091"/>
      <c r="B37" s="1091"/>
      <c r="C37" s="1092"/>
      <c r="D37" s="1092"/>
      <c r="E37" s="1092"/>
      <c r="F37" s="1092"/>
      <c r="G37" s="1088"/>
      <c r="H37" s="1088"/>
    </row>
    <row r="38" spans="1:8" ht="17.25" customHeight="1">
      <c r="A38" s="1091"/>
      <c r="B38" s="1091"/>
      <c r="C38" s="1092"/>
      <c r="D38" s="1092"/>
      <c r="E38" s="1092"/>
      <c r="F38" s="1092"/>
      <c r="G38" s="1088"/>
      <c r="H38" s="1088"/>
    </row>
    <row r="39" spans="1:8" ht="17.25" customHeight="1">
      <c r="A39" s="1091"/>
      <c r="B39" s="1091"/>
      <c r="C39" s="1092"/>
      <c r="D39" s="1092"/>
      <c r="E39" s="1092"/>
      <c r="F39" s="1092"/>
      <c r="G39" s="1088"/>
      <c r="H39" s="1088"/>
    </row>
    <row r="40" spans="1:8" ht="17.25" customHeight="1">
      <c r="A40" s="1093"/>
      <c r="B40" s="1093"/>
      <c r="C40" s="1094"/>
      <c r="D40" s="1094"/>
      <c r="E40" s="1094"/>
      <c r="F40" s="1094"/>
      <c r="G40" s="1088"/>
      <c r="H40" s="1088"/>
    </row>
    <row r="41" spans="1:8">
      <c r="A41" s="1086"/>
      <c r="B41" s="1086"/>
      <c r="C41" s="1087"/>
      <c r="D41" s="1087"/>
      <c r="E41" s="1087"/>
      <c r="F41" s="1087"/>
      <c r="G41" s="1088"/>
      <c r="H41" s="1088"/>
    </row>
    <row r="42" spans="1:8">
      <c r="A42" s="1441" t="str">
        <f ca="1" xml:space="preserve"> IF(ROWS($1:1)&gt;COUNT(Dong3),"","Ghi giảm TSCĐ chứng từ số:  "&amp;OFFSET('SO-TS'!$M$1,SMALL(Dong3,ROWS($1:1)),))</f>
        <v xml:space="preserve">Ghi giảm TSCĐ chứng từ số:  </v>
      </c>
      <c r="B42" s="1441"/>
      <c r="C42" s="1441"/>
      <c r="D42" s="1441"/>
      <c r="E42" s="1441"/>
      <c r="F42" s="1441"/>
      <c r="G42" s="1441"/>
      <c r="H42" s="1441"/>
    </row>
    <row r="43" spans="1:8">
      <c r="A43" s="1441" t="str">
        <f ca="1" xml:space="preserve"> IF(ROWS($1:1)&gt;COUNT(Dong3),"","Lý do giảm:   "&amp;OFFSET('SO-TS'!$O$1,SMALL(Dong3,ROWS($1:1)),))</f>
        <v xml:space="preserve">Lý do giảm:   </v>
      </c>
      <c r="B43" s="1441"/>
      <c r="C43" s="1441"/>
      <c r="D43" s="1441"/>
      <c r="E43" s="1441"/>
      <c r="F43" s="1441"/>
      <c r="G43" s="1441"/>
      <c r="H43" s="1441"/>
    </row>
    <row r="44" spans="1:8">
      <c r="A44" s="1057"/>
      <c r="B44" s="1057"/>
      <c r="C44" s="1052"/>
      <c r="D44" s="1052"/>
      <c r="E44" s="1425" t="s">
        <v>1341</v>
      </c>
      <c r="F44" s="1425"/>
      <c r="G44" s="1425"/>
      <c r="H44" s="1425"/>
    </row>
    <row r="45" spans="1:8">
      <c r="A45" s="1422" t="s">
        <v>1299</v>
      </c>
      <c r="B45" s="1422"/>
      <c r="C45" s="1422" t="s">
        <v>12</v>
      </c>
      <c r="D45" s="1422"/>
      <c r="E45" s="1423" t="s">
        <v>131</v>
      </c>
      <c r="F45" s="1423"/>
      <c r="G45" s="1423"/>
      <c r="H45" s="1423"/>
    </row>
    <row r="46" spans="1:8">
      <c r="A46" s="1027"/>
      <c r="B46" s="1027"/>
      <c r="C46" s="1031"/>
      <c r="D46" s="1031"/>
      <c r="E46" s="1031"/>
      <c r="F46" s="1031"/>
      <c r="G46" s="1031"/>
      <c r="H46" s="1031"/>
    </row>
    <row r="47" spans="1:8">
      <c r="A47" s="1027"/>
      <c r="B47" s="1027"/>
      <c r="C47" s="1031"/>
      <c r="D47" s="1031"/>
      <c r="E47" s="1031"/>
      <c r="F47" s="1031"/>
      <c r="G47" s="1031"/>
      <c r="H47" s="1031"/>
    </row>
    <row r="48" spans="1:8">
      <c r="A48" s="1027"/>
      <c r="B48" s="1027"/>
      <c r="C48" s="1031"/>
      <c r="D48" s="1031"/>
      <c r="E48" s="1031"/>
      <c r="F48" s="1031"/>
      <c r="G48" s="1031"/>
      <c r="H48" s="1031"/>
    </row>
    <row r="49" spans="1:8">
      <c r="A49" s="1027"/>
      <c r="B49" s="1027"/>
      <c r="C49" s="1031"/>
      <c r="D49" s="1031"/>
      <c r="E49" s="1031"/>
      <c r="F49" s="1031"/>
      <c r="G49" s="1031"/>
      <c r="H49" s="1031"/>
    </row>
    <row r="50" spans="1:8">
      <c r="A50" s="1027"/>
      <c r="B50" s="1027"/>
      <c r="C50" s="1031"/>
      <c r="D50" s="1031"/>
      <c r="E50" s="1031"/>
      <c r="F50" s="1031"/>
      <c r="G50" s="1031"/>
      <c r="H50" s="1031"/>
    </row>
    <row r="51" spans="1:8">
      <c r="A51" s="1027"/>
      <c r="B51" s="1027"/>
      <c r="C51" s="1031"/>
      <c r="D51" s="1031"/>
      <c r="E51" s="1031"/>
      <c r="F51" s="1031"/>
      <c r="G51" s="1031"/>
      <c r="H51" s="1031"/>
    </row>
    <row r="52" spans="1:8">
      <c r="A52" s="1027"/>
      <c r="B52" s="1027"/>
      <c r="C52" s="1031"/>
      <c r="D52" s="1031"/>
      <c r="E52" s="1031"/>
      <c r="F52" s="1031"/>
      <c r="G52" s="1031"/>
      <c r="H52" s="1031"/>
    </row>
    <row r="53" spans="1:8">
      <c r="A53" s="1424" t="s">
        <v>230</v>
      </c>
      <c r="B53" s="1424"/>
      <c r="C53" s="1052"/>
      <c r="D53" s="1052"/>
      <c r="E53" s="1425" t="s">
        <v>125</v>
      </c>
      <c r="F53" s="1425"/>
      <c r="G53" s="1425"/>
      <c r="H53" s="1425"/>
    </row>
  </sheetData>
  <dataConsolidate/>
  <mergeCells count="17">
    <mergeCell ref="E44:H44"/>
    <mergeCell ref="A17:B18"/>
    <mergeCell ref="C17:E17"/>
    <mergeCell ref="F17:H17"/>
    <mergeCell ref="A6:H6"/>
    <mergeCell ref="A7:H7"/>
    <mergeCell ref="A8:H8"/>
    <mergeCell ref="A19:B19"/>
    <mergeCell ref="A33:H33"/>
    <mergeCell ref="B34:C34"/>
    <mergeCell ref="A42:H42"/>
    <mergeCell ref="A43:H43"/>
    <mergeCell ref="A45:B45"/>
    <mergeCell ref="C45:D45"/>
    <mergeCell ref="E45:H45"/>
    <mergeCell ref="A53:B53"/>
    <mergeCell ref="E53:H5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r:id="rId1"/>
</worksheet>
</file>

<file path=xl/worksheets/sheet27.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28" customWidth="1"/>
    <col min="2" max="2" width="11" style="428" customWidth="1"/>
    <col min="3" max="3" width="22.140625" style="428" customWidth="1"/>
    <col min="4" max="4" width="6.7109375" style="428" customWidth="1"/>
    <col min="5" max="5" width="6.42578125" style="428" customWidth="1"/>
    <col min="6" max="6" width="8.85546875" style="428" customWidth="1"/>
    <col min="7" max="7" width="20.7109375" style="428" customWidth="1"/>
    <col min="8" max="11" width="9.140625" style="428"/>
    <col min="12" max="12" width="10.85546875" style="428" customWidth="1"/>
    <col min="13" max="16384" width="9.140625" style="428"/>
  </cols>
  <sheetData>
    <row r="1" spans="1:12">
      <c r="A1" s="132" t="s">
        <v>138</v>
      </c>
      <c r="D1" s="1444"/>
      <c r="E1" s="1444"/>
      <c r="F1" s="1444"/>
      <c r="G1" s="1444"/>
      <c r="I1" s="1444" t="s">
        <v>255</v>
      </c>
      <c r="J1" s="1444"/>
      <c r="K1" s="1444"/>
      <c r="L1" s="1444"/>
    </row>
    <row r="2" spans="1:12">
      <c r="A2" s="388" t="s">
        <v>139</v>
      </c>
      <c r="D2" s="1444"/>
      <c r="E2" s="1444"/>
      <c r="F2" s="1444"/>
      <c r="G2" s="1444"/>
      <c r="I2" s="1444" t="s">
        <v>237</v>
      </c>
      <c r="J2" s="1444"/>
      <c r="K2" s="1444"/>
      <c r="L2" s="1444"/>
    </row>
    <row r="3" spans="1:12">
      <c r="D3" s="1444"/>
      <c r="E3" s="1444"/>
      <c r="F3" s="1444"/>
      <c r="G3" s="1444"/>
      <c r="I3" s="1444" t="s">
        <v>256</v>
      </c>
      <c r="J3" s="1444"/>
      <c r="K3" s="1444"/>
      <c r="L3" s="1444"/>
    </row>
    <row r="8" spans="1:12" ht="40.5" customHeight="1">
      <c r="H8" s="429"/>
      <c r="I8" s="429"/>
      <c r="J8" s="429"/>
    </row>
    <row r="10" spans="1:12" ht="29.25" customHeight="1">
      <c r="A10" s="1442" t="s">
        <v>112</v>
      </c>
      <c r="B10" s="1442"/>
      <c r="C10" s="1442"/>
      <c r="D10" s="1442"/>
      <c r="E10" s="1442"/>
      <c r="F10" s="1442"/>
      <c r="G10" s="1442"/>
    </row>
    <row r="11" spans="1:12" ht="6" customHeight="1">
      <c r="H11" s="430"/>
      <c r="I11" s="430"/>
    </row>
    <row r="12" spans="1:12" ht="20.25">
      <c r="A12" s="1443" t="s">
        <v>257</v>
      </c>
      <c r="B12" s="1443"/>
      <c r="C12" s="1443"/>
      <c r="D12" s="1443"/>
      <c r="E12" s="1443"/>
      <c r="F12" s="1443"/>
      <c r="G12" s="1443"/>
    </row>
    <row r="13" spans="1:12" ht="64.5" customHeight="1"/>
    <row r="16" spans="1:12" ht="22.5" customHeight="1">
      <c r="B16" s="431" t="s">
        <v>258</v>
      </c>
    </row>
    <row r="17" spans="2:2" ht="22.5" customHeight="1">
      <c r="B17" s="431" t="s">
        <v>259</v>
      </c>
    </row>
    <row r="18" spans="2:2" ht="22.5" customHeight="1">
      <c r="B18" s="431"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71</vt:i4>
      </vt:variant>
    </vt:vector>
  </HeadingPairs>
  <TitlesOfParts>
    <vt:vector size="98"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CDPS!Print_Area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2016-05-31T02:26:28Z</cp:lastPrinted>
  <dcterms:created xsi:type="dcterms:W3CDTF">1996-10-14T23:33:28Z</dcterms:created>
  <dcterms:modified xsi:type="dcterms:W3CDTF">2016-05-31T02:42:28Z</dcterms:modified>
</cp:coreProperties>
</file>