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25" windowWidth="19440" windowHeight="8655" activeTab="5"/>
  </bookViews>
  <sheets>
    <sheet name="TD-TQ 2016" sheetId="1" r:id="rId1"/>
    <sheet name="CT-2016" sheetId="5" r:id="rId2"/>
    <sheet name="GC - TQ 2016" sheetId="2" r:id="rId3"/>
    <sheet name="BSHĐ - 2016" sheetId="6" r:id="rId4"/>
    <sheet name="TQ 2017" sheetId="8" r:id="rId5"/>
    <sheet name="CT-2017" sheetId="9" r:id="rId6"/>
    <sheet name="BSHĐ - 2017" sheetId="10" r:id="rId7"/>
    <sheet name="Sheet2" sheetId="12" r:id="rId8"/>
  </sheets>
  <definedNames>
    <definedName name="_Fill" localSheetId="6" hidden="1">#REF!</definedName>
    <definedName name="_Fill" localSheetId="1" hidden="1">#REF!</definedName>
    <definedName name="_Fill" localSheetId="5" hidden="1">#REF!</definedName>
    <definedName name="_Fill" localSheetId="2" hidden="1">#REF!</definedName>
    <definedName name="_Fill" localSheetId="4" hidden="1">#REF!</definedName>
    <definedName name="_Fill" hidden="1">#REF!</definedName>
    <definedName name="_xlnm.Print_Area" localSheetId="3">'BSHĐ - 2016'!$A$67:$I$89</definedName>
    <definedName name="_xlnm.Print_Area" localSheetId="6">'BSHĐ - 2017'!$A$67:$J$92</definedName>
    <definedName name="_xlnm.Print_Area" localSheetId="1">'CT-2016'!$A$522:$E$552</definedName>
    <definedName name="_xlnm.Print_Area" localSheetId="5">'CT-2017'!$H$144:$P$169</definedName>
    <definedName name="_xlnm.Print_Area" localSheetId="7">Sheet2!$A$4:$D$21</definedName>
    <definedName name="_xlnm.Print_Titles" localSheetId="0">'TD-TQ 2016'!$17:$18</definedName>
    <definedName name="_xlnm.Print_Titles" localSheetId="4">'TQ 2017'!$2:$3</definedName>
  </definedNames>
  <calcPr calcId="144525"/>
</workbook>
</file>

<file path=xl/calcChain.xml><?xml version="1.0" encoding="utf-8"?>
<calcChain xmlns="http://schemas.openxmlformats.org/spreadsheetml/2006/main">
  <c r="V50" i="8" l="1"/>
  <c r="F183" i="9" l="1"/>
  <c r="E183" i="9"/>
  <c r="D183" i="9"/>
  <c r="D173" i="9"/>
  <c r="R45" i="8"/>
  <c r="P45" i="8"/>
  <c r="N45" i="8"/>
  <c r="V32" i="8"/>
  <c r="K85" i="8"/>
  <c r="K63" i="8"/>
  <c r="F186" i="9" l="1"/>
  <c r="E150" i="9"/>
  <c r="E148" i="9"/>
  <c r="D147" i="9" l="1"/>
  <c r="E149" i="9"/>
  <c r="N27" i="8"/>
  <c r="M27" i="8"/>
  <c r="M164" i="9" l="1"/>
  <c r="K164" i="9"/>
  <c r="L164" i="9" s="1"/>
  <c r="K165" i="9"/>
  <c r="L165" i="9" s="1"/>
  <c r="K163" i="9"/>
  <c r="L163" i="9" s="1"/>
  <c r="M157" i="9"/>
  <c r="K157" i="9"/>
  <c r="L157" i="9" s="1"/>
  <c r="K158" i="9"/>
  <c r="L158" i="9" s="1"/>
  <c r="K159" i="9"/>
  <c r="L159" i="9" s="1"/>
  <c r="K160" i="9"/>
  <c r="K161" i="9"/>
  <c r="L161" i="9" s="1"/>
  <c r="K162" i="9"/>
  <c r="L162" i="9" s="1"/>
  <c r="N160" i="9"/>
  <c r="N161" i="9"/>
  <c r="N162" i="9"/>
  <c r="N163" i="9"/>
  <c r="N164" i="9"/>
  <c r="N165" i="9"/>
  <c r="P27" i="8"/>
  <c r="R27" i="8" s="1"/>
  <c r="O162" i="9" l="1"/>
  <c r="P162" i="9"/>
  <c r="L160" i="9"/>
  <c r="O164" i="9"/>
  <c r="P165" i="9"/>
  <c r="O163" i="9"/>
  <c r="P163" i="9"/>
  <c r="O165" i="9"/>
  <c r="P164" i="9"/>
  <c r="O161" i="9"/>
  <c r="P161" i="9" s="1"/>
  <c r="O160" i="9"/>
  <c r="P160" i="9" s="1"/>
  <c r="K149" i="9"/>
  <c r="O149" i="9" s="1"/>
  <c r="N149" i="9"/>
  <c r="F156" i="9"/>
  <c r="D146" i="9"/>
  <c r="V26" i="8"/>
  <c r="V36" i="8"/>
  <c r="K37" i="8"/>
  <c r="V39" i="8"/>
  <c r="K45" i="8"/>
  <c r="J89" i="8"/>
  <c r="K57" i="8"/>
  <c r="T40" i="8"/>
  <c r="E105" i="9"/>
  <c r="E103" i="9"/>
  <c r="E101" i="9"/>
  <c r="L149" i="9" l="1"/>
  <c r="P149" i="9"/>
  <c r="E87" i="10"/>
  <c r="G85" i="10"/>
  <c r="H85" i="10" s="1"/>
  <c r="I85" i="10" s="1"/>
  <c r="G84" i="10"/>
  <c r="H84" i="10" s="1"/>
  <c r="G83" i="10"/>
  <c r="G82" i="10"/>
  <c r="H82" i="10" s="1"/>
  <c r="I82" i="10" s="1"/>
  <c r="G81" i="10"/>
  <c r="H81" i="10" s="1"/>
  <c r="I81" i="10" s="1"/>
  <c r="G80" i="10"/>
  <c r="H80" i="10" s="1"/>
  <c r="G79" i="10"/>
  <c r="G78" i="10"/>
  <c r="H78" i="10" s="1"/>
  <c r="I78" i="10" s="1"/>
  <c r="G77" i="10"/>
  <c r="H77" i="10" s="1"/>
  <c r="I77" i="10" s="1"/>
  <c r="G76" i="10"/>
  <c r="G75" i="10"/>
  <c r="G74" i="10"/>
  <c r="H74" i="10" s="1"/>
  <c r="I74" i="10" s="1"/>
  <c r="G73" i="10"/>
  <c r="H73" i="10" s="1"/>
  <c r="I73" i="10" s="1"/>
  <c r="G72" i="10"/>
  <c r="H72" i="10" s="1"/>
  <c r="G71" i="10"/>
  <c r="G70" i="10"/>
  <c r="G69" i="10"/>
  <c r="H69" i="10" s="1"/>
  <c r="G87" i="10" l="1"/>
  <c r="I76" i="10"/>
  <c r="H76" i="10"/>
  <c r="H71" i="10"/>
  <c r="I71" i="10" s="1"/>
  <c r="I72" i="10"/>
  <c r="H75" i="10"/>
  <c r="I75" i="10" s="1"/>
  <c r="H79" i="10"/>
  <c r="I79" i="10" s="1"/>
  <c r="I80" i="10"/>
  <c r="H83" i="10"/>
  <c r="I83" i="10" s="1"/>
  <c r="I84" i="10"/>
  <c r="H70" i="10"/>
  <c r="I70" i="10" s="1"/>
  <c r="I69" i="10"/>
  <c r="N159" i="9"/>
  <c r="N158" i="9"/>
  <c r="N157" i="9"/>
  <c r="N156" i="9"/>
  <c r="K156" i="9"/>
  <c r="N155" i="9"/>
  <c r="K155" i="9"/>
  <c r="L155" i="9" s="1"/>
  <c r="N154" i="9"/>
  <c r="K154" i="9"/>
  <c r="N153" i="9"/>
  <c r="K153" i="9"/>
  <c r="N152" i="9"/>
  <c r="K152" i="9"/>
  <c r="L152" i="9" s="1"/>
  <c r="N151" i="9"/>
  <c r="K151" i="9"/>
  <c r="L151" i="9" s="1"/>
  <c r="N150" i="9"/>
  <c r="K150" i="9"/>
  <c r="M148" i="9"/>
  <c r="N148" i="9" s="1"/>
  <c r="K148" i="9"/>
  <c r="N147" i="9"/>
  <c r="K147" i="9"/>
  <c r="N146" i="9"/>
  <c r="K146" i="9"/>
  <c r="O147" i="9" l="1"/>
  <c r="P147" i="9" s="1"/>
  <c r="O150" i="9"/>
  <c r="H87" i="10"/>
  <c r="L154" i="9"/>
  <c r="P154" i="9" s="1"/>
  <c r="O159" i="9"/>
  <c r="P159" i="9" s="1"/>
  <c r="L150" i="9"/>
  <c r="O154" i="9"/>
  <c r="O153" i="9"/>
  <c r="P153" i="9" s="1"/>
  <c r="L147" i="9"/>
  <c r="O152" i="9"/>
  <c r="P152" i="9" s="1"/>
  <c r="O157" i="9"/>
  <c r="P157" i="9" s="1"/>
  <c r="N167" i="9"/>
  <c r="O151" i="9"/>
  <c r="P151" i="9" s="1"/>
  <c r="L153" i="9"/>
  <c r="O155" i="9"/>
  <c r="P155" i="9" s="1"/>
  <c r="O158" i="9"/>
  <c r="P158" i="9" s="1"/>
  <c r="O148" i="9"/>
  <c r="P148" i="9" s="1"/>
  <c r="M167" i="9"/>
  <c r="O146" i="9"/>
  <c r="L148" i="9"/>
  <c r="O156" i="9"/>
  <c r="P156" i="9" s="1"/>
  <c r="L146" i="9"/>
  <c r="L156" i="9"/>
  <c r="P146" i="9" l="1"/>
  <c r="P150" i="9"/>
  <c r="P167" i="9"/>
  <c r="E156" i="9" s="1"/>
  <c r="M136" i="9" l="1"/>
  <c r="N136" i="9" s="1"/>
  <c r="K136" i="9"/>
  <c r="L136" i="9" s="1"/>
  <c r="K137" i="9"/>
  <c r="L137" i="9" s="1"/>
  <c r="K138" i="9"/>
  <c r="L138" i="9" s="1"/>
  <c r="K127" i="9"/>
  <c r="L127" i="9" s="1"/>
  <c r="K128" i="9"/>
  <c r="L128" i="9" s="1"/>
  <c r="M130" i="9"/>
  <c r="K130" i="9"/>
  <c r="L130" i="9" s="1"/>
  <c r="K131" i="9"/>
  <c r="L131" i="9" s="1"/>
  <c r="K132" i="9"/>
  <c r="L132" i="9" s="1"/>
  <c r="K133" i="9"/>
  <c r="L133" i="9" s="1"/>
  <c r="K134" i="9"/>
  <c r="L134" i="9" s="1"/>
  <c r="M134" i="9"/>
  <c r="K135" i="9"/>
  <c r="L135" i="9" s="1"/>
  <c r="N135" i="9"/>
  <c r="M118" i="9"/>
  <c r="N118" i="9" s="1"/>
  <c r="K118" i="9"/>
  <c r="L118" i="9" s="1"/>
  <c r="K119" i="9"/>
  <c r="L119" i="9" s="1"/>
  <c r="K120" i="9"/>
  <c r="L120" i="9" s="1"/>
  <c r="K121" i="9"/>
  <c r="L121" i="9" s="1"/>
  <c r="K122" i="9"/>
  <c r="L122" i="9" s="1"/>
  <c r="K123" i="9"/>
  <c r="L123" i="9" s="1"/>
  <c r="K124" i="9"/>
  <c r="L124" i="9" s="1"/>
  <c r="K125" i="9"/>
  <c r="L125" i="9" s="1"/>
  <c r="K126" i="9"/>
  <c r="L126" i="9" s="1"/>
  <c r="N133" i="9"/>
  <c r="N138" i="9"/>
  <c r="N137" i="9"/>
  <c r="N134" i="9"/>
  <c r="N132" i="9"/>
  <c r="N129" i="9"/>
  <c r="K129" i="9"/>
  <c r="L129" i="9" s="1"/>
  <c r="N128" i="9"/>
  <c r="N127" i="9"/>
  <c r="K114" i="9"/>
  <c r="L114" i="9" s="1"/>
  <c r="K115" i="9"/>
  <c r="L115" i="9" s="1"/>
  <c r="K116" i="9"/>
  <c r="L116" i="9" s="1"/>
  <c r="K117" i="9"/>
  <c r="L117" i="9" s="1"/>
  <c r="N130" i="9"/>
  <c r="N126" i="9"/>
  <c r="N125" i="9"/>
  <c r="N124" i="9"/>
  <c r="N123" i="9"/>
  <c r="N131" i="9"/>
  <c r="M112" i="9"/>
  <c r="N112" i="9" s="1"/>
  <c r="K112" i="9"/>
  <c r="L112" i="9" s="1"/>
  <c r="K113" i="9"/>
  <c r="L113" i="9" s="1"/>
  <c r="M109" i="9"/>
  <c r="N109" i="9" s="1"/>
  <c r="K109" i="9"/>
  <c r="L109" i="9" s="1"/>
  <c r="K110" i="9"/>
  <c r="L110" i="9" s="1"/>
  <c r="M110" i="9"/>
  <c r="N110" i="9" s="1"/>
  <c r="K111" i="9"/>
  <c r="L111" i="9" s="1"/>
  <c r="N115" i="9"/>
  <c r="N114" i="9"/>
  <c r="N113" i="9"/>
  <c r="N111" i="9"/>
  <c r="N121" i="9"/>
  <c r="N120" i="9"/>
  <c r="N119" i="9"/>
  <c r="N117" i="9"/>
  <c r="N116" i="9"/>
  <c r="M106" i="9"/>
  <c r="K106" i="9"/>
  <c r="K107" i="9"/>
  <c r="L107" i="9" s="1"/>
  <c r="K108" i="9"/>
  <c r="L108" i="9" s="1"/>
  <c r="D97" i="9"/>
  <c r="N88" i="9"/>
  <c r="N89" i="9"/>
  <c r="N90" i="9"/>
  <c r="P90" i="9"/>
  <c r="M92" i="9"/>
  <c r="P89" i="9"/>
  <c r="N87" i="9"/>
  <c r="K87" i="9"/>
  <c r="P87" i="9" s="1"/>
  <c r="N86" i="9"/>
  <c r="K86" i="9"/>
  <c r="L86" i="9" s="1"/>
  <c r="N85" i="9"/>
  <c r="K85" i="9"/>
  <c r="L85" i="9" s="1"/>
  <c r="N122" i="9"/>
  <c r="N108" i="9"/>
  <c r="N107" i="9"/>
  <c r="N106" i="9"/>
  <c r="N105" i="9"/>
  <c r="K105" i="9"/>
  <c r="P105" i="9" s="1"/>
  <c r="N104" i="9"/>
  <c r="K104" i="9"/>
  <c r="L104" i="9" s="1"/>
  <c r="N103" i="9"/>
  <c r="K103" i="9"/>
  <c r="P103" i="9" s="1"/>
  <c r="N102" i="9"/>
  <c r="K102" i="9"/>
  <c r="P102" i="9" s="1"/>
  <c r="N101" i="9"/>
  <c r="K101" i="9"/>
  <c r="L101" i="9" s="1"/>
  <c r="N100" i="9"/>
  <c r="K100" i="9"/>
  <c r="L100" i="9" s="1"/>
  <c r="N99" i="9"/>
  <c r="K99" i="9"/>
  <c r="M98" i="9"/>
  <c r="K98" i="9"/>
  <c r="N97" i="9"/>
  <c r="K97" i="9"/>
  <c r="O97" i="9" s="1"/>
  <c r="O121" i="9" l="1"/>
  <c r="P121" i="9" s="1"/>
  <c r="O131" i="9"/>
  <c r="P131" i="9" s="1"/>
  <c r="O137" i="9"/>
  <c r="P137" i="9" s="1"/>
  <c r="O120" i="9"/>
  <c r="O127" i="9"/>
  <c r="O112" i="9"/>
  <c r="P112" i="9" s="1"/>
  <c r="P127" i="9"/>
  <c r="O133" i="9"/>
  <c r="P133" i="9" s="1"/>
  <c r="O136" i="9"/>
  <c r="P136" i="9" s="1"/>
  <c r="O132" i="9"/>
  <c r="P132" i="9" s="1"/>
  <c r="O134" i="9"/>
  <c r="P134" i="9" s="1"/>
  <c r="O138" i="9"/>
  <c r="P138" i="9" s="1"/>
  <c r="O135" i="9"/>
  <c r="P135" i="9" s="1"/>
  <c r="O128" i="9"/>
  <c r="O129" i="9"/>
  <c r="P129" i="9"/>
  <c r="P128" i="9"/>
  <c r="O130" i="9"/>
  <c r="P130" i="9" s="1"/>
  <c r="O124" i="9"/>
  <c r="P124" i="9" s="1"/>
  <c r="O123" i="9"/>
  <c r="P123" i="9" s="1"/>
  <c r="O125" i="9"/>
  <c r="P125" i="9" s="1"/>
  <c r="O126" i="9"/>
  <c r="P126" i="9" s="1"/>
  <c r="O117" i="9"/>
  <c r="P117" i="9" s="1"/>
  <c r="O118" i="9"/>
  <c r="P118" i="9" s="1"/>
  <c r="M140" i="9"/>
  <c r="O115" i="9"/>
  <c r="P115" i="9" s="1"/>
  <c r="L106" i="9"/>
  <c r="O111" i="9"/>
  <c r="P111" i="9" s="1"/>
  <c r="O110" i="9"/>
  <c r="P110" i="9" s="1"/>
  <c r="O113" i="9"/>
  <c r="P113" i="9" s="1"/>
  <c r="O114" i="9"/>
  <c r="P114" i="9" s="1"/>
  <c r="P120" i="9"/>
  <c r="O119" i="9"/>
  <c r="P119" i="9" s="1"/>
  <c r="O116" i="9"/>
  <c r="P116" i="9" s="1"/>
  <c r="O105" i="9"/>
  <c r="O85" i="9"/>
  <c r="O86" i="9"/>
  <c r="O87" i="9"/>
  <c r="N92" i="9"/>
  <c r="O90" i="9"/>
  <c r="L87" i="9"/>
  <c r="O89" i="9"/>
  <c r="P86" i="9"/>
  <c r="O88" i="9"/>
  <c r="P88" i="9"/>
  <c r="P85" i="9"/>
  <c r="O99" i="9"/>
  <c r="O102" i="9"/>
  <c r="O101" i="9"/>
  <c r="P101" i="9" s="1"/>
  <c r="O106" i="9"/>
  <c r="O109" i="9"/>
  <c r="P109" i="9" s="1"/>
  <c r="N98" i="9"/>
  <c r="N140" i="9" s="1"/>
  <c r="O107" i="9"/>
  <c r="P107" i="9" s="1"/>
  <c r="O122" i="9"/>
  <c r="P122" i="9" s="1"/>
  <c r="O103" i="9"/>
  <c r="L99" i="9"/>
  <c r="L103" i="9"/>
  <c r="L97" i="9"/>
  <c r="P97" i="9" s="1"/>
  <c r="L98" i="9"/>
  <c r="L105" i="9"/>
  <c r="O100" i="9"/>
  <c r="P100" i="9" s="1"/>
  <c r="L102" i="9"/>
  <c r="O104" i="9"/>
  <c r="O108" i="9"/>
  <c r="P108" i="9" s="1"/>
  <c r="P104" i="9"/>
  <c r="O98" i="9"/>
  <c r="D552" i="5"/>
  <c r="E550" i="5"/>
  <c r="E549" i="5"/>
  <c r="E548" i="5"/>
  <c r="E547" i="5"/>
  <c r="E546" i="5"/>
  <c r="E545" i="5"/>
  <c r="E544" i="5"/>
  <c r="E543" i="5"/>
  <c r="E542" i="5"/>
  <c r="E541" i="5"/>
  <c r="E540" i="5"/>
  <c r="E552" i="5" s="1"/>
  <c r="E533" i="5"/>
  <c r="E532" i="5"/>
  <c r="E531" i="5"/>
  <c r="E530" i="5"/>
  <c r="E529" i="5"/>
  <c r="E528" i="5"/>
  <c r="E527" i="5"/>
  <c r="E526" i="5"/>
  <c r="E525" i="5"/>
  <c r="E524" i="5"/>
  <c r="E523" i="5"/>
  <c r="E535" i="5" l="1"/>
  <c r="P98" i="9"/>
  <c r="P99" i="9"/>
  <c r="P106" i="9"/>
  <c r="P92" i="9"/>
  <c r="G85" i="8"/>
  <c r="G86" i="8"/>
  <c r="G87" i="8"/>
  <c r="G88" i="8"/>
  <c r="P140" i="9" l="1"/>
  <c r="E102" i="9" s="1"/>
  <c r="E110" i="9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G75" i="8"/>
  <c r="I75" i="8" s="1"/>
  <c r="F87" i="9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J69" i="8" s="1"/>
  <c r="G92" i="8"/>
  <c r="I92" i="8" s="1"/>
  <c r="G91" i="8"/>
  <c r="I91" i="8" s="1"/>
  <c r="G90" i="8"/>
  <c r="I90" i="8" s="1"/>
  <c r="G89" i="8"/>
  <c r="I89" i="8" s="1"/>
  <c r="I88" i="8"/>
  <c r="I87" i="8"/>
  <c r="I86" i="8"/>
  <c r="I85" i="8"/>
  <c r="J85" i="8" s="1"/>
  <c r="J75" i="8" l="1"/>
  <c r="F110" i="9"/>
  <c r="J81" i="8"/>
  <c r="D85" i="9"/>
  <c r="D91" i="9" s="1"/>
  <c r="E91" i="9"/>
  <c r="F91" i="9"/>
  <c r="G50" i="10"/>
  <c r="H50" i="10" s="1"/>
  <c r="G51" i="10"/>
  <c r="H51" i="10" s="1"/>
  <c r="G52" i="10"/>
  <c r="H52" i="10" s="1"/>
  <c r="I52" i="10" s="1"/>
  <c r="G53" i="10"/>
  <c r="H53" i="10" s="1"/>
  <c r="I53" i="10" s="1"/>
  <c r="G54" i="10"/>
  <c r="H54" i="10" s="1"/>
  <c r="G55" i="10"/>
  <c r="H55" i="10"/>
  <c r="G49" i="10"/>
  <c r="H49" i="10" s="1"/>
  <c r="I49" i="10" s="1"/>
  <c r="G48" i="10"/>
  <c r="H48" i="10"/>
  <c r="I48" i="10" s="1"/>
  <c r="G47" i="10"/>
  <c r="H47" i="10" s="1"/>
  <c r="G46" i="10"/>
  <c r="H46" i="10"/>
  <c r="G45" i="10"/>
  <c r="H45" i="10"/>
  <c r="G44" i="10"/>
  <c r="H44" i="10" s="1"/>
  <c r="I44" i="10" s="1"/>
  <c r="G43" i="10"/>
  <c r="H43" i="10" s="1"/>
  <c r="G42" i="10"/>
  <c r="H42" i="10" s="1"/>
  <c r="G41" i="10"/>
  <c r="G57" i="8"/>
  <c r="I57" i="8"/>
  <c r="G58" i="8"/>
  <c r="I58" i="8"/>
  <c r="G59" i="8"/>
  <c r="I59" i="8"/>
  <c r="G60" i="8"/>
  <c r="I60" i="8"/>
  <c r="G61" i="8"/>
  <c r="I61" i="8"/>
  <c r="G62" i="8"/>
  <c r="I62" i="8"/>
  <c r="G51" i="8"/>
  <c r="I51" i="8"/>
  <c r="G52" i="8"/>
  <c r="I52" i="8"/>
  <c r="G53" i="8"/>
  <c r="I53" i="8"/>
  <c r="G54" i="8"/>
  <c r="I54" i="8"/>
  <c r="G55" i="8"/>
  <c r="I55" i="8"/>
  <c r="G56" i="8"/>
  <c r="I56" i="8"/>
  <c r="F67" i="9"/>
  <c r="M70" i="9"/>
  <c r="N70" i="9" s="1"/>
  <c r="N71" i="9"/>
  <c r="K71" i="9"/>
  <c r="L71" i="9" s="1"/>
  <c r="M76" i="9"/>
  <c r="N76" i="9" s="1"/>
  <c r="M75" i="9"/>
  <c r="N75" i="9" s="1"/>
  <c r="K73" i="9"/>
  <c r="L73" i="9" s="1"/>
  <c r="N73" i="9"/>
  <c r="K74" i="9"/>
  <c r="O74" i="9" s="1"/>
  <c r="N74" i="9"/>
  <c r="K75" i="9"/>
  <c r="O75" i="9" s="1"/>
  <c r="K76" i="9"/>
  <c r="O76" i="9" s="1"/>
  <c r="K77" i="9"/>
  <c r="O77" i="9" s="1"/>
  <c r="N77" i="9"/>
  <c r="K78" i="9"/>
  <c r="L78" i="9" s="1"/>
  <c r="N78" i="9"/>
  <c r="K79" i="9"/>
  <c r="P79" i="9" s="1"/>
  <c r="N79" i="9"/>
  <c r="E74" i="9"/>
  <c r="E70" i="9"/>
  <c r="E71" i="9"/>
  <c r="E72" i="9"/>
  <c r="E73" i="9"/>
  <c r="G21" i="8"/>
  <c r="I21" i="8" s="1"/>
  <c r="G22" i="8"/>
  <c r="I22" i="8"/>
  <c r="G23" i="8"/>
  <c r="I23" i="8" s="1"/>
  <c r="G24" i="8"/>
  <c r="I24" i="8"/>
  <c r="G25" i="8"/>
  <c r="I25" i="8" s="1"/>
  <c r="G26" i="8"/>
  <c r="I26" i="8"/>
  <c r="G33" i="8"/>
  <c r="I33" i="8" s="1"/>
  <c r="G34" i="8"/>
  <c r="I34" i="8"/>
  <c r="G35" i="8"/>
  <c r="I35" i="8" s="1"/>
  <c r="G36" i="8"/>
  <c r="I36" i="8"/>
  <c r="D64" i="9"/>
  <c r="G40" i="10"/>
  <c r="H40" i="10" s="1"/>
  <c r="E58" i="10"/>
  <c r="G56" i="10"/>
  <c r="H56" i="10" s="1"/>
  <c r="G37" i="10"/>
  <c r="H37" i="10"/>
  <c r="I37" i="10" s="1"/>
  <c r="G39" i="10"/>
  <c r="H39" i="10" s="1"/>
  <c r="G38" i="10"/>
  <c r="H38" i="10" s="1"/>
  <c r="E53" i="9"/>
  <c r="N58" i="9"/>
  <c r="K58" i="9"/>
  <c r="O58" i="9" s="1"/>
  <c r="N57" i="9"/>
  <c r="K57" i="9"/>
  <c r="O57" i="9" s="1"/>
  <c r="N56" i="9"/>
  <c r="K56" i="9"/>
  <c r="O56" i="9" s="1"/>
  <c r="N55" i="9"/>
  <c r="K55" i="9"/>
  <c r="O55" i="9" s="1"/>
  <c r="N54" i="9"/>
  <c r="K54" i="9"/>
  <c r="O54" i="9" s="1"/>
  <c r="N53" i="9"/>
  <c r="K53" i="9"/>
  <c r="O53" i="9" s="1"/>
  <c r="N52" i="9"/>
  <c r="K52" i="9"/>
  <c r="O52" i="9" s="1"/>
  <c r="N51" i="9"/>
  <c r="K51" i="9"/>
  <c r="P51" i="9" s="1"/>
  <c r="N50" i="9"/>
  <c r="K50" i="9"/>
  <c r="P50" i="9" s="1"/>
  <c r="N49" i="9"/>
  <c r="K49" i="9"/>
  <c r="L49" i="9" s="1"/>
  <c r="N48" i="9"/>
  <c r="K48" i="9"/>
  <c r="L48" i="9" s="1"/>
  <c r="N47" i="9"/>
  <c r="K47" i="9"/>
  <c r="P47" i="9" s="1"/>
  <c r="N46" i="9"/>
  <c r="K46" i="9"/>
  <c r="P46" i="9" s="1"/>
  <c r="N45" i="9"/>
  <c r="K45" i="9"/>
  <c r="O45" i="9" s="1"/>
  <c r="N72" i="9"/>
  <c r="K72" i="9"/>
  <c r="L72" i="9" s="1"/>
  <c r="K70" i="9"/>
  <c r="L70" i="9" s="1"/>
  <c r="N69" i="9"/>
  <c r="K69" i="9"/>
  <c r="O69" i="9" s="1"/>
  <c r="N68" i="9"/>
  <c r="K68" i="9"/>
  <c r="L68" i="9" s="1"/>
  <c r="M67" i="9"/>
  <c r="N67" i="9" s="1"/>
  <c r="K67" i="9"/>
  <c r="L67" i="9" s="1"/>
  <c r="N66" i="9"/>
  <c r="K66" i="9"/>
  <c r="O66" i="9" s="1"/>
  <c r="N65" i="9"/>
  <c r="K65" i="9"/>
  <c r="O65" i="9" s="1"/>
  <c r="N64" i="9"/>
  <c r="K64" i="9"/>
  <c r="L64" i="9" s="1"/>
  <c r="F47" i="9"/>
  <c r="D45" i="9"/>
  <c r="D53" i="9" s="1"/>
  <c r="M60" i="9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K33" i="8"/>
  <c r="K4" i="8"/>
  <c r="D5" i="12"/>
  <c r="D15" i="12"/>
  <c r="D12" i="12" s="1"/>
  <c r="D18" i="12" s="1"/>
  <c r="F34" i="9"/>
  <c r="F31" i="9"/>
  <c r="G15" i="8"/>
  <c r="I15" i="8"/>
  <c r="G16" i="8"/>
  <c r="I16" i="8" s="1"/>
  <c r="G17" i="8"/>
  <c r="I17" i="8"/>
  <c r="G18" i="8"/>
  <c r="I18" i="8" s="1"/>
  <c r="G19" i="8"/>
  <c r="I19" i="8"/>
  <c r="G20" i="8"/>
  <c r="I20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E37" i="9"/>
  <c r="D29" i="9"/>
  <c r="D37" i="9" s="1"/>
  <c r="D16" i="9"/>
  <c r="E24" i="9"/>
  <c r="D17" i="9"/>
  <c r="F24" i="9"/>
  <c r="G10" i="8"/>
  <c r="I10" i="8" s="1"/>
  <c r="J10" i="8" s="1"/>
  <c r="N10" i="8" s="1"/>
  <c r="P10" i="8" s="1"/>
  <c r="R10" i="8" s="1"/>
  <c r="V14" i="8" s="1"/>
  <c r="G11" i="8"/>
  <c r="I11" i="8"/>
  <c r="G12" i="8"/>
  <c r="I12" i="8" s="1"/>
  <c r="G13" i="8"/>
  <c r="I13" i="8"/>
  <c r="G14" i="8"/>
  <c r="I14" i="8" s="1"/>
  <c r="F4" i="9"/>
  <c r="F5" i="9"/>
  <c r="D6" i="9"/>
  <c r="D2" i="9"/>
  <c r="E12" i="9"/>
  <c r="G5" i="8"/>
  <c r="I5" i="8" s="1"/>
  <c r="G6" i="8"/>
  <c r="I6" i="8" s="1"/>
  <c r="G7" i="8"/>
  <c r="G8" i="8"/>
  <c r="G9" i="8"/>
  <c r="I9" i="8" s="1"/>
  <c r="G4" i="8"/>
  <c r="G22" i="10"/>
  <c r="H22" i="10"/>
  <c r="I22" i="10" s="1"/>
  <c r="G23" i="10"/>
  <c r="H23" i="10" s="1"/>
  <c r="I23" i="10" s="1"/>
  <c r="G24" i="10"/>
  <c r="H24" i="10" s="1"/>
  <c r="G25" i="10"/>
  <c r="H25" i="10" s="1"/>
  <c r="I25" i="10" s="1"/>
  <c r="G26" i="10"/>
  <c r="H26" i="10" s="1"/>
  <c r="G14" i="10"/>
  <c r="H14" i="10" s="1"/>
  <c r="I14" i="10" s="1"/>
  <c r="G15" i="10"/>
  <c r="G16" i="10"/>
  <c r="H16" i="10" s="1"/>
  <c r="I16" i="10" s="1"/>
  <c r="G17" i="10"/>
  <c r="G18" i="10"/>
  <c r="H18" i="10" s="1"/>
  <c r="I18" i="10" s="1"/>
  <c r="G19" i="10"/>
  <c r="H19" i="10" s="1"/>
  <c r="G20" i="10"/>
  <c r="H20" i="10" s="1"/>
  <c r="I20" i="10" s="1"/>
  <c r="G21" i="10"/>
  <c r="H21" i="10"/>
  <c r="G27" i="8"/>
  <c r="I27" i="8" s="1"/>
  <c r="G28" i="8"/>
  <c r="I28" i="8"/>
  <c r="G29" i="8"/>
  <c r="I29" i="8" s="1"/>
  <c r="G30" i="8"/>
  <c r="I30" i="8"/>
  <c r="G31" i="8"/>
  <c r="I31" i="8" s="1"/>
  <c r="G32" i="8"/>
  <c r="I32" i="8"/>
  <c r="G63" i="8"/>
  <c r="I63" i="8" s="1"/>
  <c r="G64" i="8"/>
  <c r="I64" i="8" s="1"/>
  <c r="G65" i="8"/>
  <c r="I65" i="8" s="1"/>
  <c r="G66" i="8"/>
  <c r="I66" i="8" s="1"/>
  <c r="G67" i="8"/>
  <c r="I67" i="8"/>
  <c r="G68" i="8"/>
  <c r="I68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G99" i="8"/>
  <c r="I99" i="8" s="1"/>
  <c r="G100" i="8"/>
  <c r="I100" i="8" s="1"/>
  <c r="G101" i="8"/>
  <c r="I101" i="8" s="1"/>
  <c r="G102" i="8"/>
  <c r="I102" i="8" s="1"/>
  <c r="G103" i="8"/>
  <c r="I103" i="8" s="1"/>
  <c r="G104" i="8"/>
  <c r="I104" i="8" s="1"/>
  <c r="I7" i="8"/>
  <c r="I8" i="8"/>
  <c r="I4" i="8"/>
  <c r="I21" i="10"/>
  <c r="H17" i="10"/>
  <c r="I17" i="10" s="1"/>
  <c r="G13" i="10"/>
  <c r="G12" i="10"/>
  <c r="G11" i="10"/>
  <c r="H11" i="10" s="1"/>
  <c r="I11" i="10" s="1"/>
  <c r="G10" i="10"/>
  <c r="H10" i="10" s="1"/>
  <c r="I10" i="10" s="1"/>
  <c r="G9" i="10"/>
  <c r="G8" i="10"/>
  <c r="G7" i="10"/>
  <c r="H7" i="10" s="1"/>
  <c r="I7" i="10" s="1"/>
  <c r="G6" i="10"/>
  <c r="H6" i="10" s="1"/>
  <c r="I6" i="10" s="1"/>
  <c r="G5" i="10"/>
  <c r="H5" i="10" s="1"/>
  <c r="G4" i="10"/>
  <c r="H4" i="10" s="1"/>
  <c r="I4" i="10" s="1"/>
  <c r="H9" i="10"/>
  <c r="I9" i="10" s="1"/>
  <c r="H8" i="10"/>
  <c r="I8" i="10" s="1"/>
  <c r="H12" i="10"/>
  <c r="I12" i="10" s="1"/>
  <c r="H13" i="10"/>
  <c r="I13" i="10" s="1"/>
  <c r="U106" i="8"/>
  <c r="K106" i="8"/>
  <c r="T106" i="8"/>
  <c r="Q106" i="8"/>
  <c r="F106" i="8"/>
  <c r="M106" i="8"/>
  <c r="F501" i="5"/>
  <c r="F502" i="5"/>
  <c r="F503" i="5"/>
  <c r="F498" i="5"/>
  <c r="I506" i="5"/>
  <c r="E494" i="5"/>
  <c r="F506" i="5"/>
  <c r="O22" i="1"/>
  <c r="O103" i="1" s="1"/>
  <c r="O19" i="1"/>
  <c r="T27" i="1"/>
  <c r="T103" i="1"/>
  <c r="H27" i="1"/>
  <c r="I26" i="1" s="1"/>
  <c r="K26" i="1" s="1"/>
  <c r="H28" i="1"/>
  <c r="H29" i="1"/>
  <c r="R20" i="1"/>
  <c r="R21" i="1"/>
  <c r="R19" i="1"/>
  <c r="H51" i="1"/>
  <c r="H46" i="1"/>
  <c r="S103" i="1"/>
  <c r="H20" i="1"/>
  <c r="R103" i="1"/>
  <c r="L103" i="1"/>
  <c r="N98" i="1"/>
  <c r="P98" i="1"/>
  <c r="N92" i="1"/>
  <c r="P92" i="1" s="1"/>
  <c r="N86" i="1"/>
  <c r="P86" i="1"/>
  <c r="N80" i="1"/>
  <c r="P80" i="1" s="1"/>
  <c r="N78" i="1"/>
  <c r="P78" i="1" s="1"/>
  <c r="N72" i="1"/>
  <c r="P72" i="1" s="1"/>
  <c r="N68" i="1"/>
  <c r="P68" i="1" s="1"/>
  <c r="N64" i="1"/>
  <c r="P64" i="1" s="1"/>
  <c r="N62" i="1"/>
  <c r="P62" i="1"/>
  <c r="N58" i="1"/>
  <c r="P58" i="1" s="1"/>
  <c r="N48" i="1"/>
  <c r="P48" i="1" s="1"/>
  <c r="N54" i="1"/>
  <c r="P54" i="1" s="1"/>
  <c r="N43" i="1"/>
  <c r="P43" i="1" s="1"/>
  <c r="N39" i="1"/>
  <c r="P39" i="1" s="1"/>
  <c r="N37" i="1"/>
  <c r="P37" i="1" s="1"/>
  <c r="N33" i="1"/>
  <c r="P33" i="1" s="1"/>
  <c r="N29" i="1"/>
  <c r="P29" i="1"/>
  <c r="N24" i="1"/>
  <c r="P24" i="1" s="1"/>
  <c r="N26" i="1"/>
  <c r="P26" i="1" s="1"/>
  <c r="N22" i="1"/>
  <c r="P22" i="1" s="1"/>
  <c r="N19" i="1"/>
  <c r="P19" i="1" s="1"/>
  <c r="I489" i="5"/>
  <c r="F487" i="5"/>
  <c r="F489" i="5" s="1"/>
  <c r="E479" i="5"/>
  <c r="I474" i="5"/>
  <c r="F472" i="5"/>
  <c r="F474" i="5" s="1"/>
  <c r="E464" i="5"/>
  <c r="E474" i="5" s="1"/>
  <c r="F427" i="5"/>
  <c r="F426" i="5"/>
  <c r="F429" i="5" s="1"/>
  <c r="I459" i="5"/>
  <c r="F457" i="5"/>
  <c r="E447" i="5"/>
  <c r="E459" i="5"/>
  <c r="F459" i="5"/>
  <c r="F437" i="5"/>
  <c r="F438" i="5"/>
  <c r="F439" i="5"/>
  <c r="F436" i="5"/>
  <c r="F440" i="5"/>
  <c r="I442" i="5"/>
  <c r="E434" i="5"/>
  <c r="E442" i="5"/>
  <c r="I429" i="5"/>
  <c r="E424" i="5"/>
  <c r="E429" i="5" s="1"/>
  <c r="K393" i="5"/>
  <c r="J389" i="5"/>
  <c r="M389" i="5" s="1"/>
  <c r="J390" i="5"/>
  <c r="M390" i="5" s="1"/>
  <c r="N390" i="5" s="1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/>
  <c r="F100" i="1"/>
  <c r="H100" i="1" s="1"/>
  <c r="F99" i="1"/>
  <c r="H99" i="1"/>
  <c r="F98" i="1"/>
  <c r="H98" i="1" s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J361" i="5"/>
  <c r="M361" i="5" s="1"/>
  <c r="I403" i="5"/>
  <c r="M388" i="5"/>
  <c r="K396" i="5"/>
  <c r="L390" i="5"/>
  <c r="L391" i="5"/>
  <c r="L392" i="5"/>
  <c r="L393" i="5"/>
  <c r="L394" i="5"/>
  <c r="K385" i="5"/>
  <c r="L385" i="5" s="1"/>
  <c r="K380" i="5"/>
  <c r="L380" i="5"/>
  <c r="K369" i="5"/>
  <c r="L369" i="5" s="1"/>
  <c r="L366" i="5"/>
  <c r="K364" i="5"/>
  <c r="L364" i="5" s="1"/>
  <c r="K375" i="5"/>
  <c r="L375" i="5" s="1"/>
  <c r="L365" i="5"/>
  <c r="K371" i="5"/>
  <c r="L371" i="5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/>
  <c r="J308" i="5"/>
  <c r="J309" i="5"/>
  <c r="J310" i="5"/>
  <c r="J311" i="5"/>
  <c r="K311" i="5"/>
  <c r="L311" i="5" s="1"/>
  <c r="N311" i="5" s="1"/>
  <c r="K302" i="5"/>
  <c r="L302" i="5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 s="1"/>
  <c r="M366" i="5"/>
  <c r="F402" i="5"/>
  <c r="E406" i="5"/>
  <c r="E401" i="5"/>
  <c r="F89" i="1"/>
  <c r="H89" i="1"/>
  <c r="M364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 s="1"/>
  <c r="G81" i="6"/>
  <c r="H81" i="6"/>
  <c r="G80" i="6"/>
  <c r="H80" i="6" s="1"/>
  <c r="G79" i="6"/>
  <c r="H79" i="6"/>
  <c r="G77" i="6"/>
  <c r="H77" i="6" s="1"/>
  <c r="G76" i="6"/>
  <c r="H76" i="6"/>
  <c r="G74" i="6"/>
  <c r="H74" i="6" s="1"/>
  <c r="G72" i="6"/>
  <c r="H72" i="6"/>
  <c r="G70" i="6"/>
  <c r="H70" i="6" s="1"/>
  <c r="H85" i="6" s="1"/>
  <c r="F350" i="5"/>
  <c r="F347" i="5"/>
  <c r="E350" i="5"/>
  <c r="F349" i="5"/>
  <c r="E346" i="5"/>
  <c r="J333" i="5"/>
  <c r="J334" i="5"/>
  <c r="J335" i="5"/>
  <c r="L362" i="5"/>
  <c r="L361" i="5"/>
  <c r="F96" i="1"/>
  <c r="H96" i="1" s="1"/>
  <c r="F97" i="1"/>
  <c r="H97" i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 s="1"/>
  <c r="E332" i="5"/>
  <c r="A332" i="5"/>
  <c r="L331" i="5"/>
  <c r="E331" i="5"/>
  <c r="A331" i="5"/>
  <c r="F91" i="1"/>
  <c r="H91" i="1" s="1"/>
  <c r="F92" i="1"/>
  <c r="H92" i="1" s="1"/>
  <c r="I92" i="1" s="1"/>
  <c r="K92" i="1" s="1"/>
  <c r="F93" i="1"/>
  <c r="H93" i="1" s="1"/>
  <c r="F94" i="1"/>
  <c r="H94" i="1"/>
  <c r="F95" i="1"/>
  <c r="H95" i="1" s="1"/>
  <c r="F90" i="1"/>
  <c r="H90" i="1"/>
  <c r="F84" i="1"/>
  <c r="H84" i="1" s="1"/>
  <c r="F85" i="1"/>
  <c r="H85" i="1"/>
  <c r="F86" i="1"/>
  <c r="H86" i="1" s="1"/>
  <c r="F87" i="1"/>
  <c r="H87" i="1" s="1"/>
  <c r="F88" i="1"/>
  <c r="H88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 s="1"/>
  <c r="G51" i="6"/>
  <c r="H51" i="6"/>
  <c r="G49" i="6"/>
  <c r="H49" i="6" s="1"/>
  <c r="G48" i="6"/>
  <c r="H48" i="6" s="1"/>
  <c r="G47" i="6"/>
  <c r="G56" i="6"/>
  <c r="H56" i="6" s="1"/>
  <c r="G55" i="6"/>
  <c r="H55" i="6"/>
  <c r="G54" i="6"/>
  <c r="H54" i="6" s="1"/>
  <c r="G52" i="6"/>
  <c r="H52" i="6"/>
  <c r="G50" i="6"/>
  <c r="H50" i="6" s="1"/>
  <c r="F79" i="1"/>
  <c r="H79" i="1"/>
  <c r="F80" i="1"/>
  <c r="H80" i="1" s="1"/>
  <c r="F81" i="1"/>
  <c r="H81" i="1"/>
  <c r="F82" i="1"/>
  <c r="H82" i="1" s="1"/>
  <c r="F83" i="1"/>
  <c r="H83" i="1"/>
  <c r="F78" i="1"/>
  <c r="H78" i="1" s="1"/>
  <c r="I78" i="1" s="1"/>
  <c r="K78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/>
  <c r="G31" i="6"/>
  <c r="H31" i="6" s="1"/>
  <c r="G32" i="6"/>
  <c r="H32" i="6"/>
  <c r="G33" i="6"/>
  <c r="H33" i="6" s="1"/>
  <c r="G30" i="6"/>
  <c r="H30" i="6"/>
  <c r="G29" i="6"/>
  <c r="H29" i="6" s="1"/>
  <c r="G28" i="6"/>
  <c r="H28" i="6"/>
  <c r="G27" i="6"/>
  <c r="H27" i="6" s="1"/>
  <c r="G26" i="6"/>
  <c r="H26" i="6"/>
  <c r="G25" i="6"/>
  <c r="G36" i="6" s="1"/>
  <c r="G24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/>
  <c r="G4" i="6"/>
  <c r="H4" i="6" s="1"/>
  <c r="G5" i="6"/>
  <c r="H5" i="6" s="1"/>
  <c r="G6" i="6"/>
  <c r="H6" i="6"/>
  <c r="G7" i="6"/>
  <c r="H7" i="6" s="1"/>
  <c r="G8" i="6"/>
  <c r="H8" i="6"/>
  <c r="G9" i="6"/>
  <c r="H9" i="6" s="1"/>
  <c r="G10" i="6"/>
  <c r="H10" i="6"/>
  <c r="G11" i="6"/>
  <c r="H11" i="6" s="1"/>
  <c r="G12" i="6"/>
  <c r="H12" i="6"/>
  <c r="N220" i="5"/>
  <c r="K218" i="5"/>
  <c r="K222" i="5"/>
  <c r="N209" i="5"/>
  <c r="N210" i="5"/>
  <c r="N208" i="5"/>
  <c r="J212" i="5"/>
  <c r="J213" i="5"/>
  <c r="J214" i="5"/>
  <c r="J215" i="5"/>
  <c r="J216" i="5"/>
  <c r="J217" i="5"/>
  <c r="J218" i="5"/>
  <c r="N219" i="5"/>
  <c r="L218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/>
  <c r="L161" i="5"/>
  <c r="J161" i="5"/>
  <c r="L160" i="5"/>
  <c r="J160" i="5"/>
  <c r="J159" i="5"/>
  <c r="K122" i="5"/>
  <c r="L122" i="5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/>
  <c r="C58" i="5"/>
  <c r="E58" i="5" s="1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/>
  <c r="J28" i="2"/>
  <c r="N28" i="2" s="1"/>
  <c r="J27" i="2"/>
  <c r="N27" i="2"/>
  <c r="J26" i="2"/>
  <c r="N26" i="2" s="1"/>
  <c r="E26" i="2"/>
  <c r="J25" i="2"/>
  <c r="N25" i="2" s="1"/>
  <c r="D25" i="2"/>
  <c r="E25" i="2" s="1"/>
  <c r="A25" i="2"/>
  <c r="J24" i="2"/>
  <c r="N24" i="2"/>
  <c r="E24" i="2"/>
  <c r="A24" i="2"/>
  <c r="J23" i="2"/>
  <c r="N23" i="2"/>
  <c r="E23" i="2"/>
  <c r="A23" i="2"/>
  <c r="J22" i="2"/>
  <c r="N22" i="2"/>
  <c r="E22" i="2"/>
  <c r="A22" i="2"/>
  <c r="J21" i="2"/>
  <c r="N21" i="2"/>
  <c r="E21" i="2"/>
  <c r="A21" i="2"/>
  <c r="J20" i="2"/>
  <c r="N20" i="2"/>
  <c r="E20" i="2"/>
  <c r="A20" i="2"/>
  <c r="J19" i="2"/>
  <c r="N19" i="2"/>
  <c r="E19" i="2"/>
  <c r="A19" i="2"/>
  <c r="J18" i="2"/>
  <c r="N18" i="2"/>
  <c r="C18" i="2"/>
  <c r="E18" i="2" s="1"/>
  <c r="A18" i="2"/>
  <c r="F15" i="2"/>
  <c r="C15" i="2"/>
  <c r="E11" i="2"/>
  <c r="E10" i="2"/>
  <c r="E15" i="2"/>
  <c r="F9" i="2"/>
  <c r="C36" i="2" s="1"/>
  <c r="E36" i="2" s="1"/>
  <c r="E41" i="2" s="1"/>
  <c r="F43" i="2" s="1"/>
  <c r="C9" i="2"/>
  <c r="E5" i="2"/>
  <c r="E9" i="2"/>
  <c r="H38" i="1"/>
  <c r="H37" i="1"/>
  <c r="A26" i="1"/>
  <c r="H25" i="1"/>
  <c r="H24" i="1"/>
  <c r="H23" i="1"/>
  <c r="H22" i="1"/>
  <c r="H19" i="1"/>
  <c r="I19" i="1" s="1"/>
  <c r="K19" i="1" s="1"/>
  <c r="I137" i="5"/>
  <c r="G58" i="6"/>
  <c r="F408" i="5"/>
  <c r="H24" i="6"/>
  <c r="G85" i="6"/>
  <c r="H47" i="6"/>
  <c r="H58" i="6" s="1"/>
  <c r="F147" i="5"/>
  <c r="M365" i="5"/>
  <c r="K258" i="5"/>
  <c r="N310" i="5"/>
  <c r="L396" i="5"/>
  <c r="K173" i="5"/>
  <c r="L255" i="5"/>
  <c r="N335" i="5"/>
  <c r="N393" i="5"/>
  <c r="E90" i="5"/>
  <c r="K313" i="5"/>
  <c r="N333" i="5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122" i="5"/>
  <c r="N254" i="5"/>
  <c r="N251" i="5"/>
  <c r="F272" i="5"/>
  <c r="F352" i="5"/>
  <c r="N301" i="5"/>
  <c r="N304" i="5"/>
  <c r="N45" i="5"/>
  <c r="N65" i="5"/>
  <c r="N213" i="5"/>
  <c r="N361" i="5"/>
  <c r="M394" i="5"/>
  <c r="E420" i="5"/>
  <c r="F184" i="5"/>
  <c r="I39" i="1"/>
  <c r="K39" i="1" s="1"/>
  <c r="I29" i="1"/>
  <c r="K29" i="1" s="1"/>
  <c r="I22" i="1"/>
  <c r="K22" i="1" s="1"/>
  <c r="I24" i="1"/>
  <c r="K24" i="1" s="1"/>
  <c r="I37" i="1"/>
  <c r="K37" i="1"/>
  <c r="I54" i="1"/>
  <c r="K54" i="1" s="1"/>
  <c r="I64" i="1"/>
  <c r="K64" i="1"/>
  <c r="I68" i="1"/>
  <c r="K68" i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N59" i="5"/>
  <c r="N63" i="5"/>
  <c r="N25" i="5"/>
  <c r="N70" i="5"/>
  <c r="L222" i="5"/>
  <c r="E236" i="5"/>
  <c r="N244" i="5"/>
  <c r="N246" i="5"/>
  <c r="N248" i="5"/>
  <c r="N42" i="5"/>
  <c r="E184" i="5"/>
  <c r="E190" i="5" s="1"/>
  <c r="E199" i="5" s="1"/>
  <c r="N169" i="5"/>
  <c r="N376" i="5"/>
  <c r="E137" i="5"/>
  <c r="N157" i="5"/>
  <c r="N363" i="5"/>
  <c r="N306" i="5"/>
  <c r="N364" i="5"/>
  <c r="N26" i="5"/>
  <c r="N49" i="5"/>
  <c r="N115" i="5"/>
  <c r="E408" i="5"/>
  <c r="N374" i="5"/>
  <c r="N66" i="5"/>
  <c r="N68" i="5"/>
  <c r="L124" i="5"/>
  <c r="N211" i="5"/>
  <c r="F236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02" i="5"/>
  <c r="N368" i="5"/>
  <c r="N64" i="5"/>
  <c r="E100" i="5"/>
  <c r="N161" i="5"/>
  <c r="N167" i="5"/>
  <c r="N165" i="5"/>
  <c r="N255" i="5"/>
  <c r="N250" i="5"/>
  <c r="F281" i="5"/>
  <c r="N308" i="5"/>
  <c r="F442" i="5"/>
  <c r="I444" i="5"/>
  <c r="N164" i="5"/>
  <c r="N249" i="5"/>
  <c r="E281" i="5"/>
  <c r="N67" i="5"/>
  <c r="N109" i="5"/>
  <c r="N166" i="5"/>
  <c r="N218" i="5"/>
  <c r="L258" i="5"/>
  <c r="E272" i="5"/>
  <c r="I431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73" i="5" s="1"/>
  <c r="E167" i="5" s="1"/>
  <c r="E173" i="5" s="1"/>
  <c r="N168" i="5"/>
  <c r="N217" i="5"/>
  <c r="N383" i="5"/>
  <c r="N379" i="5"/>
  <c r="N371" i="5"/>
  <c r="N46" i="5"/>
  <c r="N212" i="5"/>
  <c r="N309" i="5"/>
  <c r="N307" i="5"/>
  <c r="N303" i="5"/>
  <c r="N17" i="5"/>
  <c r="N38" i="5"/>
  <c r="K28" i="5"/>
  <c r="N41" i="5"/>
  <c r="L73" i="5"/>
  <c r="L51" i="5"/>
  <c r="L17" i="5"/>
  <c r="N36" i="5"/>
  <c r="N171" i="5"/>
  <c r="L173" i="5"/>
  <c r="N58" i="5"/>
  <c r="N73" i="5" s="1"/>
  <c r="E69" i="5" s="1"/>
  <c r="N362" i="5"/>
  <c r="J93" i="8" l="1"/>
  <c r="L28" i="5"/>
  <c r="C24" i="5" s="1"/>
  <c r="E24" i="5" s="1"/>
  <c r="N24" i="5"/>
  <c r="N28" i="5" s="1"/>
  <c r="E26" i="5" s="1"/>
  <c r="H15" i="6"/>
  <c r="I80" i="1"/>
  <c r="K80" i="1" s="1"/>
  <c r="N369" i="5"/>
  <c r="L387" i="5"/>
  <c r="J33" i="8"/>
  <c r="N33" i="8" s="1"/>
  <c r="P33" i="8" s="1"/>
  <c r="R33" i="8" s="1"/>
  <c r="L313" i="5"/>
  <c r="N298" i="5"/>
  <c r="J21" i="8"/>
  <c r="N21" i="8" s="1"/>
  <c r="P21" i="8" s="1"/>
  <c r="R21" i="8" s="1"/>
  <c r="I98" i="1"/>
  <c r="K98" i="1" s="1"/>
  <c r="J27" i="8"/>
  <c r="I15" i="10"/>
  <c r="C27" i="2"/>
  <c r="E27" i="2" s="1"/>
  <c r="E31" i="2" s="1"/>
  <c r="E33" i="2" s="1"/>
  <c r="G15" i="6"/>
  <c r="H25" i="6"/>
  <c r="N40" i="8"/>
  <c r="P40" i="8" s="1"/>
  <c r="R40" i="8" s="1"/>
  <c r="N387" i="5"/>
  <c r="I404" i="5" s="1"/>
  <c r="I408" i="5" s="1"/>
  <c r="N258" i="5"/>
  <c r="E253" i="5" s="1"/>
  <c r="E258" i="5" s="1"/>
  <c r="E17" i="5"/>
  <c r="E78" i="5" s="1"/>
  <c r="H15" i="10"/>
  <c r="N51" i="5"/>
  <c r="E46" i="5" s="1"/>
  <c r="E51" i="5" s="1"/>
  <c r="N343" i="5"/>
  <c r="E341" i="5" s="1"/>
  <c r="E343" i="5" s="1"/>
  <c r="I348" i="5" s="1"/>
  <c r="I352" i="5" s="1"/>
  <c r="N31" i="2"/>
  <c r="E28" i="2" s="1"/>
  <c r="J4" i="8"/>
  <c r="J15" i="8"/>
  <c r="N15" i="8" s="1"/>
  <c r="P15" i="8" s="1"/>
  <c r="R15" i="8" s="1"/>
  <c r="V20" i="8" s="1"/>
  <c r="I45" i="10"/>
  <c r="N124" i="5"/>
  <c r="E119" i="5" s="1"/>
  <c r="E124" i="5" s="1"/>
  <c r="E126" i="5" s="1"/>
  <c r="N396" i="5"/>
  <c r="E73" i="5"/>
  <c r="N222" i="5"/>
  <c r="E218" i="5" s="1"/>
  <c r="E222" i="5" s="1"/>
  <c r="N313" i="5"/>
  <c r="E301" i="5" s="1"/>
  <c r="E313" i="5" s="1"/>
  <c r="I318" i="5" s="1"/>
  <c r="I324" i="5" s="1"/>
  <c r="H36" i="6"/>
  <c r="I86" i="1"/>
  <c r="N385" i="5"/>
  <c r="I461" i="5"/>
  <c r="I476" i="5"/>
  <c r="E481" i="5" s="1"/>
  <c r="E489" i="5" s="1"/>
  <c r="I491" i="5" s="1"/>
  <c r="E496" i="5" s="1"/>
  <c r="E506" i="5" s="1"/>
  <c r="I508" i="5" s="1"/>
  <c r="G58" i="10"/>
  <c r="J51" i="8"/>
  <c r="I39" i="10"/>
  <c r="H41" i="10"/>
  <c r="I41" i="10" s="1"/>
  <c r="I46" i="10"/>
  <c r="I51" i="10"/>
  <c r="I24" i="10"/>
  <c r="I26" i="10"/>
  <c r="I42" i="10"/>
  <c r="I55" i="10"/>
  <c r="P78" i="9"/>
  <c r="L53" i="9"/>
  <c r="P48" i="9"/>
  <c r="O51" i="9"/>
  <c r="O79" i="9"/>
  <c r="L77" i="9"/>
  <c r="P77" i="9" s="1"/>
  <c r="O46" i="9"/>
  <c r="L55" i="9"/>
  <c r="P55" i="9" s="1"/>
  <c r="L50" i="9"/>
  <c r="O71" i="9"/>
  <c r="P71" i="9" s="1"/>
  <c r="O49" i="9"/>
  <c r="L57" i="9"/>
  <c r="P57" i="9" s="1"/>
  <c r="O70" i="9"/>
  <c r="P70" i="9" s="1"/>
  <c r="O47" i="9"/>
  <c r="O73" i="9"/>
  <c r="F37" i="9"/>
  <c r="F40" i="9" s="1"/>
  <c r="L51" i="9"/>
  <c r="L79" i="9"/>
  <c r="O78" i="9"/>
  <c r="L76" i="9"/>
  <c r="P76" i="9" s="1"/>
  <c r="O50" i="9"/>
  <c r="L52" i="9"/>
  <c r="P52" i="9" s="1"/>
  <c r="L54" i="9"/>
  <c r="P54" i="9" s="1"/>
  <c r="L58" i="9"/>
  <c r="P58" i="9" s="1"/>
  <c r="M81" i="9"/>
  <c r="E76" i="9"/>
  <c r="L46" i="9"/>
  <c r="P49" i="9"/>
  <c r="L66" i="9"/>
  <c r="P66" i="9" s="1"/>
  <c r="N60" i="9"/>
  <c r="L74" i="9"/>
  <c r="P74" i="9" s="1"/>
  <c r="O64" i="9"/>
  <c r="P64" i="9" s="1"/>
  <c r="D12" i="9"/>
  <c r="P45" i="9"/>
  <c r="L45" i="9"/>
  <c r="L65" i="9"/>
  <c r="O72" i="9"/>
  <c r="P72" i="9" s="1"/>
  <c r="L75" i="9"/>
  <c r="P75" i="9" s="1"/>
  <c r="P73" i="9"/>
  <c r="P65" i="9"/>
  <c r="F12" i="9"/>
  <c r="P53" i="9"/>
  <c r="E175" i="5"/>
  <c r="I192" i="5"/>
  <c r="I199" i="5" s="1"/>
  <c r="K103" i="1"/>
  <c r="E75" i="5"/>
  <c r="E81" i="5"/>
  <c r="E224" i="5"/>
  <c r="I229" i="5"/>
  <c r="I236" i="5" s="1"/>
  <c r="E53" i="5"/>
  <c r="E80" i="5"/>
  <c r="K86" i="1"/>
  <c r="I103" i="1"/>
  <c r="E260" i="5"/>
  <c r="I264" i="5"/>
  <c r="I272" i="5" s="1"/>
  <c r="I186" i="5"/>
  <c r="I5" i="10"/>
  <c r="H28" i="10"/>
  <c r="N4" i="8"/>
  <c r="P103" i="1"/>
  <c r="N37" i="8"/>
  <c r="P37" i="8" s="1"/>
  <c r="R37" i="8" s="1"/>
  <c r="V44" i="8" s="1"/>
  <c r="J37" i="8"/>
  <c r="J45" i="8"/>
  <c r="N103" i="1"/>
  <c r="J63" i="8"/>
  <c r="I38" i="10"/>
  <c r="I56" i="10"/>
  <c r="G28" i="10"/>
  <c r="D24" i="9"/>
  <c r="F26" i="9" s="1"/>
  <c r="O67" i="9"/>
  <c r="P67" i="9" s="1"/>
  <c r="I40" i="10"/>
  <c r="I19" i="10"/>
  <c r="L69" i="9"/>
  <c r="P69" i="9" s="1"/>
  <c r="J57" i="8"/>
  <c r="I43" i="10"/>
  <c r="I47" i="10"/>
  <c r="I54" i="10"/>
  <c r="I50" i="10"/>
  <c r="N81" i="9"/>
  <c r="O48" i="9"/>
  <c r="L56" i="9"/>
  <c r="P56" i="9" s="1"/>
  <c r="O68" i="9"/>
  <c r="P68" i="9" s="1"/>
  <c r="L47" i="9"/>
  <c r="F93" i="9"/>
  <c r="E19" i="5" l="1"/>
  <c r="J106" i="8"/>
  <c r="E28" i="5"/>
  <c r="H58" i="10"/>
  <c r="D99" i="9"/>
  <c r="D110" i="9" s="1"/>
  <c r="F113" i="9" s="1"/>
  <c r="D156" i="9" s="1"/>
  <c r="F159" i="9" s="1"/>
  <c r="F13" i="9"/>
  <c r="P81" i="9"/>
  <c r="F68" i="9" s="1"/>
  <c r="F76" i="9" s="1"/>
  <c r="P60" i="9"/>
  <c r="F48" i="9" s="1"/>
  <c r="F53" i="9" s="1"/>
  <c r="F56" i="9" s="1"/>
  <c r="D66" i="9" s="1"/>
  <c r="D76" i="9" s="1"/>
  <c r="N106" i="8"/>
  <c r="P4" i="8"/>
  <c r="E30" i="5" l="1"/>
  <c r="E79" i="5"/>
  <c r="E83" i="5" s="1"/>
  <c r="I84" i="5" s="1"/>
  <c r="F88" i="5" s="1"/>
  <c r="F90" i="5" s="1"/>
  <c r="F79" i="9"/>
  <c r="P106" i="8"/>
  <c r="R4" i="8"/>
  <c r="I88" i="5" l="1"/>
  <c r="I90" i="5" s="1"/>
  <c r="R106" i="8"/>
  <c r="K108" i="8" s="1"/>
  <c r="V9" i="8"/>
</calcChain>
</file>

<file path=xl/sharedStrings.xml><?xml version="1.0" encoding="utf-8"?>
<sst xmlns="http://schemas.openxmlformats.org/spreadsheetml/2006/main" count="2118" uniqueCount="758">
  <si>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</si>
  <si>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</si>
  <si>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</si>
  <si>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</si>
  <si>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</si>
  <si>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</si>
  <si>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</si>
  <si>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</si>
  <si>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</si>
  <si>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</si>
  <si>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</si>
  <si>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</si>
  <si>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</si>
  <si>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</si>
  <si>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</si>
  <si>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</si>
  <si>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</si>
  <si>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</si>
  <si>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</si>
  <si>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</si>
  <si>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</si>
  <si>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</si>
  <si>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</si>
  <si>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</si>
  <si>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</si>
  <si>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</si>
  <si>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</si>
  <si>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</si>
  <si>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</si>
  <si>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</si>
  <si>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</si>
  <si>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</si>
  <si>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</si>
  <si>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</si>
  <si>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</si>
  <si>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</si>
  <si>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</si>
  <si>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</si>
  <si>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</si>
  <si>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</si>
  <si>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</si>
  <si>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</si>
  <si>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</si>
  <si>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</si>
  <si>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</si>
  <si>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</si>
  <si>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</si>
  <si>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</si>
  <si>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</si>
  <si>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</si>
  <si>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</si>
  <si>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</si>
  <si>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</si>
  <si>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</si>
  <si>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</si>
  <si>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</si>
  <si>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</si>
  <si>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</si>
  <si>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</si>
  <si>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</si>
  <si>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</si>
  <si>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</si>
  <si>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</si>
  <si>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</si>
  <si>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</si>
  <si>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</si>
  <si>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</si>
  <si>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</si>
  <si>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</si>
  <si>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</si>
  <si>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</si>
  <si>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</si>
  <si>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</si>
  <si>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</si>
  <si>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</si>
  <si>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</si>
  <si>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</si>
  <si>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</si>
  <si>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</si>
  <si>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</si>
  <si>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</si>
  <si>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</si>
  <si>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</si>
  <si>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</si>
  <si>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</si>
  <si>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</si>
  <si>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</si>
  <si>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</si>
  <si>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</si>
  <si>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</si>
  <si>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</si>
  <si>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</si>
  <si>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</si>
  <si>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</si>
  <si>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</si>
  <si>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</si>
  <si>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</si>
  <si>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</si>
  <si>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</si>
  <si>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</si>
  <si>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</si>
  <si>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</si>
  <si>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</si>
  <si>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</si>
  <si>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</si>
  <si>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</si>
  <si>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</si>
  <si>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</si>
  <si>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</si>
  <si>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</si>
  <si>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</si>
  <si>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</si>
  <si>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</si>
  <si>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</si>
  <si>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</si>
  <si>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</si>
  <si>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</si>
  <si>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</si>
  <si>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</si>
  <si>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</si>
  <si>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</si>
  <si>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</si>
  <si>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</si>
  <si>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</si>
  <si>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</si>
  <si>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</si>
  <si>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</si>
  <si>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</si>
  <si>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</si>
  <si>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</si>
  <si>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</si>
  <si>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</si>
  <si>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</si>
  <si>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</si>
  <si>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</si>
  <si>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</si>
  <si>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</si>
  <si>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</si>
  <si>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</si>
  <si>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</si>
  <si>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</si>
  <si>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</si>
  <si>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</si>
  <si>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</si>
  <si>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</si>
  <si>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</si>
  <si>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</si>
  <si>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</si>
  <si>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</si>
  <si>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</si>
  <si>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</si>
  <si>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</si>
  <si>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</si>
  <si>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</si>
  <si>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</si>
  <si>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</si>
  <si>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</si>
  <si>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</si>
  <si>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</si>
  <si>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</si>
  <si>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</si>
  <si>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</si>
  <si>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</si>
  <si>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</si>
  <si>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</si>
  <si>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</si>
  <si>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</si>
  <si>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</si>
  <si>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</si>
  <si>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</si>
  <si>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</si>
  <si>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</si>
  <si>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</si>
  <si>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</si>
  <si>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</si>
  <si>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</si>
  <si>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</si>
  <si>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</si>
  <si>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</si>
  <si>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</si>
  <si>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</si>
  <si>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</si>
  <si>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</si>
  <si>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</si>
  <si>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</si>
  <si>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</si>
  <si>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</si>
  <si>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</si>
  <si>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</si>
  <si>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</si>
  <si>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</si>
  <si>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</si>
  <si>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</si>
  <si>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</si>
  <si>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</si>
  <si>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</si>
  <si>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</si>
  <si>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</si>
  <si>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</si>
  <si>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</si>
  <si>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</si>
  <si>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</si>
  <si>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</si>
  <si>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</si>
  <si>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</si>
  <si>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</si>
  <si>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</si>
  <si>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</si>
  <si>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</si>
  <si>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</si>
  <si>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</si>
  <si>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</si>
  <si>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</si>
  <si>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</si>
  <si>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</si>
  <si>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</si>
  <si>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</si>
  <si>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</si>
  <si>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</si>
  <si>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</si>
  <si>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</si>
  <si>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</si>
  <si>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</si>
  <si>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</si>
  <si>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</si>
  <si>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</si>
  <si>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</si>
  <si>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</si>
  <si>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</si>
  <si>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</si>
  <si>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</si>
  <si>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</si>
  <si>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</si>
  <si>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</si>
  <si>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</si>
  <si>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</si>
  <si>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</si>
  <si>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</si>
  <si>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</si>
  <si>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</si>
  <si>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</si>
  <si>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</si>
  <si>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</si>
  <si>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</si>
  <si>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</si>
  <si>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</si>
  <si>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</si>
  <si>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</si>
  <si>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</si>
  <si>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</si>
  <si>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</si>
  <si>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</si>
  <si>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</si>
  <si>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</si>
  <si>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</si>
  <si>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</si>
  <si>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</si>
  <si>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</si>
  <si>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</si>
  <si>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</si>
  <si>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</si>
  <si>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</si>
  <si>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</si>
  <si>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</si>
  <si>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</si>
  <si>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</si>
  <si>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</si>
  <si>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</si>
  <si>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</si>
  <si>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</si>
  <si>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</si>
  <si>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</si>
  <si>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</si>
  <si>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</si>
  <si>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</si>
  <si>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</si>
  <si>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</si>
  <si>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</si>
  <si>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</si>
  <si>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</si>
  <si>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</si>
  <si>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</si>
  <si>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</si>
  <si>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</si>
  <si>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</si>
  <si>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</si>
  <si>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</si>
  <si>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</si>
  <si>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</si>
  <si>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</si>
  <si>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</si>
  <si>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</si>
  <si>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</si>
  <si>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</si>
  <si>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</si>
  <si>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</si>
  <si>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</si>
  <si>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</si>
  <si>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</si>
  <si>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</si>
  <si>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</si>
  <si>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</si>
  <si>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</si>
  <si>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</si>
  <si>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</si>
  <si>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</si>
  <si>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</si>
  <si>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</si>
  <si>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</si>
  <si>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</si>
  <si>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</si>
  <si>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</si>
  <si>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</si>
  <si>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</si>
  <si>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</si>
  <si>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</si>
  <si>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</si>
  <si>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</si>
  <si>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</si>
  <si>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</si>
  <si>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</si>
  <si>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</si>
  <si>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</si>
  <si>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</si>
  <si>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</si>
  <si>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</si>
  <si>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</si>
  <si>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</si>
  <si>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</si>
  <si>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</si>
  <si>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</si>
  <si>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</si>
  <si>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</si>
  <si>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</si>
  <si>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</si>
  <si>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</si>
  <si>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</si>
  <si>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</si>
  <si>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</si>
  <si>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</si>
  <si>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</si>
  <si>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</si>
  <si>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</si>
  <si>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</si>
  <si>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</si>
  <si>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</si>
  <si>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</si>
  <si>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</si>
  <si>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</si>
  <si>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</si>
  <si>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</si>
  <si>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</si>
  <si>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</si>
  <si>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</si>
  <si>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</si>
  <si>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</si>
  <si>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</si>
  <si>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</si>
  <si>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</si>
  <si>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</si>
  <si>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</si>
  <si>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</si>
  <si>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</si>
  <si>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</si>
  <si>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</si>
  <si>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</si>
  <si>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</si>
  <si>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</si>
  <si>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</si>
  <si>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</si>
  <si>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</si>
  <si>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</si>
  <si>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</si>
  <si>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</si>
  <si>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</si>
  <si>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</si>
  <si>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</si>
  <si>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</si>
  <si>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</si>
  <si>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</si>
  <si>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</si>
  <si>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</si>
  <si>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</si>
  <si>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</si>
  <si>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</si>
  <si>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</si>
  <si>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</si>
  <si>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</si>
  <si>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</si>
  <si>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</si>
  <si>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</si>
  <si>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</si>
  <si>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</si>
  <si>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</si>
  <si>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</si>
  <si>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</si>
  <si>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</si>
  <si>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</si>
  <si>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</si>
  <si>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</si>
  <si>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</si>
  <si>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</si>
  <si>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</si>
  <si>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</si>
  <si>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</si>
  <si>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</si>
  <si>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</si>
  <si>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</si>
  <si>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</si>
  <si>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</si>
  <si>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</si>
  <si>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</si>
  <si>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</si>
  <si>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</si>
  <si>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</si>
  <si>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</si>
  <si>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</si>
  <si>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</si>
  <si>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</si>
  <si>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</si>
  <si>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</si>
  <si>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</si>
  <si>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</si>
  <si>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</si>
  <si>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</si>
  <si>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</si>
  <si>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</si>
  <si>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</si>
  <si>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</si>
  <si>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</si>
  <si>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</si>
  <si>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</si>
  <si>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</si>
  <si>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</si>
  <si>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</si>
  <si>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</si>
  <si>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</si>
  <si>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</si>
  <si>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</si>
  <si>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</si>
  <si>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</si>
  <si>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</si>
  <si>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</si>
  <si>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</si>
  <si>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</si>
  <si>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</si>
  <si>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</si>
  <si>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</si>
  <si>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</si>
  <si>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</si>
  <si>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</si>
  <si>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</si>
  <si>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</si>
  <si>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</si>
  <si>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</si>
  <si>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</si>
  <si>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</si>
  <si>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</si>
  <si>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</si>
  <si>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</si>
  <si>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</si>
  <si>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</si>
  <si>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</si>
  <si>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</si>
  <si>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</si>
  <si>
    <t>TỔNG TIỀN</t>
  </si>
  <si>
    <t>0000171</t>
  </si>
  <si>
    <t>0000173</t>
  </si>
  <si>
    <t>0000176</t>
  </si>
  <si>
    <t>0000183</t>
  </si>
  <si>
    <t>0000189</t>
  </si>
  <si>
    <t>0000190</t>
  </si>
  <si>
    <t>0000194</t>
  </si>
  <si>
    <t>0000211</t>
  </si>
  <si>
    <t>0000225</t>
  </si>
  <si>
    <t>0000226</t>
  </si>
  <si>
    <t>0000229</t>
  </si>
  <si>
    <t>0000245</t>
  </si>
  <si>
    <t>0000246</t>
  </si>
  <si>
    <t>0000261</t>
  </si>
  <si>
    <t>0000263</t>
  </si>
  <si>
    <t>0000264</t>
  </si>
  <si>
    <t>0000267</t>
  </si>
  <si>
    <t>IRENES RESPECT V.1702N</t>
  </si>
  <si>
    <t>CXRU1495949</t>
  </si>
  <si>
    <t>TEMU9559504</t>
  </si>
  <si>
    <t>CXRU1489191</t>
  </si>
  <si>
    <t>TRIU8795689</t>
  </si>
  <si>
    <t>CCLU8543731</t>
  </si>
  <si>
    <t>SEGU9478073</t>
  </si>
  <si>
    <t>BOMAR HAMBURG V.1703N</t>
  </si>
  <si>
    <t>SEGU9136580</t>
  </si>
  <si>
    <t>CXRU1631330</t>
  </si>
  <si>
    <t>CXRU1633225</t>
  </si>
  <si>
    <t>SZLU9219034</t>
  </si>
  <si>
    <t xml:space="preserve">SZLU9675456 </t>
  </si>
  <si>
    <t>BOX ENDEAVOUR V.24/N</t>
  </si>
  <si>
    <t>ZCSU5832791</t>
  </si>
  <si>
    <t>ZCSU5858498</t>
  </si>
  <si>
    <t>ZCSU5834829</t>
  </si>
  <si>
    <t>JXLU5811588</t>
  </si>
  <si>
    <t>JXLU5874040</t>
  </si>
  <si>
    <t>ZCSU5834407</t>
  </si>
  <si>
    <t>ZGL-V101099</t>
  </si>
  <si>
    <t>ZGL-V117057</t>
  </si>
  <si>
    <t>ZGL-V117043</t>
  </si>
  <si>
    <t>ZGL-V101009</t>
  </si>
  <si>
    <t>ZGL-V101098</t>
  </si>
  <si>
    <t>ZGL-V117013</t>
  </si>
  <si>
    <t>Tiền hàng 03/04/17</t>
  </si>
  <si>
    <t>Chi phí xuất hàng (Cont 1-&gt;29 Tháng 03&amp;04 năm 2017)</t>
  </si>
  <si>
    <t>Chi phí kéo cont Bình Thuận (3*9.000.000)</t>
  </si>
  <si>
    <t>0000271</t>
  </si>
  <si>
    <t>0000272</t>
  </si>
  <si>
    <t>0000277</t>
  </si>
  <si>
    <t>0000278</t>
  </si>
  <si>
    <t>0000286</t>
  </si>
  <si>
    <t>0000287</t>
  </si>
  <si>
    <t>XUẤT BỔ SUNG HÓA ĐƠN T03/2017</t>
  </si>
  <si>
    <t>PHÍ BÁO CÓ NH</t>
  </si>
  <si>
    <t>PHILIPPOS-MICHALIS 29/N</t>
  </si>
  <si>
    <t>JXLU5105998</t>
  </si>
  <si>
    <t>ZGL-V101081</t>
  </si>
  <si>
    <t>ZCSU5129958</t>
  </si>
  <si>
    <t>ZGL-V101090</t>
  </si>
  <si>
    <t>ZCSU5851488</t>
  </si>
  <si>
    <t>ZGL-V101144</t>
  </si>
  <si>
    <t>JXLU5822807</t>
  </si>
  <si>
    <t>ZGL-V152674</t>
  </si>
  <si>
    <t>JXLU5821098</t>
  </si>
  <si>
    <t>ZGL-V152675</t>
  </si>
  <si>
    <t>JXLU5840586</t>
  </si>
  <si>
    <t>ZGL-V152676</t>
  </si>
  <si>
    <t>DELOS WAVE V.1703N</t>
  </si>
  <si>
    <t>DFOU6149583</t>
  </si>
  <si>
    <t>BMOU9500267</t>
  </si>
  <si>
    <t>TRIU8878736</t>
  </si>
  <si>
    <t>CXRU1337650</t>
  </si>
  <si>
    <t>SZLU9670916</t>
  </si>
  <si>
    <t>SZLU9211223</t>
  </si>
  <si>
    <t>IRENES RESPECT V.1703N</t>
  </si>
  <si>
    <t>TEMU9309418</t>
  </si>
  <si>
    <t>TEMU9330652</t>
  </si>
  <si>
    <t>CXRU1633950</t>
  </si>
  <si>
    <t>TEMU9002653</t>
  </si>
  <si>
    <t>Tiền hàng 18/04/17</t>
  </si>
  <si>
    <t>CÒN LẠI:</t>
  </si>
  <si>
    <t>ASIA:</t>
  </si>
  <si>
    <t>DŨNG KÉO CONT:</t>
  </si>
  <si>
    <t>CHUYỂN KHOẢN LA:</t>
  </si>
  <si>
    <t>NAFI (duy trì mã vạch):</t>
  </si>
  <si>
    <t>NAFI (phí T3/2017):</t>
  </si>
  <si>
    <t>CHUYỂN KHOẢN TRÀ VINH:</t>
  </si>
  <si>
    <t>NGUYỄN TRÌNH :</t>
  </si>
  <si>
    <t>GAS - TV:</t>
  </si>
  <si>
    <t>THUÊ SDĐ&amp;PHÍ HẠ TẦNG 2017:</t>
  </si>
  <si>
    <t>Tiền hàng 25/04/17</t>
  </si>
  <si>
    <t>DNTN HẢI SẢN KIM CHÂU</t>
  </si>
  <si>
    <t>Chi phí xuất hàng (Cont 30-&gt;33 Ngày 14/04/2017)</t>
  </si>
  <si>
    <t>TIỀN ĐIỆN KỲ 1&amp;2 THÁNG 4</t>
  </si>
  <si>
    <t>Tiền hàng 09/05/17</t>
  </si>
  <si>
    <t>Chi phí xuất hàng (Cont 34-&gt;41 Ngày 21/04/2017)</t>
  </si>
  <si>
    <t>Chiếu xạ (TP)</t>
  </si>
  <si>
    <t>77c-09478</t>
  </si>
  <si>
    <t>75C-04571</t>
  </si>
  <si>
    <t>15C-16111</t>
  </si>
  <si>
    <t>79C-06965</t>
  </si>
  <si>
    <t>79C-10062</t>
  </si>
  <si>
    <t>77C-05098</t>
  </si>
  <si>
    <t>61C-08808</t>
  </si>
  <si>
    <t>79C-08233</t>
  </si>
  <si>
    <t>79D-8876</t>
  </si>
  <si>
    <t>51C-31778</t>
  </si>
  <si>
    <t>51C91764</t>
  </si>
  <si>
    <t>79C-07519 (TL)</t>
  </si>
  <si>
    <t>51C-59953</t>
  </si>
  <si>
    <t>67C-01825 (TL)</t>
  </si>
  <si>
    <t>67C-01213 (TL)</t>
  </si>
  <si>
    <t>61C-18405</t>
  </si>
  <si>
    <t>69C-01937</t>
  </si>
  <si>
    <t>69C-00294</t>
  </si>
  <si>
    <t>94C02180</t>
  </si>
  <si>
    <t>79C-04533 (TL)</t>
  </si>
  <si>
    <t>Dương Quý Phương</t>
  </si>
  <si>
    <t>Số ngày tính LK</t>
  </si>
  <si>
    <t>XUẤT BỔ SUNG HÓA ĐƠN T04/2017</t>
  </si>
  <si>
    <t>0000314</t>
  </si>
  <si>
    <t>0000315</t>
  </si>
  <si>
    <t>0000339</t>
  </si>
  <si>
    <t>0000343</t>
  </si>
  <si>
    <t>0000344</t>
  </si>
  <si>
    <t>0000663</t>
  </si>
  <si>
    <t>0000665</t>
  </si>
  <si>
    <t>0000671</t>
  </si>
  <si>
    <t>0000662</t>
  </si>
  <si>
    <t>Tiền dư ngày 09/05/17</t>
  </si>
  <si>
    <t>Tiền hàng 13/05/17</t>
  </si>
  <si>
    <t>46C-03511</t>
  </si>
  <si>
    <t>79C-04602</t>
  </si>
  <si>
    <t>79C-06015</t>
  </si>
  <si>
    <t>64C-02612 (TL)</t>
  </si>
  <si>
    <t>64C-02713 (TL)</t>
  </si>
  <si>
    <t>51C-45790 (TL)</t>
  </si>
  <si>
    <t>64C-02411 (TL)</t>
  </si>
  <si>
    <t>64C-03949 (TL)</t>
  </si>
  <si>
    <t>79C-10447</t>
  </si>
  <si>
    <t>Chi phí xuất hàng (Cont 42-&gt;53)</t>
  </si>
  <si>
    <t>BOMAR HAMBURG V.1704N</t>
  </si>
  <si>
    <t>TEMU9292001</t>
  </si>
  <si>
    <t xml:space="preserve"> DFOU6153238</t>
  </si>
  <si>
    <t>DFOU6115372</t>
  </si>
  <si>
    <t>CBHU2814414</t>
  </si>
  <si>
    <t>TTNU8006852</t>
  </si>
  <si>
    <t>TEMU9112373</t>
  </si>
  <si>
    <t>TEMU9148360</t>
  </si>
  <si>
    <t>SZLU9016741</t>
  </si>
  <si>
    <t>DELOS WAVE V.1704N</t>
  </si>
  <si>
    <t>BMOU9779254</t>
  </si>
  <si>
    <t>TEMU9331514</t>
  </si>
  <si>
    <t>CXRU1227205</t>
  </si>
  <si>
    <t>CXRU1035521</t>
  </si>
  <si>
    <t>TEMU9202230</t>
  </si>
  <si>
    <t>TTNU8074646</t>
  </si>
  <si>
    <t>IRENES RESPECT V.1704N</t>
  </si>
  <si>
    <t>CXRU1230240</t>
  </si>
  <si>
    <t>CBHU2830035</t>
  </si>
  <si>
    <t>CXRU1546100</t>
  </si>
  <si>
    <t>SZLU9671980</t>
  </si>
  <si>
    <t>TEMU9471840</t>
  </si>
  <si>
    <t>CXRU1212951</t>
  </si>
  <si>
    <t>PHILIPPOS-MICHALIS V.31/N</t>
  </si>
  <si>
    <t>ZCSU5126795</t>
  </si>
  <si>
    <t>ZGL-V148557
ZGL-V148554</t>
  </si>
  <si>
    <t>TRIU8729500</t>
  </si>
  <si>
    <t>ZGL-V148554
ZGL-V148554</t>
  </si>
  <si>
    <t>ZCSU5128674</t>
  </si>
  <si>
    <t>ZGL-V148556</t>
  </si>
  <si>
    <t>ZCSU5879947</t>
  </si>
  <si>
    <t>ZGL-V148555</t>
  </si>
  <si>
    <t>CAIU5471068</t>
  </si>
  <si>
    <t>ZGL-V148553</t>
  </si>
  <si>
    <t>SZLU9063949</t>
  </si>
  <si>
    <t>ZGL-V148552</t>
  </si>
  <si>
    <t>0000351</t>
  </si>
  <si>
    <t>0000356</t>
  </si>
  <si>
    <t>0000358</t>
  </si>
  <si>
    <t>0000361</t>
  </si>
  <si>
    <t>0000678</t>
  </si>
  <si>
    <t>0000679</t>
  </si>
  <si>
    <t>0000656</t>
  </si>
  <si>
    <t>0000657</t>
  </si>
  <si>
    <t>0000659</t>
  </si>
  <si>
    <t>0000660</t>
  </si>
  <si>
    <t>0000363</t>
  </si>
  <si>
    <t>Tiền hàng 18/05/17</t>
  </si>
  <si>
    <t>Mr. Vương</t>
  </si>
  <si>
    <t>BOMAR HAMBURG V. 1705N</t>
  </si>
  <si>
    <t>SEGU9423810</t>
  </si>
  <si>
    <t>CXRU1347181</t>
  </si>
  <si>
    <t>DFOU6150711</t>
  </si>
  <si>
    <t>TEMU9358095</t>
  </si>
  <si>
    <t>CBHU2821774</t>
  </si>
  <si>
    <t>DFOU6149156</t>
  </si>
  <si>
    <t>YM INAUGURATION V.199/N</t>
  </si>
  <si>
    <t>JXLU5822828</t>
  </si>
  <si>
    <t>JXLU5823188</t>
  </si>
  <si>
    <t>ZCSU5846814</t>
  </si>
  <si>
    <t>JXLU5825072</t>
  </si>
  <si>
    <t>TRLU1710405</t>
  </si>
  <si>
    <t>ZCSU5119923</t>
  </si>
  <si>
    <t>ZGL-V128180</t>
  </si>
  <si>
    <t>ZGL-V128186</t>
  </si>
  <si>
    <t>ZGL-V128135</t>
  </si>
  <si>
    <t>ZGL-V128011</t>
  </si>
  <si>
    <t>ZGL-V128131</t>
  </si>
  <si>
    <t>ZGL-V116818</t>
  </si>
  <si>
    <t>CCLU8608133</t>
  </si>
  <si>
    <t>TEMU9321373</t>
  </si>
  <si>
    <t>TEMU9537927</t>
  </si>
  <si>
    <t>SZLU9691992</t>
  </si>
  <si>
    <t>DFOU6133144</t>
  </si>
  <si>
    <t>TEMU9317413</t>
  </si>
  <si>
    <t>NORTHERN VIVACITY V.17005N</t>
  </si>
  <si>
    <t>FSL SANTOS V.1701N</t>
  </si>
  <si>
    <t>CXRU1369534</t>
  </si>
  <si>
    <t>CXRU1504589</t>
  </si>
  <si>
    <t>SEGU9341814</t>
  </si>
  <si>
    <t>SEGU9341795</t>
  </si>
  <si>
    <t>THỰC TẾ:</t>
  </si>
  <si>
    <t xml:space="preserve">Tiền tàu </t>
  </si>
  <si>
    <t>Tiền dư ngày 18/05/17</t>
  </si>
  <si>
    <t>Tiền hàng 06/06/17</t>
  </si>
  <si>
    <t>60C-26996</t>
  </si>
  <si>
    <t>51C-58493</t>
  </si>
  <si>
    <t>69C-01835</t>
  </si>
  <si>
    <t>69C-02416</t>
  </si>
  <si>
    <t>69C-02267</t>
  </si>
  <si>
    <t>51C-76258</t>
  </si>
  <si>
    <t>69C-02715(Trả lại)</t>
  </si>
  <si>
    <t>69c-00957</t>
  </si>
  <si>
    <t>69c-01580</t>
  </si>
  <si>
    <t>94c-02180</t>
  </si>
  <si>
    <t>94c-00277</t>
  </si>
  <si>
    <t>64c-02949</t>
  </si>
  <si>
    <t>86c-02273</t>
  </si>
  <si>
    <t>60c-34582</t>
  </si>
  <si>
    <t>79c-10546</t>
  </si>
  <si>
    <t>69c-00897</t>
  </si>
  <si>
    <t>61c-13678</t>
  </si>
  <si>
    <t>64c-01518</t>
  </si>
  <si>
    <t>51c-33320</t>
  </si>
  <si>
    <t>69c-02848</t>
  </si>
  <si>
    <t>69c-01066</t>
  </si>
  <si>
    <t>69c-02772</t>
  </si>
  <si>
    <t>61c-18405</t>
  </si>
  <si>
    <t>69c-01580 Trả lại</t>
  </si>
  <si>
    <t>51C-45790 Trả lại</t>
  </si>
  <si>
    <t>69C-00897 Trả lại</t>
  </si>
  <si>
    <t>XUẤT BỔ SUNG HÓA ĐƠN T05/2017</t>
  </si>
  <si>
    <t>0000370</t>
  </si>
  <si>
    <t>0000372</t>
  </si>
  <si>
    <t>0000373</t>
  </si>
  <si>
    <t>0000377</t>
  </si>
  <si>
    <t>0000378</t>
  </si>
  <si>
    <t>0000380</t>
  </si>
  <si>
    <t>0000388</t>
  </si>
  <si>
    <t>0000389</t>
  </si>
  <si>
    <t>0000393</t>
  </si>
  <si>
    <t>0000396</t>
  </si>
  <si>
    <t>0000398</t>
  </si>
  <si>
    <t>0000402</t>
  </si>
  <si>
    <t>0000404</t>
  </si>
  <si>
    <t>0000407</t>
  </si>
  <si>
    <t>0000412</t>
  </si>
  <si>
    <t>0000416</t>
  </si>
  <si>
    <t>0000421</t>
  </si>
  <si>
    <t>Ngày tính LK</t>
  </si>
  <si>
    <t>Phí đóng hàng Toàn Phát (tối)</t>
  </si>
  <si>
    <t>Phí lựa lại cá cơm</t>
  </si>
  <si>
    <t>Tiền ứng 1/6/17</t>
  </si>
  <si>
    <t>Long Đức Tâm</t>
  </si>
  <si>
    <t>Chi phí xuất hàng (Cont 60-&gt;81) (22 cont)</t>
  </si>
  <si>
    <t>Chi phí xuất hàng (Cont 54-&gt;59) ( 6 cont)</t>
  </si>
  <si>
    <t>ARICA BRIDGE V.1701N</t>
  </si>
  <si>
    <t>CCLU8610655</t>
  </si>
  <si>
    <t>CXRU1489062</t>
  </si>
  <si>
    <t xml:space="preserve">CXRU1346890
 </t>
  </si>
  <si>
    <t>BMOU9500077</t>
  </si>
  <si>
    <t>AL T/ứng (1/6/17)</t>
  </si>
  <si>
    <t>Tiền hàng 22/06/17</t>
  </si>
  <si>
    <t>69C-02661</t>
  </si>
  <si>
    <t>69C-02051</t>
  </si>
  <si>
    <t>Chi phí xuất hàng (Cont 82-&gt;91) (10 cont)</t>
  </si>
  <si>
    <t>Tiền dư ngày 06/06/17</t>
  </si>
  <si>
    <t>Thêm tiền tàu (120USD/cont)</t>
  </si>
  <si>
    <t>Đoàn Thị Hằng</t>
  </si>
  <si>
    <t>Toàn Phát (Đêm)</t>
  </si>
  <si>
    <t>Tiền hàng 29/06/17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</si>
</sst>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  <numFmt numFmtId="174" formatCode="_(* #,##0.0000000_);_(* \(#,##0.0000000\);_(* &quot;-&quot;??_);_(@_)"/>
    <numFmt numFmtId="175" formatCode="_(* #,##0.00000000000_);_(* \(#,##0.00000000000\);_(* &quot;-&quot;??_);_(@_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9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</cellStyleXfs>
  <cellXfs count="558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0" fontId="28" fillId="0" borderId="5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6" xfId="4" applyNumberFormat="1" applyFont="1" applyBorder="1" applyAlignment="1">
      <alignment horizontal="center" vertical="center" wrapText="1"/>
    </xf>
    <xf numFmtId="0" fontId="28" fillId="0" borderId="0" xfId="22" applyFont="1" applyAlignment="1">
      <alignment horizontal="center" vertical="center"/>
    </xf>
    <xf numFmtId="0" fontId="28" fillId="0" borderId="0" xfId="22" applyFont="1" applyAlignment="1">
      <alignment vertical="center"/>
    </xf>
    <xf numFmtId="164" fontId="28" fillId="0" borderId="21" xfId="4" applyNumberFormat="1" applyFont="1" applyBorder="1" applyAlignment="1">
      <alignment horizontal="center" vertical="center"/>
    </xf>
    <xf numFmtId="172" fontId="28" fillId="0" borderId="3" xfId="4" applyNumberFormat="1" applyFont="1" applyBorder="1" applyAlignment="1">
      <alignment vertical="center"/>
    </xf>
    <xf numFmtId="172" fontId="28" fillId="0" borderId="5" xfId="4" applyNumberFormat="1" applyFont="1" applyBorder="1" applyAlignment="1">
      <alignment vertical="center"/>
    </xf>
    <xf numFmtId="164" fontId="28" fillId="0" borderId="18" xfId="4" applyNumberFormat="1" applyFont="1" applyBorder="1" applyAlignment="1">
      <alignment horizontal="center" vertical="center"/>
    </xf>
    <xf numFmtId="172" fontId="28" fillId="0" borderId="0" xfId="4" applyNumberFormat="1" applyFont="1" applyAlignment="1">
      <alignment vertical="center"/>
    </xf>
    <xf numFmtId="164" fontId="28" fillId="0" borderId="0" xfId="4" applyNumberFormat="1" applyFont="1" applyAlignment="1">
      <alignment vertical="center"/>
    </xf>
    <xf numFmtId="164" fontId="28" fillId="0" borderId="0" xfId="22" applyNumberFormat="1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164" fontId="22" fillId="0" borderId="12" xfId="1" applyNumberFormat="1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164" fontId="23" fillId="0" borderId="13" xfId="1" applyNumberFormat="1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4" fontId="22" fillId="0" borderId="3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2" fillId="0" borderId="0" xfId="0" applyNumberFormat="1" applyFont="1" applyAlignment="1">
      <alignment vertical="center"/>
    </xf>
    <xf numFmtId="164" fontId="26" fillId="0" borderId="3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4" applyNumberFormat="1" applyFont="1" applyBorder="1" applyAlignment="1">
      <alignment horizontal="center" vertical="center" wrapText="1"/>
    </xf>
    <xf numFmtId="164" fontId="28" fillId="0" borderId="0" xfId="4" applyNumberFormat="1" applyFont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5" applyFont="1" applyAlignment="1">
      <alignment vertical="center"/>
    </xf>
    <xf numFmtId="0" fontId="27" fillId="0" borderId="0" xfId="25" applyFont="1" applyAlignment="1">
      <alignment horizontal="center" vertical="center"/>
    </xf>
    <xf numFmtId="14" fontId="28" fillId="0" borderId="3" xfId="22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14" fontId="28" fillId="0" borderId="13" xfId="22" applyNumberFormat="1" applyFont="1" applyBorder="1" applyAlignment="1">
      <alignment horizontal="center" vertical="center"/>
    </xf>
    <xf numFmtId="0" fontId="28" fillId="0" borderId="13" xfId="22" applyFont="1" applyBorder="1" applyAlignment="1">
      <alignment horizontal="center" vertical="center"/>
    </xf>
    <xf numFmtId="164" fontId="28" fillId="0" borderId="13" xfId="4" applyNumberFormat="1" applyFont="1" applyBorder="1" applyAlignment="1">
      <alignment horizontal="center" vertical="center"/>
    </xf>
    <xf numFmtId="164" fontId="28" fillId="0" borderId="13" xfId="1" applyNumberFormat="1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64" fontId="28" fillId="0" borderId="13" xfId="1" applyNumberFormat="1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center"/>
    </xf>
    <xf numFmtId="174" fontId="28" fillId="0" borderId="0" xfId="1" applyNumberFormat="1" applyFont="1" applyAlignment="1">
      <alignment vertical="center"/>
    </xf>
    <xf numFmtId="175" fontId="28" fillId="0" borderId="0" xfId="1" applyNumberFormat="1" applyFont="1" applyAlignment="1">
      <alignment vertical="center"/>
    </xf>
    <xf numFmtId="0" fontId="5" fillId="0" borderId="1" xfId="22" applyFont="1" applyBorder="1" applyAlignment="1">
      <alignment vertical="center"/>
    </xf>
    <xf numFmtId="172" fontId="5" fillId="0" borderId="1" xfId="4" applyNumberFormat="1" applyFont="1" applyBorder="1" applyAlignment="1">
      <alignment vertical="center"/>
    </xf>
    <xf numFmtId="164" fontId="5" fillId="0" borderId="1" xfId="4" applyNumberFormat="1" applyFont="1" applyBorder="1" applyAlignment="1">
      <alignment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vertical="center"/>
    </xf>
    <xf numFmtId="0" fontId="4" fillId="0" borderId="0" xfId="22" applyFont="1" applyAlignment="1">
      <alignment horizontal="center" vertical="center"/>
    </xf>
    <xf numFmtId="0" fontId="4" fillId="0" borderId="0" xfId="22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0" xfId="22" applyNumberFormat="1" applyFont="1" applyBorder="1" applyAlignment="1">
      <alignment horizontal="center" vertical="center"/>
    </xf>
    <xf numFmtId="0" fontId="28" fillId="0" borderId="0" xfId="22" applyFont="1" applyBorder="1" applyAlignment="1">
      <alignment horizontal="center" vertical="center"/>
    </xf>
    <xf numFmtId="164" fontId="28" fillId="0" borderId="0" xfId="1" applyNumberFormat="1" applyFont="1" applyBorder="1" applyAlignment="1">
      <alignment horizontal="center" vertical="center"/>
    </xf>
    <xf numFmtId="164" fontId="28" fillId="0" borderId="0" xfId="4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0" fontId="28" fillId="3" borderId="3" xfId="22" applyFont="1" applyFill="1" applyBorder="1" applyAlignment="1">
      <alignment vertical="center"/>
    </xf>
    <xf numFmtId="164" fontId="28" fillId="3" borderId="15" xfId="4" applyNumberFormat="1" applyFont="1" applyFill="1" applyBorder="1" applyAlignment="1">
      <alignment horizontal="center" vertical="center"/>
    </xf>
    <xf numFmtId="164" fontId="28" fillId="3" borderId="3" xfId="4" applyNumberFormat="1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3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vertical="center"/>
    </xf>
    <xf numFmtId="43" fontId="28" fillId="0" borderId="3" xfId="1" applyFont="1" applyFill="1" applyBorder="1" applyAlignment="1">
      <alignment vertical="center"/>
    </xf>
    <xf numFmtId="164" fontId="28" fillId="0" borderId="3" xfId="1" applyNumberFormat="1" applyFont="1" applyFill="1" applyBorder="1" applyAlignment="1">
      <alignment vertical="center"/>
    </xf>
    <xf numFmtId="0" fontId="32" fillId="0" borderId="3" xfId="0" applyFont="1" applyFill="1" applyBorder="1" applyAlignment="1">
      <alignment vertical="center"/>
    </xf>
    <xf numFmtId="164" fontId="28" fillId="0" borderId="15" xfId="4" applyNumberFormat="1" applyFont="1" applyFill="1" applyBorder="1" applyAlignment="1">
      <alignment horizontal="center" vertical="center"/>
    </xf>
    <xf numFmtId="164" fontId="28" fillId="0" borderId="3" xfId="4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164" fontId="28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/>
    </xf>
    <xf numFmtId="0" fontId="32" fillId="3" borderId="3" xfId="0" applyFont="1" applyFill="1" applyBorder="1" applyAlignment="1">
      <alignment vertical="center"/>
    </xf>
    <xf numFmtId="0" fontId="28" fillId="4" borderId="2" xfId="0" applyFont="1" applyFill="1" applyBorder="1" applyAlignment="1">
      <alignment horizontal="center" vertical="center"/>
    </xf>
    <xf numFmtId="14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3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4" fontId="28" fillId="4" borderId="3" xfId="0" applyNumberFormat="1" applyFont="1" applyFill="1" applyBorder="1" applyAlignment="1">
      <alignment vertical="center"/>
    </xf>
    <xf numFmtId="43" fontId="28" fillId="4" borderId="3" xfId="1" applyFont="1" applyFill="1" applyBorder="1" applyAlignment="1">
      <alignment vertical="center"/>
    </xf>
    <xf numFmtId="164" fontId="28" fillId="4" borderId="3" xfId="1" applyNumberFormat="1" applyFont="1" applyFill="1" applyBorder="1" applyAlignment="1">
      <alignment vertical="center"/>
    </xf>
    <xf numFmtId="0" fontId="32" fillId="4" borderId="3" xfId="0" applyFont="1" applyFill="1" applyBorder="1" applyAlignment="1">
      <alignment vertical="center"/>
    </xf>
    <xf numFmtId="164" fontId="28" fillId="4" borderId="15" xfId="4" applyNumberFormat="1" applyFont="1" applyFill="1" applyBorder="1" applyAlignment="1">
      <alignment horizontal="center" vertical="center"/>
    </xf>
    <xf numFmtId="164" fontId="28" fillId="4" borderId="3" xfId="4" applyNumberFormat="1" applyFont="1" applyFill="1" applyBorder="1" applyAlignment="1">
      <alignment vertical="center"/>
    </xf>
    <xf numFmtId="0" fontId="28" fillId="4" borderId="0" xfId="0" applyFont="1" applyFill="1" applyAlignment="1">
      <alignment horizontal="center" vertical="center"/>
    </xf>
    <xf numFmtId="0" fontId="28" fillId="4" borderId="3" xfId="22" applyFont="1" applyFill="1" applyBorder="1" applyAlignment="1">
      <alignment vertical="center"/>
    </xf>
    <xf numFmtId="0" fontId="32" fillId="4" borderId="5" xfId="0" applyFont="1" applyFill="1" applyBorder="1" applyAlignment="1">
      <alignment vertical="center"/>
    </xf>
    <xf numFmtId="164" fontId="28" fillId="4" borderId="24" xfId="4" applyNumberFormat="1" applyFont="1" applyFill="1" applyBorder="1" applyAlignment="1">
      <alignment horizontal="center" vertical="center"/>
    </xf>
    <xf numFmtId="164" fontId="28" fillId="4" borderId="5" xfId="4" applyNumberFormat="1" applyFont="1" applyFill="1" applyBorder="1" applyAlignment="1">
      <alignment vertical="center"/>
    </xf>
    <xf numFmtId="0" fontId="23" fillId="4" borderId="3" xfId="22" applyFont="1" applyFill="1" applyBorder="1" applyAlignment="1">
      <alignment vertical="center"/>
    </xf>
    <xf numFmtId="164" fontId="28" fillId="4" borderId="3" xfId="1" applyNumberFormat="1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28" fillId="3" borderId="5" xfId="0" applyNumberFormat="1" applyFont="1" applyFill="1" applyBorder="1" applyAlignment="1">
      <alignment horizontal="center" vertical="center"/>
    </xf>
    <xf numFmtId="14" fontId="28" fillId="3" borderId="4" xfId="0" applyNumberFormat="1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43" fontId="28" fillId="3" borderId="5" xfId="1" applyFont="1" applyFill="1" applyBorder="1" applyAlignment="1">
      <alignment horizontal="center" vertical="center"/>
    </xf>
    <xf numFmtId="43" fontId="28" fillId="3" borderId="4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5" xfId="1" applyNumberFormat="1" applyFont="1" applyFill="1" applyBorder="1" applyAlignment="1">
      <alignment horizontal="center" vertical="center"/>
    </xf>
    <xf numFmtId="164" fontId="28" fillId="3" borderId="4" xfId="1" applyNumberFormat="1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43" fontId="28" fillId="0" borderId="26" xfId="1" applyFont="1" applyBorder="1" applyAlignment="1">
      <alignment horizontal="center" vertical="center"/>
    </xf>
    <xf numFmtId="14" fontId="28" fillId="0" borderId="26" xfId="0" applyNumberFormat="1" applyFont="1" applyBorder="1" applyAlignment="1">
      <alignment horizontal="center" vertical="center"/>
    </xf>
    <xf numFmtId="164" fontId="28" fillId="0" borderId="26" xfId="1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43" fontId="37" fillId="0" borderId="5" xfId="1" applyFont="1" applyBorder="1" applyAlignment="1">
      <alignment horizontal="center" vertical="center"/>
    </xf>
    <xf numFmtId="43" fontId="37" fillId="0" borderId="4" xfId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43" fontId="28" fillId="4" borderId="5" xfId="1" applyFont="1" applyFill="1" applyBorder="1" applyAlignment="1">
      <alignment horizontal="center" vertical="center"/>
    </xf>
    <xf numFmtId="43" fontId="28" fillId="4" borderId="4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37" fillId="0" borderId="5" xfId="1" applyNumberFormat="1" applyFont="1" applyBorder="1" applyAlignment="1">
      <alignment horizontal="center" vertical="center"/>
    </xf>
    <xf numFmtId="164" fontId="37" fillId="0" borderId="4" xfId="1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14" fontId="37" fillId="0" borderId="4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</cellXfs>
  <cellStyles count="39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70" activePane="bottomLeft" state="frozen"/>
      <selection activeCell="A19" sqref="A19:XFD19"/>
      <selection pane="bottomLeft" activeCell="Q70" sqref="Q70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489" t="s">
        <v>428</v>
      </c>
      <c r="B17" s="489" t="s">
        <v>434</v>
      </c>
      <c r="C17" s="488" t="s">
        <v>2</v>
      </c>
      <c r="D17" s="488"/>
      <c r="E17" s="488"/>
      <c r="F17" s="488" t="s">
        <v>435</v>
      </c>
      <c r="G17" s="488"/>
      <c r="H17" s="488"/>
      <c r="I17" s="488"/>
      <c r="J17" s="489" t="s">
        <v>439</v>
      </c>
      <c r="K17" s="488"/>
      <c r="L17" s="488"/>
      <c r="M17" s="488"/>
      <c r="N17" s="488"/>
      <c r="O17" s="488"/>
      <c r="P17" s="488"/>
      <c r="Q17" s="489" t="s">
        <v>444</v>
      </c>
      <c r="R17" s="489"/>
      <c r="S17" s="489"/>
      <c r="T17" s="489" t="s">
        <v>449</v>
      </c>
      <c r="U17" s="489" t="s">
        <v>448</v>
      </c>
    </row>
    <row r="18" spans="1:21" s="279" customFormat="1" ht="48.75" customHeight="1">
      <c r="A18" s="489"/>
      <c r="B18" s="489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489"/>
      <c r="U18" s="489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495">
        <f>H19+H20</f>
        <v>148200</v>
      </c>
      <c r="J19" s="492">
        <v>42627</v>
      </c>
      <c r="K19" s="495">
        <f>I19-L19</f>
        <v>12</v>
      </c>
      <c r="L19" s="495">
        <v>148188</v>
      </c>
      <c r="M19" s="487">
        <v>22260</v>
      </c>
      <c r="N19" s="487">
        <f>L19*M19</f>
        <v>3298664880</v>
      </c>
      <c r="O19" s="487">
        <f>2780756/2</f>
        <v>1390378</v>
      </c>
      <c r="P19" s="487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487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495"/>
      <c r="J20" s="492"/>
      <c r="K20" s="495"/>
      <c r="L20" s="495"/>
      <c r="M20" s="487"/>
      <c r="N20" s="487"/>
      <c r="O20" s="487"/>
      <c r="P20" s="487"/>
      <c r="Q20" s="253" t="s">
        <v>55</v>
      </c>
      <c r="R20" s="242">
        <f t="shared" ref="R20:R21" si="1">S20*0.03%</f>
        <v>426587.39999999997</v>
      </c>
      <c r="S20" s="242">
        <v>1421958000</v>
      </c>
      <c r="T20" s="487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497"/>
      <c r="J21" s="501"/>
      <c r="K21" s="497"/>
      <c r="L21" s="497"/>
      <c r="M21" s="496"/>
      <c r="N21" s="496"/>
      <c r="O21" s="496"/>
      <c r="P21" s="496"/>
      <c r="Q21" s="253" t="s">
        <v>56</v>
      </c>
      <c r="R21" s="242">
        <f t="shared" si="1"/>
        <v>77210.117399999988</v>
      </c>
      <c r="S21" s="242">
        <v>257367058</v>
      </c>
      <c r="T21" s="496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495">
        <f>H22+H23</f>
        <v>148200</v>
      </c>
      <c r="J22" s="501">
        <v>42633</v>
      </c>
      <c r="K22" s="497">
        <f t="shared" ref="K22" si="3">I22-L22</f>
        <v>12</v>
      </c>
      <c r="L22" s="497">
        <v>148188</v>
      </c>
      <c r="M22" s="496">
        <v>22270</v>
      </c>
      <c r="N22" s="496">
        <f>L22*M22</f>
        <v>3300146760</v>
      </c>
      <c r="O22" s="496">
        <f>2780756/2</f>
        <v>1390378</v>
      </c>
      <c r="P22" s="487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496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497"/>
      <c r="J23" s="501"/>
      <c r="K23" s="497"/>
      <c r="L23" s="497"/>
      <c r="M23" s="496"/>
      <c r="N23" s="496"/>
      <c r="O23" s="496"/>
      <c r="P23" s="496"/>
      <c r="Q23" s="253" t="s">
        <v>395</v>
      </c>
      <c r="R23" s="254">
        <v>531976</v>
      </c>
      <c r="S23" s="255">
        <v>1791165000</v>
      </c>
      <c r="T23" s="496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495">
        <f>H24+H25</f>
        <v>145600</v>
      </c>
      <c r="J24" s="501">
        <v>42685</v>
      </c>
      <c r="K24" s="497">
        <f t="shared" ref="K24" si="5">I24-L24</f>
        <v>12</v>
      </c>
      <c r="L24" s="497">
        <v>145588</v>
      </c>
      <c r="M24" s="496">
        <v>22285</v>
      </c>
      <c r="N24" s="496">
        <f t="shared" ref="N24" si="6">L24*M24</f>
        <v>3244428580</v>
      </c>
      <c r="O24" s="496">
        <v>1791144</v>
      </c>
      <c r="P24" s="487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496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497"/>
      <c r="J25" s="501"/>
      <c r="K25" s="497"/>
      <c r="L25" s="497"/>
      <c r="M25" s="496"/>
      <c r="N25" s="496"/>
      <c r="O25" s="496"/>
      <c r="P25" s="496"/>
      <c r="Q25" s="253" t="s">
        <v>56</v>
      </c>
      <c r="R25" s="254">
        <v>176854.25586180002</v>
      </c>
      <c r="S25" s="255">
        <v>535745133.20413822</v>
      </c>
      <c r="T25" s="496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493">
        <f>H28+H27</f>
        <v>145600</v>
      </c>
      <c r="J26" s="490">
        <v>42689</v>
      </c>
      <c r="K26" s="493">
        <f t="shared" ref="K26" si="9">I26-L26</f>
        <v>12</v>
      </c>
      <c r="L26" s="493">
        <v>145588</v>
      </c>
      <c r="M26" s="485">
        <v>22290</v>
      </c>
      <c r="N26" s="485">
        <f t="shared" ref="N26" si="10">L26*M26</f>
        <v>3245156520</v>
      </c>
      <c r="O26" s="485">
        <v>1791144</v>
      </c>
      <c r="P26" s="485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494"/>
      <c r="J27" s="491"/>
      <c r="K27" s="494"/>
      <c r="L27" s="494"/>
      <c r="M27" s="486"/>
      <c r="N27" s="486"/>
      <c r="O27" s="486"/>
      <c r="P27" s="486"/>
      <c r="Q27" s="253" t="s">
        <v>131</v>
      </c>
      <c r="R27" s="254">
        <v>480480</v>
      </c>
      <c r="S27" s="255">
        <v>1456000000</v>
      </c>
      <c r="T27" s="485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495"/>
      <c r="J28" s="492"/>
      <c r="K28" s="495"/>
      <c r="L28" s="495"/>
      <c r="M28" s="487"/>
      <c r="N28" s="487"/>
      <c r="O28" s="487"/>
      <c r="P28" s="487"/>
      <c r="Q28" s="253" t="s">
        <v>56</v>
      </c>
      <c r="R28" s="254">
        <v>231033</v>
      </c>
      <c r="S28" s="255">
        <v>699867789</v>
      </c>
      <c r="T28" s="486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493">
        <f>SUM(H29:H32)</f>
        <v>291200</v>
      </c>
      <c r="J29" s="490">
        <v>42696</v>
      </c>
      <c r="K29" s="493">
        <f>I29-L29</f>
        <v>12</v>
      </c>
      <c r="L29" s="493">
        <v>291188</v>
      </c>
      <c r="M29" s="485">
        <v>22480</v>
      </c>
      <c r="N29" s="485">
        <f>L29*M29</f>
        <v>6545906240</v>
      </c>
      <c r="O29" s="485">
        <v>3582288</v>
      </c>
      <c r="P29" s="485">
        <f>N29-O29</f>
        <v>6542323952</v>
      </c>
      <c r="Q29" s="253" t="s">
        <v>142</v>
      </c>
      <c r="R29" s="254">
        <v>1450020</v>
      </c>
      <c r="S29" s="255">
        <v>4394000000</v>
      </c>
      <c r="T29" s="486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494"/>
      <c r="J30" s="491"/>
      <c r="K30" s="494"/>
      <c r="L30" s="494"/>
      <c r="M30" s="486"/>
      <c r="N30" s="486"/>
      <c r="O30" s="486"/>
      <c r="P30" s="486"/>
      <c r="Q30" s="253" t="s">
        <v>149</v>
      </c>
      <c r="R30" s="254">
        <v>133243</v>
      </c>
      <c r="S30" s="255">
        <v>403767000</v>
      </c>
      <c r="T30" s="486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494"/>
      <c r="J31" s="491"/>
      <c r="K31" s="494"/>
      <c r="L31" s="494"/>
      <c r="M31" s="486"/>
      <c r="N31" s="486"/>
      <c r="O31" s="486"/>
      <c r="P31" s="486"/>
      <c r="Q31" s="253" t="s">
        <v>150</v>
      </c>
      <c r="R31" s="254">
        <v>142501</v>
      </c>
      <c r="S31" s="255">
        <v>431821000</v>
      </c>
      <c r="T31" s="486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495"/>
      <c r="J32" s="492"/>
      <c r="K32" s="495"/>
      <c r="L32" s="495"/>
      <c r="M32" s="487"/>
      <c r="N32" s="487"/>
      <c r="O32" s="487"/>
      <c r="P32" s="487"/>
      <c r="Q32" s="253" t="s">
        <v>56</v>
      </c>
      <c r="R32" s="254">
        <v>298421</v>
      </c>
      <c r="S32" s="255">
        <v>904008247</v>
      </c>
      <c r="T32" s="487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493">
        <f>H33+H34</f>
        <v>145600</v>
      </c>
      <c r="J33" s="490">
        <v>42699</v>
      </c>
      <c r="K33" s="493">
        <f>I33-L33</f>
        <v>12</v>
      </c>
      <c r="L33" s="493">
        <v>145588</v>
      </c>
      <c r="M33" s="485">
        <v>22660</v>
      </c>
      <c r="N33" s="485">
        <f t="shared" ref="N33:N37" si="15">L33*M33</f>
        <v>3299024080</v>
      </c>
      <c r="O33" s="485">
        <v>1819968</v>
      </c>
      <c r="P33" s="485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496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494"/>
      <c r="J34" s="491"/>
      <c r="K34" s="494"/>
      <c r="L34" s="494"/>
      <c r="M34" s="486"/>
      <c r="N34" s="486"/>
      <c r="O34" s="486"/>
      <c r="P34" s="486"/>
      <c r="Q34" s="256" t="s">
        <v>153</v>
      </c>
      <c r="R34" s="254">
        <v>178679</v>
      </c>
      <c r="S34" s="255">
        <v>541450000</v>
      </c>
      <c r="T34" s="496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494"/>
      <c r="J35" s="491"/>
      <c r="K35" s="494"/>
      <c r="L35" s="494"/>
      <c r="M35" s="486"/>
      <c r="N35" s="486"/>
      <c r="O35" s="486"/>
      <c r="P35" s="486"/>
      <c r="Q35" s="253" t="s">
        <v>55</v>
      </c>
      <c r="R35" s="254">
        <v>351889</v>
      </c>
      <c r="S35" s="255">
        <v>1066331000</v>
      </c>
      <c r="T35" s="496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495"/>
      <c r="J36" s="492"/>
      <c r="K36" s="495"/>
      <c r="L36" s="495"/>
      <c r="M36" s="487"/>
      <c r="N36" s="487"/>
      <c r="O36" s="487"/>
      <c r="P36" s="487"/>
      <c r="Q36" s="253" t="s">
        <v>56</v>
      </c>
      <c r="R36" s="254">
        <v>81592</v>
      </c>
      <c r="S36" s="255">
        <v>247168367</v>
      </c>
      <c r="T36" s="496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495">
        <f>H37+H38</f>
        <v>145600</v>
      </c>
      <c r="J37" s="492">
        <v>42703</v>
      </c>
      <c r="K37" s="497">
        <f>I37-L37</f>
        <v>12</v>
      </c>
      <c r="L37" s="497">
        <v>145588</v>
      </c>
      <c r="M37" s="485">
        <v>22620</v>
      </c>
      <c r="N37" s="496">
        <f t="shared" si="15"/>
        <v>3293200560</v>
      </c>
      <c r="O37" s="496">
        <v>1825573</v>
      </c>
      <c r="P37" s="487">
        <f t="shared" si="16"/>
        <v>3291374987</v>
      </c>
      <c r="Q37" s="256" t="s">
        <v>152</v>
      </c>
      <c r="R37" s="254">
        <v>497640</v>
      </c>
      <c r="S37" s="255">
        <v>1508000000</v>
      </c>
      <c r="T37" s="496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497"/>
      <c r="J38" s="501"/>
      <c r="K38" s="497"/>
      <c r="L38" s="497"/>
      <c r="M38" s="487"/>
      <c r="N38" s="496"/>
      <c r="O38" s="496"/>
      <c r="P38" s="496"/>
      <c r="Q38" s="253" t="s">
        <v>142</v>
      </c>
      <c r="R38" s="254">
        <v>552453</v>
      </c>
      <c r="S38" s="255">
        <v>1674100000</v>
      </c>
      <c r="T38" s="496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493">
        <f>SUM(H39:H42)</f>
        <v>291200</v>
      </c>
      <c r="J39" s="490">
        <v>42711</v>
      </c>
      <c r="K39" s="493">
        <f>I39-L39</f>
        <v>12</v>
      </c>
      <c r="L39" s="493">
        <v>291188</v>
      </c>
      <c r="M39" s="485">
        <v>22650</v>
      </c>
      <c r="N39" s="485">
        <f>L39*M39</f>
        <v>6595408200</v>
      </c>
      <c r="O39" s="485">
        <v>3651146</v>
      </c>
      <c r="P39" s="485">
        <f>N39-O39</f>
        <v>6591757054</v>
      </c>
      <c r="Q39" s="253" t="s">
        <v>142</v>
      </c>
      <c r="R39" s="254">
        <v>963198</v>
      </c>
      <c r="S39" s="255">
        <v>2918780500</v>
      </c>
      <c r="T39" s="496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494"/>
      <c r="J40" s="491"/>
      <c r="K40" s="494"/>
      <c r="L40" s="494"/>
      <c r="M40" s="486"/>
      <c r="N40" s="486"/>
      <c r="O40" s="486"/>
      <c r="P40" s="486"/>
      <c r="Q40" s="256" t="s">
        <v>152</v>
      </c>
      <c r="R40" s="254">
        <v>602224</v>
      </c>
      <c r="S40" s="255">
        <v>1824920500</v>
      </c>
      <c r="T40" s="496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494"/>
      <c r="J41" s="491"/>
      <c r="K41" s="494"/>
      <c r="L41" s="494"/>
      <c r="M41" s="486"/>
      <c r="N41" s="486"/>
      <c r="O41" s="486"/>
      <c r="P41" s="486"/>
      <c r="Q41" s="256" t="s">
        <v>153</v>
      </c>
      <c r="R41" s="254">
        <v>182381</v>
      </c>
      <c r="S41" s="255">
        <v>552669000</v>
      </c>
      <c r="T41" s="496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495"/>
      <c r="J42" s="492"/>
      <c r="K42" s="495"/>
      <c r="L42" s="495"/>
      <c r="M42" s="487"/>
      <c r="N42" s="487"/>
      <c r="O42" s="487"/>
      <c r="P42" s="487"/>
      <c r="Q42" s="253" t="s">
        <v>56</v>
      </c>
      <c r="R42" s="254">
        <v>224782.55613005161</v>
      </c>
      <c r="S42" s="255">
        <v>480934478.44387001</v>
      </c>
      <c r="T42" s="496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493">
        <f>SUM(H43:H47)</f>
        <v>291200</v>
      </c>
      <c r="J43" s="490">
        <v>42717</v>
      </c>
      <c r="K43" s="493">
        <f>I43-L43</f>
        <v>12</v>
      </c>
      <c r="L43" s="493">
        <v>291188</v>
      </c>
      <c r="M43" s="485">
        <v>22620</v>
      </c>
      <c r="N43" s="485">
        <f>L43*M43</f>
        <v>6586672560</v>
      </c>
      <c r="O43" s="485">
        <v>3651146</v>
      </c>
      <c r="P43" s="485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496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494"/>
      <c r="J44" s="491"/>
      <c r="K44" s="494"/>
      <c r="L44" s="494"/>
      <c r="M44" s="486"/>
      <c r="N44" s="486"/>
      <c r="O44" s="486"/>
      <c r="P44" s="486"/>
      <c r="Q44" s="256" t="s">
        <v>152</v>
      </c>
      <c r="R44" s="254">
        <v>321557</v>
      </c>
      <c r="S44" s="255">
        <v>974415000</v>
      </c>
      <c r="T44" s="496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494"/>
      <c r="J45" s="491"/>
      <c r="K45" s="494"/>
      <c r="L45" s="494"/>
      <c r="M45" s="486"/>
      <c r="N45" s="486"/>
      <c r="O45" s="486"/>
      <c r="P45" s="486"/>
      <c r="Q45" s="256" t="s">
        <v>149</v>
      </c>
      <c r="R45" s="254">
        <v>155513</v>
      </c>
      <c r="S45" s="255">
        <v>471250000</v>
      </c>
      <c r="T45" s="496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494"/>
      <c r="J46" s="491"/>
      <c r="K46" s="494"/>
      <c r="L46" s="494"/>
      <c r="M46" s="486"/>
      <c r="N46" s="486"/>
      <c r="O46" s="486"/>
      <c r="P46" s="486"/>
      <c r="Q46" s="256" t="s">
        <v>227</v>
      </c>
      <c r="R46" s="254">
        <v>97190</v>
      </c>
      <c r="S46" s="255">
        <v>294515000</v>
      </c>
      <c r="T46" s="496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495"/>
      <c r="J47" s="492"/>
      <c r="K47" s="495"/>
      <c r="L47" s="495"/>
      <c r="M47" s="487"/>
      <c r="N47" s="487"/>
      <c r="O47" s="487"/>
      <c r="P47" s="487"/>
      <c r="Q47" s="253" t="s">
        <v>56</v>
      </c>
      <c r="R47" s="254">
        <v>897991</v>
      </c>
      <c r="S47" s="255">
        <v>2721185000</v>
      </c>
      <c r="T47" s="496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493">
        <f>SUM(H48:H53)</f>
        <v>291200</v>
      </c>
      <c r="J48" s="490">
        <v>42723</v>
      </c>
      <c r="K48" s="493">
        <f>I48-L48</f>
        <v>117</v>
      </c>
      <c r="L48" s="493">
        <v>291083</v>
      </c>
      <c r="M48" s="485">
        <v>22620</v>
      </c>
      <c r="N48" s="485">
        <f>L48*M48</f>
        <v>6584297460</v>
      </c>
      <c r="O48" s="485"/>
      <c r="P48" s="485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496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494"/>
      <c r="J49" s="491"/>
      <c r="K49" s="494"/>
      <c r="L49" s="494"/>
      <c r="M49" s="486"/>
      <c r="N49" s="486"/>
      <c r="O49" s="486"/>
      <c r="P49" s="486"/>
      <c r="Q49" s="256" t="s">
        <v>149</v>
      </c>
      <c r="R49" s="254">
        <v>158498</v>
      </c>
      <c r="S49" s="255">
        <v>480298000</v>
      </c>
      <c r="T49" s="496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494"/>
      <c r="J50" s="491"/>
      <c r="K50" s="494"/>
      <c r="L50" s="494"/>
      <c r="M50" s="486"/>
      <c r="N50" s="486"/>
      <c r="O50" s="486"/>
      <c r="P50" s="486"/>
      <c r="Q50" s="256" t="s">
        <v>279</v>
      </c>
      <c r="R50" s="254">
        <v>221450</v>
      </c>
      <c r="S50" s="255">
        <v>671060000</v>
      </c>
      <c r="T50" s="496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494"/>
      <c r="J51" s="491"/>
      <c r="K51" s="494"/>
      <c r="L51" s="494"/>
      <c r="M51" s="486"/>
      <c r="N51" s="486"/>
      <c r="O51" s="486"/>
      <c r="P51" s="486"/>
      <c r="Q51" s="256" t="s">
        <v>55</v>
      </c>
      <c r="R51" s="254">
        <v>701499</v>
      </c>
      <c r="S51" s="255">
        <v>2125756000</v>
      </c>
      <c r="T51" s="496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494"/>
      <c r="J52" s="491"/>
      <c r="K52" s="494"/>
      <c r="L52" s="494"/>
      <c r="M52" s="486"/>
      <c r="N52" s="486"/>
      <c r="O52" s="486"/>
      <c r="P52" s="486"/>
      <c r="Q52" s="256" t="s">
        <v>280</v>
      </c>
      <c r="R52" s="254">
        <v>141021</v>
      </c>
      <c r="S52" s="255">
        <v>427336000</v>
      </c>
      <c r="T52" s="496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495"/>
      <c r="J53" s="492"/>
      <c r="K53" s="495"/>
      <c r="L53" s="495"/>
      <c r="M53" s="487"/>
      <c r="N53" s="487"/>
      <c r="O53" s="487"/>
      <c r="P53" s="487"/>
      <c r="Q53" s="253" t="s">
        <v>56</v>
      </c>
      <c r="R53" s="254">
        <v>412914</v>
      </c>
      <c r="S53" s="255">
        <v>1251254000</v>
      </c>
      <c r="T53" s="496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493">
        <f>SUM(H54:H57)</f>
        <v>281840</v>
      </c>
      <c r="J54" s="490">
        <v>42725</v>
      </c>
      <c r="K54" s="493">
        <f>I54-L54</f>
        <v>117</v>
      </c>
      <c r="L54" s="493">
        <v>281723</v>
      </c>
      <c r="M54" s="485">
        <v>22650</v>
      </c>
      <c r="N54" s="485">
        <f>L54*M54</f>
        <v>6381025950</v>
      </c>
      <c r="O54" s="485"/>
      <c r="P54" s="485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496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494"/>
      <c r="J55" s="491"/>
      <c r="K55" s="494"/>
      <c r="L55" s="494"/>
      <c r="M55" s="486"/>
      <c r="N55" s="486"/>
      <c r="O55" s="486"/>
      <c r="P55" s="486"/>
      <c r="Q55" s="256" t="s">
        <v>152</v>
      </c>
      <c r="R55" s="254">
        <v>482346</v>
      </c>
      <c r="S55" s="255">
        <v>876993000</v>
      </c>
      <c r="T55" s="496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494"/>
      <c r="J56" s="491"/>
      <c r="K56" s="494"/>
      <c r="L56" s="494"/>
      <c r="M56" s="486"/>
      <c r="N56" s="486"/>
      <c r="O56" s="486"/>
      <c r="P56" s="486"/>
      <c r="Q56" s="256" t="s">
        <v>131</v>
      </c>
      <c r="R56" s="254">
        <v>984083</v>
      </c>
      <c r="S56" s="255">
        <v>2982070000</v>
      </c>
      <c r="T56" s="496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495"/>
      <c r="J57" s="492"/>
      <c r="K57" s="495"/>
      <c r="L57" s="495"/>
      <c r="M57" s="487"/>
      <c r="N57" s="487"/>
      <c r="O57" s="487"/>
      <c r="P57" s="487"/>
      <c r="Q57" s="253" t="s">
        <v>56</v>
      </c>
      <c r="R57" s="254">
        <v>343695</v>
      </c>
      <c r="S57" s="255">
        <v>1041500000</v>
      </c>
      <c r="T57" s="496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493">
        <f>SUM(H58:H61)</f>
        <v>282482.72000000003</v>
      </c>
      <c r="J58" s="490">
        <v>42730</v>
      </c>
      <c r="K58" s="493">
        <f>I58-L58</f>
        <v>117.00000000005821</v>
      </c>
      <c r="L58" s="493">
        <v>282365.71999999997</v>
      </c>
      <c r="M58" s="485">
        <v>22650</v>
      </c>
      <c r="N58" s="485">
        <f>L58*M58</f>
        <v>6395583557.999999</v>
      </c>
      <c r="O58" s="485"/>
      <c r="P58" s="485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496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494"/>
      <c r="J59" s="491"/>
      <c r="K59" s="494"/>
      <c r="L59" s="494"/>
      <c r="M59" s="486"/>
      <c r="N59" s="486"/>
      <c r="O59" s="486"/>
      <c r="P59" s="486"/>
      <c r="Q59" s="256" t="s">
        <v>325</v>
      </c>
      <c r="R59" s="254">
        <v>15246</v>
      </c>
      <c r="S59" s="255">
        <v>27720000</v>
      </c>
      <c r="T59" s="496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494"/>
      <c r="J60" s="491"/>
      <c r="K60" s="494"/>
      <c r="L60" s="494"/>
      <c r="M60" s="486"/>
      <c r="N60" s="486"/>
      <c r="O60" s="486"/>
      <c r="P60" s="486"/>
      <c r="Q60" s="256" t="s">
        <v>131</v>
      </c>
      <c r="R60" s="254">
        <v>647657</v>
      </c>
      <c r="S60" s="255">
        <v>1177559000</v>
      </c>
      <c r="T60" s="496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495"/>
      <c r="J61" s="492"/>
      <c r="K61" s="495"/>
      <c r="L61" s="495"/>
      <c r="M61" s="487"/>
      <c r="N61" s="487"/>
      <c r="O61" s="487"/>
      <c r="P61" s="487"/>
      <c r="Q61" s="253" t="s">
        <v>56</v>
      </c>
      <c r="R61" s="254">
        <v>2403113</v>
      </c>
      <c r="S61" s="255">
        <v>4369297000</v>
      </c>
      <c r="T61" s="496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493">
        <f>H62+H63</f>
        <v>144200.68</v>
      </c>
      <c r="J62" s="490">
        <v>42742</v>
      </c>
      <c r="K62" s="493">
        <f>I62-L62</f>
        <v>12</v>
      </c>
      <c r="L62" s="493">
        <v>144188.68</v>
      </c>
      <c r="M62" s="485">
        <v>22480</v>
      </c>
      <c r="N62" s="496">
        <f t="shared" ref="N62" si="27">L62*M62</f>
        <v>3241361526.3999996</v>
      </c>
      <c r="O62" s="485">
        <v>1825573</v>
      </c>
      <c r="P62" s="487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496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495"/>
      <c r="J63" s="492"/>
      <c r="K63" s="495"/>
      <c r="L63" s="495"/>
      <c r="M63" s="487"/>
      <c r="N63" s="496"/>
      <c r="O63" s="487"/>
      <c r="P63" s="496"/>
      <c r="Q63" s="253" t="s">
        <v>56</v>
      </c>
      <c r="R63" s="254">
        <v>2422361</v>
      </c>
      <c r="S63" s="255">
        <v>2691512000</v>
      </c>
      <c r="T63" s="496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493">
        <f>SUM(H64:H67)</f>
        <v>294320</v>
      </c>
      <c r="J64" s="490">
        <v>42733</v>
      </c>
      <c r="K64" s="493">
        <f>I64-L64</f>
        <v>12</v>
      </c>
      <c r="L64" s="493">
        <v>294308</v>
      </c>
      <c r="M64" s="485">
        <v>22650</v>
      </c>
      <c r="N64" s="485">
        <f>L64*M64</f>
        <v>6666076200</v>
      </c>
      <c r="O64" s="485">
        <v>3651146</v>
      </c>
      <c r="P64" s="485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496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494"/>
      <c r="J65" s="491"/>
      <c r="K65" s="494"/>
      <c r="L65" s="494"/>
      <c r="M65" s="486"/>
      <c r="N65" s="486"/>
      <c r="O65" s="486"/>
      <c r="P65" s="486"/>
      <c r="Q65" s="253" t="s">
        <v>56</v>
      </c>
      <c r="R65" s="254">
        <v>2786095</v>
      </c>
      <c r="S65" s="255">
        <v>5065628000</v>
      </c>
      <c r="T65" s="496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494"/>
      <c r="J66" s="491"/>
      <c r="K66" s="494"/>
      <c r="L66" s="494"/>
      <c r="M66" s="486"/>
      <c r="N66" s="486"/>
      <c r="O66" s="486"/>
      <c r="P66" s="486"/>
      <c r="Q66" s="247"/>
      <c r="R66" s="247"/>
      <c r="S66" s="247"/>
      <c r="T66" s="496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495"/>
      <c r="J67" s="492"/>
      <c r="K67" s="495"/>
      <c r="L67" s="495"/>
      <c r="M67" s="487"/>
      <c r="N67" s="487"/>
      <c r="O67" s="487"/>
      <c r="P67" s="487"/>
      <c r="Q67" s="247"/>
      <c r="R67" s="247"/>
      <c r="S67" s="247"/>
      <c r="T67" s="496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493">
        <f>SUM(H68:H71)</f>
        <v>294320</v>
      </c>
      <c r="J68" s="490">
        <v>42746</v>
      </c>
      <c r="K68" s="493">
        <f>I68-L68</f>
        <v>12</v>
      </c>
      <c r="L68" s="493">
        <v>294308</v>
      </c>
      <c r="M68" s="485">
        <v>22465</v>
      </c>
      <c r="N68" s="485">
        <f>L68*M68</f>
        <v>6611629220</v>
      </c>
      <c r="O68" s="485">
        <v>3651146</v>
      </c>
      <c r="P68" s="485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496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494"/>
      <c r="J69" s="491"/>
      <c r="K69" s="494"/>
      <c r="L69" s="494"/>
      <c r="M69" s="486"/>
      <c r="N69" s="486"/>
      <c r="O69" s="486"/>
      <c r="P69" s="486"/>
      <c r="Q69" s="253" t="s">
        <v>390</v>
      </c>
      <c r="R69" s="254">
        <v>851458</v>
      </c>
      <c r="S69" s="255">
        <v>946064000</v>
      </c>
      <c r="T69" s="496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494"/>
      <c r="J70" s="491"/>
      <c r="K70" s="494"/>
      <c r="L70" s="494"/>
      <c r="M70" s="486"/>
      <c r="N70" s="486"/>
      <c r="O70" s="486"/>
      <c r="P70" s="486"/>
      <c r="Q70" s="253" t="s">
        <v>56</v>
      </c>
      <c r="R70" s="254">
        <v>4198989</v>
      </c>
      <c r="S70" s="255">
        <v>4665543000</v>
      </c>
      <c r="T70" s="496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495"/>
      <c r="J71" s="492"/>
      <c r="K71" s="495"/>
      <c r="L71" s="495"/>
      <c r="M71" s="487"/>
      <c r="N71" s="487"/>
      <c r="O71" s="487"/>
      <c r="P71" s="487"/>
      <c r="Q71" s="242"/>
      <c r="R71" s="242"/>
      <c r="S71" s="242"/>
      <c r="T71" s="496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493">
        <f>SUM(H72:H77)</f>
        <v>441480</v>
      </c>
      <c r="J72" s="490">
        <v>42782</v>
      </c>
      <c r="K72" s="493">
        <f>I72-L72</f>
        <v>12</v>
      </c>
      <c r="L72" s="493">
        <v>441468</v>
      </c>
      <c r="M72" s="485">
        <v>22570</v>
      </c>
      <c r="N72" s="485">
        <f>L72*M72</f>
        <v>9963932760</v>
      </c>
      <c r="O72" s="485">
        <v>3250000</v>
      </c>
      <c r="P72" s="485">
        <f>N72-O72</f>
        <v>9960682760</v>
      </c>
      <c r="Q72" s="253" t="s">
        <v>131</v>
      </c>
      <c r="R72" s="254">
        <v>1100000</v>
      </c>
      <c r="S72" s="255">
        <v>1697000000</v>
      </c>
      <c r="T72" s="496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494"/>
      <c r="J73" s="491"/>
      <c r="K73" s="494"/>
      <c r="L73" s="494"/>
      <c r="M73" s="486"/>
      <c r="N73" s="486"/>
      <c r="O73" s="486"/>
      <c r="P73" s="486"/>
      <c r="Q73" s="253" t="s">
        <v>396</v>
      </c>
      <c r="R73" s="254">
        <v>1100000</v>
      </c>
      <c r="S73" s="255">
        <v>1697000000</v>
      </c>
      <c r="T73" s="496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494"/>
      <c r="J74" s="491"/>
      <c r="K74" s="494"/>
      <c r="L74" s="494"/>
      <c r="M74" s="486"/>
      <c r="N74" s="486"/>
      <c r="O74" s="486"/>
      <c r="P74" s="486"/>
      <c r="Q74" s="253" t="s">
        <v>395</v>
      </c>
      <c r="R74" s="254">
        <v>1100000</v>
      </c>
      <c r="S74" s="255">
        <v>1696000000</v>
      </c>
      <c r="T74" s="496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494"/>
      <c r="J75" s="491"/>
      <c r="K75" s="494"/>
      <c r="L75" s="494"/>
      <c r="M75" s="486"/>
      <c r="N75" s="486"/>
      <c r="O75" s="486"/>
      <c r="P75" s="486"/>
      <c r="Q75" s="253" t="s">
        <v>400</v>
      </c>
      <c r="R75" s="254">
        <v>1100000</v>
      </c>
      <c r="S75" s="255">
        <v>1696000000</v>
      </c>
      <c r="T75" s="496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494"/>
      <c r="J76" s="491"/>
      <c r="K76" s="494"/>
      <c r="L76" s="494"/>
      <c r="M76" s="486"/>
      <c r="N76" s="486"/>
      <c r="O76" s="486"/>
      <c r="P76" s="486"/>
      <c r="Q76" s="256" t="s">
        <v>401</v>
      </c>
      <c r="R76" s="254">
        <v>1100000</v>
      </c>
      <c r="S76" s="255">
        <v>1696000000</v>
      </c>
      <c r="T76" s="496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495"/>
      <c r="J77" s="492"/>
      <c r="K77" s="495"/>
      <c r="L77" s="495"/>
      <c r="M77" s="487"/>
      <c r="N77" s="487"/>
      <c r="O77" s="487"/>
      <c r="P77" s="487"/>
      <c r="Q77" s="257" t="s">
        <v>394</v>
      </c>
      <c r="R77" s="254">
        <v>1100000</v>
      </c>
      <c r="S77" s="255">
        <v>1696000000</v>
      </c>
      <c r="T77" s="496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497">
        <f>H78+H79</f>
        <v>149367.4</v>
      </c>
      <c r="J78" s="501">
        <v>42774</v>
      </c>
      <c r="K78" s="497">
        <f>I78-L78</f>
        <v>12</v>
      </c>
      <c r="L78" s="497">
        <v>149355.4</v>
      </c>
      <c r="M78" s="485">
        <v>22520</v>
      </c>
      <c r="N78" s="496">
        <f t="shared" ref="N78" si="33">L78*M78</f>
        <v>3363483608</v>
      </c>
      <c r="O78" s="496">
        <v>1861474</v>
      </c>
      <c r="P78" s="487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496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497"/>
      <c r="J79" s="501"/>
      <c r="K79" s="497"/>
      <c r="L79" s="497"/>
      <c r="M79" s="487"/>
      <c r="N79" s="496"/>
      <c r="O79" s="496"/>
      <c r="P79" s="496"/>
      <c r="Q79" s="256" t="s">
        <v>152</v>
      </c>
      <c r="R79" s="254">
        <v>1175650</v>
      </c>
      <c r="S79" s="255">
        <v>1679500000</v>
      </c>
      <c r="T79" s="496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493">
        <f>SUM(H80:H85)</f>
        <v>448102.2</v>
      </c>
      <c r="J80" s="490">
        <v>42788</v>
      </c>
      <c r="K80" s="493">
        <f>I80-L80</f>
        <v>122</v>
      </c>
      <c r="L80" s="493">
        <v>447980.2</v>
      </c>
      <c r="M80" s="485">
        <v>22620</v>
      </c>
      <c r="N80" s="485">
        <f>L80*M80</f>
        <v>10133312124</v>
      </c>
      <c r="O80" s="485"/>
      <c r="P80" s="485">
        <f>N80-O80</f>
        <v>10133312124</v>
      </c>
      <c r="Q80" s="253" t="s">
        <v>396</v>
      </c>
      <c r="R80" s="254">
        <v>1100000</v>
      </c>
      <c r="S80" s="255">
        <v>2110891000</v>
      </c>
      <c r="T80" s="496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494"/>
      <c r="J81" s="491"/>
      <c r="K81" s="494"/>
      <c r="L81" s="494"/>
      <c r="M81" s="486"/>
      <c r="N81" s="486"/>
      <c r="O81" s="486"/>
      <c r="P81" s="486"/>
      <c r="Q81" s="253" t="s">
        <v>395</v>
      </c>
      <c r="R81" s="254">
        <v>1100000</v>
      </c>
      <c r="S81" s="255">
        <v>1238708500</v>
      </c>
      <c r="T81" s="496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494"/>
      <c r="J82" s="491"/>
      <c r="K82" s="494"/>
      <c r="L82" s="494"/>
      <c r="M82" s="486"/>
      <c r="N82" s="486"/>
      <c r="O82" s="486"/>
      <c r="P82" s="486"/>
      <c r="Q82" s="253" t="s">
        <v>131</v>
      </c>
      <c r="R82" s="254">
        <v>1100000</v>
      </c>
      <c r="S82" s="255">
        <v>1473180000</v>
      </c>
      <c r="T82" s="496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494"/>
      <c r="J83" s="491"/>
      <c r="K83" s="494"/>
      <c r="L83" s="494"/>
      <c r="M83" s="486"/>
      <c r="N83" s="486"/>
      <c r="O83" s="486"/>
      <c r="P83" s="486"/>
      <c r="Q83" s="253" t="s">
        <v>406</v>
      </c>
      <c r="R83" s="254">
        <v>1100000</v>
      </c>
      <c r="S83" s="255">
        <v>1552320000</v>
      </c>
      <c r="T83" s="496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494"/>
      <c r="J84" s="491"/>
      <c r="K84" s="494"/>
      <c r="L84" s="494"/>
      <c r="M84" s="486"/>
      <c r="N84" s="486"/>
      <c r="O84" s="486"/>
      <c r="P84" s="486"/>
      <c r="Q84" s="253" t="s">
        <v>400</v>
      </c>
      <c r="R84" s="254">
        <v>1100000</v>
      </c>
      <c r="S84" s="255">
        <v>1329812000</v>
      </c>
      <c r="T84" s="485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495"/>
      <c r="J85" s="492"/>
      <c r="K85" s="495"/>
      <c r="L85" s="495"/>
      <c r="M85" s="487"/>
      <c r="N85" s="487"/>
      <c r="O85" s="487"/>
      <c r="P85" s="487"/>
      <c r="Q85" s="257" t="s">
        <v>394</v>
      </c>
      <c r="R85" s="260">
        <v>1100000</v>
      </c>
      <c r="S85" s="258">
        <v>2251300000</v>
      </c>
      <c r="T85" s="486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493">
        <f>SUM(H86:H91)</f>
        <v>450241.68</v>
      </c>
      <c r="J86" s="490">
        <v>42790</v>
      </c>
      <c r="K86" s="493">
        <f>I86-L86</f>
        <v>12</v>
      </c>
      <c r="L86" s="493">
        <v>450229.68</v>
      </c>
      <c r="M86" s="485">
        <v>22620</v>
      </c>
      <c r="N86" s="485">
        <f>L86*M86</f>
        <v>10184195361.6</v>
      </c>
      <c r="O86" s="485">
        <v>2514600</v>
      </c>
      <c r="P86" s="485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486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494"/>
      <c r="J87" s="491"/>
      <c r="K87" s="494"/>
      <c r="L87" s="494"/>
      <c r="M87" s="486"/>
      <c r="N87" s="486"/>
      <c r="O87" s="486"/>
      <c r="P87" s="486"/>
      <c r="Q87" s="61" t="s">
        <v>395</v>
      </c>
      <c r="R87" s="247">
        <v>550000</v>
      </c>
      <c r="S87" s="255">
        <v>1000000000</v>
      </c>
      <c r="T87" s="486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494"/>
      <c r="J88" s="491"/>
      <c r="K88" s="494"/>
      <c r="L88" s="494"/>
      <c r="M88" s="486"/>
      <c r="N88" s="486"/>
      <c r="O88" s="486"/>
      <c r="P88" s="486"/>
      <c r="Q88" s="61" t="s">
        <v>400</v>
      </c>
      <c r="R88" s="247">
        <v>825000</v>
      </c>
      <c r="S88" s="255">
        <v>1500000000</v>
      </c>
      <c r="T88" s="486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494"/>
      <c r="J89" s="491"/>
      <c r="K89" s="494"/>
      <c r="L89" s="494"/>
      <c r="M89" s="486"/>
      <c r="N89" s="486"/>
      <c r="O89" s="486"/>
      <c r="P89" s="486"/>
      <c r="Q89" s="220" t="s">
        <v>394</v>
      </c>
      <c r="R89" s="247">
        <v>1100000</v>
      </c>
      <c r="S89" s="255">
        <v>4443756000</v>
      </c>
      <c r="T89" s="486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494"/>
      <c r="J90" s="491"/>
      <c r="K90" s="494"/>
      <c r="L90" s="494"/>
      <c r="M90" s="486"/>
      <c r="N90" s="486"/>
      <c r="O90" s="486"/>
      <c r="P90" s="486"/>
      <c r="Q90" s="61" t="s">
        <v>56</v>
      </c>
      <c r="R90" s="247">
        <v>324500</v>
      </c>
      <c r="S90" s="255">
        <v>590000000</v>
      </c>
      <c r="T90" s="486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495"/>
      <c r="J91" s="492"/>
      <c r="K91" s="495"/>
      <c r="L91" s="495"/>
      <c r="M91" s="487"/>
      <c r="N91" s="487"/>
      <c r="O91" s="487"/>
      <c r="P91" s="487"/>
      <c r="Q91" s="247"/>
      <c r="R91" s="247"/>
      <c r="S91" s="247"/>
      <c r="T91" s="486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493">
        <f>SUM(H92:H97)</f>
        <v>448102.2</v>
      </c>
      <c r="J92" s="490">
        <v>42797</v>
      </c>
      <c r="K92" s="493">
        <f>I92-L92</f>
        <v>12</v>
      </c>
      <c r="L92" s="493">
        <v>448090.2</v>
      </c>
      <c r="M92" s="485">
        <v>22650</v>
      </c>
      <c r="N92" s="485">
        <f>L92*M92</f>
        <v>10149243030</v>
      </c>
      <c r="O92" s="485">
        <v>2514600</v>
      </c>
      <c r="P92" s="485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486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494"/>
      <c r="J93" s="491"/>
      <c r="K93" s="494"/>
      <c r="L93" s="494"/>
      <c r="M93" s="486"/>
      <c r="N93" s="486"/>
      <c r="O93" s="486"/>
      <c r="P93" s="486"/>
      <c r="Q93" s="139" t="s">
        <v>395</v>
      </c>
      <c r="R93" s="276">
        <v>770000</v>
      </c>
      <c r="S93" s="247">
        <v>1000000000</v>
      </c>
      <c r="T93" s="486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494"/>
      <c r="J94" s="491"/>
      <c r="K94" s="494"/>
      <c r="L94" s="494"/>
      <c r="M94" s="486"/>
      <c r="N94" s="486"/>
      <c r="O94" s="486"/>
      <c r="P94" s="486"/>
      <c r="Q94" s="139" t="s">
        <v>400</v>
      </c>
      <c r="R94" s="276">
        <v>1100000</v>
      </c>
      <c r="S94" s="247">
        <v>1500000000</v>
      </c>
      <c r="T94" s="486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494"/>
      <c r="J95" s="491"/>
      <c r="K95" s="494"/>
      <c r="L95" s="494"/>
      <c r="M95" s="486"/>
      <c r="N95" s="486"/>
      <c r="O95" s="486"/>
      <c r="P95" s="486"/>
      <c r="Q95" s="139" t="s">
        <v>394</v>
      </c>
      <c r="R95" s="276">
        <v>1100000</v>
      </c>
      <c r="S95" s="247">
        <v>1955000000</v>
      </c>
      <c r="T95" s="487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494"/>
      <c r="J96" s="491"/>
      <c r="K96" s="494"/>
      <c r="L96" s="494"/>
      <c r="M96" s="486"/>
      <c r="N96" s="486"/>
      <c r="O96" s="486"/>
      <c r="P96" s="486"/>
      <c r="Q96" s="139" t="s">
        <v>55</v>
      </c>
      <c r="R96" s="276">
        <v>1100000</v>
      </c>
      <c r="S96" s="247">
        <v>2245072000</v>
      </c>
      <c r="T96" s="485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495"/>
      <c r="J97" s="492"/>
      <c r="K97" s="495"/>
      <c r="L97" s="495"/>
      <c r="M97" s="487"/>
      <c r="N97" s="487"/>
      <c r="O97" s="487"/>
      <c r="P97" s="487"/>
      <c r="Q97" s="139" t="s">
        <v>56</v>
      </c>
      <c r="R97" s="276">
        <v>1100000</v>
      </c>
      <c r="S97" s="247">
        <v>1998400000</v>
      </c>
      <c r="T97" s="487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493">
        <f>SUM(H98:H101)</f>
        <v>277622.8</v>
      </c>
      <c r="J98" s="490">
        <v>42779</v>
      </c>
      <c r="K98" s="493">
        <f>I98-L98</f>
        <v>12</v>
      </c>
      <c r="L98" s="493">
        <v>277610.8</v>
      </c>
      <c r="M98" s="485">
        <v>22520</v>
      </c>
      <c r="N98" s="485">
        <f>L98*M98</f>
        <v>6251795216</v>
      </c>
      <c r="O98" s="485">
        <v>2899200</v>
      </c>
      <c r="P98" s="485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485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494"/>
      <c r="J99" s="491"/>
      <c r="K99" s="494"/>
      <c r="L99" s="494"/>
      <c r="M99" s="486"/>
      <c r="N99" s="486"/>
      <c r="O99" s="486"/>
      <c r="P99" s="486"/>
      <c r="Q99" s="253" t="s">
        <v>395</v>
      </c>
      <c r="R99" s="254">
        <v>1367145</v>
      </c>
      <c r="S99" s="255">
        <v>1519050000</v>
      </c>
      <c r="T99" s="486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494"/>
      <c r="J100" s="491"/>
      <c r="K100" s="494"/>
      <c r="L100" s="494"/>
      <c r="M100" s="486"/>
      <c r="N100" s="486"/>
      <c r="O100" s="486"/>
      <c r="P100" s="486"/>
      <c r="Q100" s="253" t="s">
        <v>396</v>
      </c>
      <c r="R100" s="254">
        <v>1360476</v>
      </c>
      <c r="S100" s="255">
        <v>1511640000</v>
      </c>
      <c r="T100" s="486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495"/>
      <c r="J101" s="492"/>
      <c r="K101" s="495"/>
      <c r="L101" s="495"/>
      <c r="M101" s="487"/>
      <c r="N101" s="487"/>
      <c r="O101" s="487"/>
      <c r="P101" s="487"/>
      <c r="Q101" s="253" t="s">
        <v>397</v>
      </c>
      <c r="R101" s="254">
        <v>1348542</v>
      </c>
      <c r="S101" s="255">
        <v>1498380000</v>
      </c>
      <c r="T101" s="487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498" t="s">
        <v>19</v>
      </c>
      <c r="B103" s="499"/>
      <c r="C103" s="499"/>
      <c r="D103" s="499"/>
      <c r="E103" s="500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502"/>
      <c r="O104" s="502"/>
      <c r="P104" s="502"/>
      <c r="Q104" s="259"/>
      <c r="R104" s="259"/>
      <c r="S104" s="259"/>
      <c r="T104" s="503"/>
      <c r="U104" s="503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  <mergeCell ref="P62:P63"/>
    <mergeCell ref="N58:N61"/>
    <mergeCell ref="O64:O67"/>
    <mergeCell ref="O39:O42"/>
    <mergeCell ref="M37:M38"/>
    <mergeCell ref="O37:O38"/>
    <mergeCell ref="N62:N63"/>
    <mergeCell ref="M48:M53"/>
    <mergeCell ref="M62:M63"/>
    <mergeCell ref="O62:O63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P64:P67"/>
    <mergeCell ref="M68:M71"/>
    <mergeCell ref="O68:O71"/>
    <mergeCell ref="P68:P71"/>
    <mergeCell ref="N64:N67"/>
    <mergeCell ref="N68:N71"/>
    <mergeCell ref="O92:O97"/>
    <mergeCell ref="P92:P97"/>
    <mergeCell ref="T96:T97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K86:K91"/>
    <mergeCell ref="I80:I85"/>
    <mergeCell ref="I86:I91"/>
    <mergeCell ref="J24:J25"/>
    <mergeCell ref="P39:P42"/>
    <mergeCell ref="L24:L25"/>
    <mergeCell ref="J68:J7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N29:N32"/>
    <mergeCell ref="M29:M32"/>
    <mergeCell ref="O29:O32"/>
    <mergeCell ref="P29:P32"/>
    <mergeCell ref="K98:K101"/>
    <mergeCell ref="L39:L42"/>
    <mergeCell ref="M64:M67"/>
    <mergeCell ref="M98:M101"/>
    <mergeCell ref="I64:I67"/>
    <mergeCell ref="I43:I47"/>
    <mergeCell ref="K43:K47"/>
    <mergeCell ref="M39:M42"/>
    <mergeCell ref="I72:I77"/>
    <mergeCell ref="I78:I79"/>
    <mergeCell ref="L72:L77"/>
    <mergeCell ref="I68:I71"/>
    <mergeCell ref="M92:M97"/>
    <mergeCell ref="M43:M47"/>
    <mergeCell ref="K72:K77"/>
    <mergeCell ref="K78:K79"/>
    <mergeCell ref="K80:K85"/>
    <mergeCell ref="J64:J67"/>
    <mergeCell ref="L48:L53"/>
    <mergeCell ref="J78:J79"/>
    <mergeCell ref="L78:L79"/>
    <mergeCell ref="J58:J61"/>
    <mergeCell ref="L58:L61"/>
    <mergeCell ref="L68:L71"/>
    <mergeCell ref="K48:K53"/>
    <mergeCell ref="K54:K57"/>
    <mergeCell ref="K58:K61"/>
    <mergeCell ref="K62:K63"/>
    <mergeCell ref="K64:K67"/>
    <mergeCell ref="L64:L67"/>
    <mergeCell ref="J62:J63"/>
    <mergeCell ref="J37:J38"/>
    <mergeCell ref="L37:L38"/>
    <mergeCell ref="J39:J42"/>
    <mergeCell ref="L29:L32"/>
    <mergeCell ref="K29:K32"/>
    <mergeCell ref="K33:K36"/>
    <mergeCell ref="L33:L36"/>
    <mergeCell ref="I37:I38"/>
    <mergeCell ref="I39:I42"/>
    <mergeCell ref="I33:I36"/>
    <mergeCell ref="J33:J36"/>
    <mergeCell ref="K37:K38"/>
    <mergeCell ref="K39:K42"/>
    <mergeCell ref="I29:I32"/>
    <mergeCell ref="J29:J32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92:J97"/>
    <mergeCell ref="K92:K97"/>
    <mergeCell ref="L92:L97"/>
    <mergeCell ref="K68:K71"/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24:I25"/>
    <mergeCell ref="T24:T25"/>
    <mergeCell ref="N19:N21"/>
    <mergeCell ref="N22:N23"/>
    <mergeCell ref="N24:N25"/>
    <mergeCell ref="J17:P17"/>
    <mergeCell ref="M19:M21"/>
  </mergeCells>
  <pageMargins left="0.16" right="0.16" top="0.11" bottom="0.16" header="0.3" footer="0.16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52"/>
  <sheetViews>
    <sheetView topLeftCell="A527" zoomScale="90" zoomScaleNormal="90" workbookViewId="0">
      <selection activeCell="G546" sqref="G546"/>
    </sheetView>
  </sheetViews>
  <sheetFormatPr defaultRowHeight="16.5"/>
  <cols>
    <col min="1" max="1" width="5.5703125" style="5" customWidth="1"/>
    <col min="2" max="2" width="39" style="5" customWidth="1"/>
    <col min="3" max="3" width="12.5703125" style="99" customWidth="1"/>
    <col min="4" max="4" width="13.85546875" style="7" customWidth="1"/>
    <col min="5" max="5" width="16.28515625" style="103" customWidth="1"/>
    <col min="6" max="6" width="2" style="5" customWidth="1"/>
    <col min="7" max="7" width="9.7109375" style="3" customWidth="1"/>
    <col min="8" max="8" width="9.140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513" t="s">
        <v>77</v>
      </c>
      <c r="B1" s="513"/>
      <c r="C1" s="513"/>
      <c r="D1" s="513"/>
      <c r="E1" s="513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513" t="s">
        <v>97</v>
      </c>
      <c r="B21" s="513"/>
      <c r="C21" s="513"/>
      <c r="D21" s="513"/>
      <c r="E21" s="513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513" t="s">
        <v>78</v>
      </c>
      <c r="B32" s="513"/>
      <c r="C32" s="513"/>
      <c r="D32" s="513"/>
      <c r="E32" s="513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513" t="s">
        <v>109</v>
      </c>
      <c r="B55" s="513"/>
      <c r="C55" s="513"/>
      <c r="D55" s="513"/>
      <c r="E55" s="513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517" t="s">
        <v>21</v>
      </c>
      <c r="C77" s="517"/>
      <c r="D77" s="517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518" t="s">
        <v>113</v>
      </c>
      <c r="C78" s="518"/>
      <c r="D78" s="518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519" t="s">
        <v>114</v>
      </c>
      <c r="C79" s="519"/>
      <c r="D79" s="519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519" t="s">
        <v>115</v>
      </c>
      <c r="C80" s="519"/>
      <c r="D80" s="519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519" t="s">
        <v>116</v>
      </c>
      <c r="C81" s="519"/>
      <c r="D81" s="519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520"/>
      <c r="C82" s="520"/>
      <c r="D82" s="520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521" t="s">
        <v>57</v>
      </c>
      <c r="C83" s="521"/>
      <c r="D83" s="521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510" t="s">
        <v>117</v>
      </c>
      <c r="G85" s="511"/>
      <c r="H85" s="512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507"/>
      <c r="G86" s="508"/>
      <c r="H86" s="509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507">
        <f>I87*0.033%</f>
        <v>688392.54</v>
      </c>
      <c r="G87" s="508"/>
      <c r="H87" s="509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507">
        <f>I84*0.033%</f>
        <v>176854.25586180002</v>
      </c>
      <c r="G88" s="508"/>
      <c r="H88" s="509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514"/>
      <c r="G89" s="515"/>
      <c r="H89" s="516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504">
        <f>SUM(F86:H89)</f>
        <v>865246.79586180008</v>
      </c>
      <c r="G90" s="505"/>
      <c r="H90" s="506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510" t="s">
        <v>117</v>
      </c>
      <c r="G92" s="511"/>
      <c r="H92" s="512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522"/>
      <c r="G93" s="523"/>
      <c r="H93" s="524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507">
        <v>1791144</v>
      </c>
      <c r="G94" s="508"/>
      <c r="H94" s="509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507"/>
      <c r="G95" s="508"/>
      <c r="H95" s="509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507">
        <v>357930</v>
      </c>
      <c r="G96" s="508"/>
      <c r="H96" s="509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507">
        <v>480480</v>
      </c>
      <c r="G97" s="508"/>
      <c r="H97" s="509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507">
        <v>231033</v>
      </c>
      <c r="G98" s="508"/>
      <c r="H98" s="509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514"/>
      <c r="G99" s="515"/>
      <c r="H99" s="516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504">
        <f>SUM(F93:H99)</f>
        <v>2860587</v>
      </c>
      <c r="G100" s="505"/>
      <c r="H100" s="506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513" t="s">
        <v>147</v>
      </c>
      <c r="B105" s="513"/>
      <c r="C105" s="513"/>
      <c r="D105" s="513"/>
      <c r="E105" s="513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510" t="s">
        <v>117</v>
      </c>
      <c r="G128" s="511"/>
      <c r="H128" s="512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507"/>
      <c r="G129" s="508"/>
      <c r="H129" s="509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507">
        <f>F94*2</f>
        <v>3582288</v>
      </c>
      <c r="G130" s="508"/>
      <c r="H130" s="509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507">
        <v>-1791144</v>
      </c>
      <c r="G131" s="508"/>
      <c r="H131" s="509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507">
        <f>ROUND(I132*0.033%,0)</f>
        <v>1450020</v>
      </c>
      <c r="G132" s="508"/>
      <c r="H132" s="509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507">
        <f>ROUND(I133*0.033%,0)</f>
        <v>133243</v>
      </c>
      <c r="G133" s="508"/>
      <c r="H133" s="509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507">
        <f t="shared" ref="F134" si="44">ROUND(I134*0.033%,0)</f>
        <v>142501</v>
      </c>
      <c r="G134" s="508"/>
      <c r="H134" s="509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507">
        <v>298421</v>
      </c>
      <c r="G135" s="508"/>
      <c r="H135" s="509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514"/>
      <c r="G136" s="515"/>
      <c r="H136" s="516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504">
        <f>SUM(F129:H136)</f>
        <v>3815329</v>
      </c>
      <c r="G137" s="505"/>
      <c r="H137" s="506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510" t="s">
        <v>117</v>
      </c>
      <c r="G139" s="511"/>
      <c r="H139" s="512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507"/>
      <c r="G140" s="508"/>
      <c r="H140" s="509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507">
        <v>1819968</v>
      </c>
      <c r="G141" s="508"/>
      <c r="H141" s="509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507">
        <f>ROUND(I142*0.033%,0)</f>
        <v>475585</v>
      </c>
      <c r="G142" s="508"/>
      <c r="H142" s="509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507">
        <f>ROUND(I143*0.033%,0)</f>
        <v>178679</v>
      </c>
      <c r="G143" s="508"/>
      <c r="H143" s="509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507">
        <f t="shared" ref="F144" si="46">ROUND(I144*0.033%,0)</f>
        <v>351889</v>
      </c>
      <c r="G144" s="508"/>
      <c r="H144" s="509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507">
        <v>81592</v>
      </c>
      <c r="G145" s="508"/>
      <c r="H145" s="509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514"/>
      <c r="G146" s="515"/>
      <c r="H146" s="516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504">
        <f>SUM(F140:H146)</f>
        <v>2907713</v>
      </c>
      <c r="G147" s="505"/>
      <c r="H147" s="506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513" t="s">
        <v>190</v>
      </c>
      <c r="B150" s="513"/>
      <c r="C150" s="513"/>
      <c r="D150" s="513"/>
      <c r="E150" s="513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510" t="s">
        <v>117</v>
      </c>
      <c r="G177" s="511"/>
      <c r="H177" s="512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507"/>
      <c r="G178" s="508"/>
      <c r="H178" s="509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507">
        <v>1825573</v>
      </c>
      <c r="G179" s="508"/>
      <c r="H179" s="509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507">
        <f>ROUND(I180*0.033%,0)</f>
        <v>497640</v>
      </c>
      <c r="G180" s="508"/>
      <c r="H180" s="509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507">
        <f>ROUND(I181*0.033%,0)</f>
        <v>552453</v>
      </c>
      <c r="G181" s="508"/>
      <c r="H181" s="509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507"/>
      <c r="G182" s="508"/>
      <c r="H182" s="509"/>
      <c r="I182" s="63"/>
    </row>
    <row r="183" spans="1:14" ht="6" customHeight="1">
      <c r="A183" s="112"/>
      <c r="B183" s="115"/>
      <c r="C183" s="116"/>
      <c r="D183" s="113"/>
      <c r="E183" s="113"/>
      <c r="F183" s="514"/>
      <c r="G183" s="515"/>
      <c r="H183" s="516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504">
        <f>SUM(F178:H183)</f>
        <v>2875666</v>
      </c>
      <c r="G184" s="505"/>
      <c r="H184" s="506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510" t="s">
        <v>117</v>
      </c>
      <c r="G188" s="511"/>
      <c r="H188" s="512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507"/>
      <c r="G189" s="508"/>
      <c r="H189" s="509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507"/>
      <c r="G190" s="508"/>
      <c r="H190" s="509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507">
        <f>1825573*2</f>
        <v>3651146</v>
      </c>
      <c r="G191" s="508"/>
      <c r="H191" s="509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507">
        <f>ROUND(I194*0.033%,0)</f>
        <v>963198</v>
      </c>
      <c r="G194" s="508"/>
      <c r="H194" s="509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507">
        <f>ROUND(I195*0.033%,0)</f>
        <v>602224</v>
      </c>
      <c r="G195" s="508"/>
      <c r="H195" s="509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507">
        <f>ROUND(I196*0.033%,0)</f>
        <v>182381</v>
      </c>
      <c r="G196" s="508"/>
      <c r="H196" s="509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507">
        <v>224782.55613005161</v>
      </c>
      <c r="G197" s="508"/>
      <c r="H197" s="509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514"/>
      <c r="G198" s="515"/>
      <c r="H198" s="516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504">
        <f>SUM(F189:H198)</f>
        <v>5623731.5561300516</v>
      </c>
      <c r="G199" s="505"/>
      <c r="H199" s="506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513" t="s">
        <v>198</v>
      </c>
      <c r="B205" s="513"/>
      <c r="C205" s="513"/>
      <c r="D205" s="513"/>
      <c r="E205" s="513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510" t="s">
        <v>117</v>
      </c>
      <c r="G226" s="511"/>
      <c r="H226" s="512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507"/>
      <c r="G227" s="508"/>
      <c r="H227" s="509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507">
        <f>1825573*2</f>
        <v>3651146</v>
      </c>
      <c r="G228" s="508"/>
      <c r="H228" s="509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507">
        <f>ROUND(I230*0.033%,0)</f>
        <v>476190</v>
      </c>
      <c r="G230" s="508"/>
      <c r="H230" s="509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507">
        <f>ROUND(I231*0.033%,0)</f>
        <v>321557</v>
      </c>
      <c r="G231" s="508"/>
      <c r="H231" s="509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507">
        <f>ROUND(I232*0.033%,0)</f>
        <v>155513</v>
      </c>
      <c r="G232" s="508"/>
      <c r="H232" s="509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507">
        <f>ROUND(I233*0.033%,0)</f>
        <v>97190</v>
      </c>
      <c r="G233" s="508"/>
      <c r="H233" s="509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507">
        <f>ROUND(I234*0.033%,0)</f>
        <v>897991</v>
      </c>
      <c r="G234" s="508"/>
      <c r="H234" s="509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514"/>
      <c r="G235" s="515"/>
      <c r="H235" s="516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504">
        <f>SUM(F227:H235)</f>
        <v>5599587</v>
      </c>
      <c r="G236" s="505"/>
      <c r="H236" s="506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513" t="s">
        <v>277</v>
      </c>
      <c r="B240" s="513"/>
      <c r="C240" s="513"/>
      <c r="D240" s="513"/>
      <c r="E240" s="513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510" t="s">
        <v>117</v>
      </c>
      <c r="G262" s="511"/>
      <c r="H262" s="512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507"/>
      <c r="G263" s="508"/>
      <c r="H263" s="509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507"/>
      <c r="G264" s="508"/>
      <c r="H264" s="509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507">
        <f>ROUND(I265*0.055%,0)</f>
        <v>577777</v>
      </c>
      <c r="G265" s="508"/>
      <c r="H265" s="509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507">
        <f>ROUND(I266*0.033%,0)</f>
        <v>158498</v>
      </c>
      <c r="G266" s="508"/>
      <c r="H266" s="509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507">
        <f>ROUND(I267*0.033%,0)</f>
        <v>221450</v>
      </c>
      <c r="G267" s="508"/>
      <c r="H267" s="509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507">
        <f>ROUND(I268*0.033%,0)</f>
        <v>701499</v>
      </c>
      <c r="G268" s="508"/>
      <c r="H268" s="509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507">
        <f>ROUND(I269*0.033%,0)</f>
        <v>141021</v>
      </c>
      <c r="G269" s="508"/>
      <c r="H269" s="509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507">
        <f>ROUND(I270*0.033%,0)</f>
        <v>412914</v>
      </c>
      <c r="G270" s="508"/>
      <c r="H270" s="509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514"/>
      <c r="G271" s="515"/>
      <c r="H271" s="516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504">
        <f>SUM(F263:H271)</f>
        <v>2213159</v>
      </c>
      <c r="G272" s="505"/>
      <c r="H272" s="506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510" t="s">
        <v>117</v>
      </c>
      <c r="G274" s="511"/>
      <c r="H274" s="512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507"/>
      <c r="G275" s="508"/>
      <c r="H275" s="509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507">
        <f>ROUND(I276*0.055%,0)</f>
        <v>812812</v>
      </c>
      <c r="G276" s="508"/>
      <c r="H276" s="509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507">
        <f>ROUND(I277*0.055%,0)</f>
        <v>482346</v>
      </c>
      <c r="G277" s="508"/>
      <c r="H277" s="509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507">
        <f>ROUND(I278*0.033%,0)</f>
        <v>984083</v>
      </c>
      <c r="G278" s="508"/>
      <c r="H278" s="509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507">
        <f>ROUND(I279*0.033%,0)</f>
        <v>343695</v>
      </c>
      <c r="G279" s="508"/>
      <c r="H279" s="509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514"/>
      <c r="G280" s="515"/>
      <c r="H280" s="516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504">
        <f>SUM(F275:H280)</f>
        <v>2622936</v>
      </c>
      <c r="G281" s="505"/>
      <c r="H281" s="506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513" t="s">
        <v>316</v>
      </c>
      <c r="B288" s="513"/>
      <c r="C288" s="513"/>
      <c r="D288" s="513"/>
      <c r="E288" s="513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510" t="s">
        <v>117</v>
      </c>
      <c r="G316" s="511"/>
      <c r="H316" s="512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527"/>
      <c r="G317" s="528"/>
      <c r="H317" s="529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522"/>
      <c r="G318" s="523"/>
      <c r="H318" s="524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507">
        <f>ROUND(I319*0.055%,0)</f>
        <v>120120</v>
      </c>
      <c r="G319" s="508"/>
      <c r="H319" s="509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507">
        <f>ROUND(I320*0.055%,0)</f>
        <v>15246</v>
      </c>
      <c r="G320" s="508"/>
      <c r="H320" s="509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507">
        <f>ROUND(I321*0.055%,0)</f>
        <v>647657</v>
      </c>
      <c r="G321" s="508"/>
      <c r="H321" s="509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507">
        <f>ROUND(I322*0.055%,0)</f>
        <v>2403113</v>
      </c>
      <c r="G322" s="508"/>
      <c r="H322" s="509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504">
        <f>SUM(F317:H323)</f>
        <v>3186136</v>
      </c>
      <c r="G324" s="505"/>
      <c r="H324" s="506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513" t="s">
        <v>326</v>
      </c>
      <c r="B328" s="513"/>
      <c r="C328" s="513"/>
      <c r="D328" s="513"/>
      <c r="E328" s="513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510" t="s">
        <v>117</v>
      </c>
      <c r="G345" s="511"/>
      <c r="H345" s="512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507">
        <f>1825573*2</f>
        <v>3651146</v>
      </c>
      <c r="G347" s="508"/>
      <c r="H347" s="509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507"/>
      <c r="G348" s="508"/>
      <c r="H348" s="509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507">
        <f>ROUND(I349*0.055%,0)</f>
        <v>820069</v>
      </c>
      <c r="G349" s="508"/>
      <c r="H349" s="509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507">
        <f>ROUND(I350*0.055%,0)</f>
        <v>2786095</v>
      </c>
      <c r="G350" s="508"/>
      <c r="H350" s="509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504">
        <f>SUM(F346:H351)</f>
        <v>7257310</v>
      </c>
      <c r="G352" s="505"/>
      <c r="H352" s="506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525"/>
      <c r="B358" s="525"/>
      <c r="C358" s="525"/>
      <c r="D358" s="525"/>
      <c r="E358" s="525"/>
      <c r="F358" s="87"/>
      <c r="G358" s="526" t="s">
        <v>377</v>
      </c>
      <c r="H358" s="526"/>
      <c r="I358" s="526"/>
      <c r="J358" s="526"/>
      <c r="K358" s="526"/>
      <c r="L358" s="526"/>
      <c r="M358" s="526"/>
      <c r="N358" s="526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510" t="s">
        <v>117</v>
      </c>
      <c r="G400" s="511"/>
      <c r="H400" s="512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507">
        <f>1825573</f>
        <v>1825573</v>
      </c>
      <c r="G402" s="508"/>
      <c r="H402" s="509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507"/>
      <c r="G403" s="508"/>
      <c r="H403" s="509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507"/>
      <c r="G404" s="508"/>
      <c r="H404" s="509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507">
        <f>ROUND(I405*0.09%,0)</f>
        <v>296150</v>
      </c>
      <c r="G405" s="508"/>
      <c r="H405" s="509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507">
        <f>ROUND(I406*0.09%,0)</f>
        <v>2422361</v>
      </c>
      <c r="G406" s="508"/>
      <c r="H406" s="509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504">
        <f>SUM(F401:H407)</f>
        <v>4544084</v>
      </c>
      <c r="G408" s="505"/>
      <c r="H408" s="506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510" t="s">
        <v>117</v>
      </c>
      <c r="G412" s="511"/>
      <c r="H412" s="512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507">
        <f>1825573*2</f>
        <v>3651146</v>
      </c>
      <c r="G414" s="508"/>
      <c r="H414" s="509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507">
        <v>1842100</v>
      </c>
      <c r="G415" s="508"/>
      <c r="H415" s="509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507">
        <f t="shared" ref="F416:F417" si="122">ROUND(I416*0.09%,0)</f>
        <v>889727</v>
      </c>
      <c r="G416" s="508"/>
      <c r="H416" s="509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507">
        <f t="shared" si="122"/>
        <v>851458</v>
      </c>
      <c r="G417" s="508"/>
      <c r="H417" s="509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507">
        <f>ROUND(I418*0.09%,0)</f>
        <v>4198989</v>
      </c>
      <c r="G418" s="508"/>
      <c r="H418" s="509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504">
        <f>SUM(F413:H419)</f>
        <v>11433420</v>
      </c>
      <c r="G420" s="505"/>
      <c r="H420" s="506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510" t="s">
        <v>117</v>
      </c>
      <c r="G423" s="511"/>
      <c r="H423" s="512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507">
        <v>1861474</v>
      </c>
      <c r="G425" s="508"/>
      <c r="H425" s="509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507">
        <f>ROUND(I426*0.07%,0)</f>
        <v>1175650</v>
      </c>
      <c r="G426" s="508"/>
      <c r="H426" s="509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507">
        <f>ROUND(I427*0.07%,0)</f>
        <v>1175650</v>
      </c>
      <c r="G427" s="508"/>
      <c r="H427" s="509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504">
        <f>SUM(F424:H428)</f>
        <v>4212774</v>
      </c>
      <c r="G429" s="505"/>
      <c r="H429" s="506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510" t="s">
        <v>117</v>
      </c>
      <c r="G433" s="511"/>
      <c r="H433" s="512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507">
        <v>2899200</v>
      </c>
      <c r="G435" s="508"/>
      <c r="H435" s="509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507">
        <f>ROUND(I436*0.09%,0)</f>
        <v>1339135</v>
      </c>
      <c r="G436" s="508"/>
      <c r="H436" s="509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507">
        <f t="shared" ref="F437:F439" si="123">ROUND(I437*0.09%,0)</f>
        <v>1367145</v>
      </c>
      <c r="G437" s="508"/>
      <c r="H437" s="509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507">
        <f t="shared" si="123"/>
        <v>1360476</v>
      </c>
      <c r="G438" s="508"/>
      <c r="H438" s="509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507">
        <f t="shared" si="123"/>
        <v>1348542</v>
      </c>
      <c r="G439" s="508"/>
      <c r="H439" s="509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507">
        <f>ROUND(I440*0.06%,0)</f>
        <v>0</v>
      </c>
      <c r="G440" s="508"/>
      <c r="H440" s="509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504">
        <f>SUM(F434:H441)</f>
        <v>8314498</v>
      </c>
      <c r="G442" s="505"/>
      <c r="H442" s="506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510" t="s">
        <v>117</v>
      </c>
      <c r="G446" s="511"/>
      <c r="H446" s="512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507">
        <v>3250000</v>
      </c>
      <c r="G448" s="508"/>
      <c r="H448" s="509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507"/>
      <c r="G449" s="508"/>
      <c r="H449" s="509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507"/>
      <c r="G450" s="508"/>
      <c r="H450" s="509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507">
        <v>1100000</v>
      </c>
      <c r="G451" s="508"/>
      <c r="H451" s="509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507">
        <v>1100000</v>
      </c>
      <c r="G452" s="508"/>
      <c r="H452" s="509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507">
        <v>1100000</v>
      </c>
      <c r="G453" s="508"/>
      <c r="H453" s="509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507">
        <v>1100000</v>
      </c>
      <c r="G454" s="508"/>
      <c r="H454" s="509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507">
        <v>1100000</v>
      </c>
      <c r="G455" s="508"/>
      <c r="H455" s="509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507">
        <v>1100000</v>
      </c>
      <c r="G456" s="508"/>
      <c r="H456" s="509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507">
        <f t="shared" ref="F457" si="124">ROUND(I457*0.06%,0)</f>
        <v>0</v>
      </c>
      <c r="G457" s="508"/>
      <c r="H457" s="509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504">
        <f>SUM(F447:H458)</f>
        <v>9850000</v>
      </c>
      <c r="G459" s="505"/>
      <c r="H459" s="506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510" t="s">
        <v>117</v>
      </c>
      <c r="G463" s="511"/>
      <c r="H463" s="512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507"/>
      <c r="G465" s="508"/>
      <c r="H465" s="509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507">
        <v>1100000</v>
      </c>
      <c r="G466" s="508"/>
      <c r="H466" s="509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507">
        <v>1100000</v>
      </c>
      <c r="G467" s="508"/>
      <c r="H467" s="509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507">
        <v>1100000</v>
      </c>
      <c r="G468" s="508"/>
      <c r="H468" s="509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507">
        <v>1100000</v>
      </c>
      <c r="G469" s="508"/>
      <c r="H469" s="509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507">
        <v>1100000</v>
      </c>
      <c r="G470" s="508"/>
      <c r="H470" s="509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507">
        <v>1100000</v>
      </c>
      <c r="G471" s="508"/>
      <c r="H471" s="509"/>
      <c r="I471" s="63">
        <v>2251300000</v>
      </c>
    </row>
    <row r="472" spans="1:11">
      <c r="A472" s="60"/>
      <c r="B472" s="220"/>
      <c r="C472" s="221"/>
      <c r="D472" s="113"/>
      <c r="E472" s="113"/>
      <c r="F472" s="507">
        <f t="shared" ref="F472" si="125">ROUND(I472*0.06%,0)</f>
        <v>0</v>
      </c>
      <c r="G472" s="508"/>
      <c r="H472" s="509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504">
        <f>SUM(F464:H473)</f>
        <v>6600000</v>
      </c>
      <c r="G474" s="505"/>
      <c r="H474" s="506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510" t="s">
        <v>117</v>
      </c>
      <c r="G478" s="511"/>
      <c r="H478" s="512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507">
        <v>2514600</v>
      </c>
      <c r="G480" s="508"/>
      <c r="H480" s="509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507"/>
      <c r="G481" s="508"/>
      <c r="H481" s="509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507">
        <v>1100000</v>
      </c>
      <c r="G482" s="508"/>
      <c r="H482" s="509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507">
        <v>550000</v>
      </c>
      <c r="G483" s="508"/>
      <c r="H483" s="509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507">
        <v>825000</v>
      </c>
      <c r="G484" s="508"/>
      <c r="H484" s="509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507">
        <v>1100000</v>
      </c>
      <c r="G485" s="508"/>
      <c r="H485" s="509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507">
        <v>324500</v>
      </c>
      <c r="G486" s="508"/>
      <c r="H486" s="509"/>
      <c r="I486" s="63">
        <v>590000000</v>
      </c>
    </row>
    <row r="487" spans="1:11">
      <c r="A487" s="60"/>
      <c r="B487" s="220"/>
      <c r="C487" s="221"/>
      <c r="D487" s="113"/>
      <c r="E487" s="113"/>
      <c r="F487" s="507">
        <f t="shared" ref="F487" si="126">ROUND(I487*0.06%,0)</f>
        <v>0</v>
      </c>
      <c r="G487" s="508"/>
      <c r="H487" s="509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504">
        <f>SUM(F479:H488)</f>
        <v>6414100</v>
      </c>
      <c r="G489" s="505"/>
      <c r="H489" s="506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510" t="s">
        <v>117</v>
      </c>
      <c r="G493" s="511"/>
      <c r="H493" s="512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507">
        <v>2514600</v>
      </c>
      <c r="G495" s="508"/>
      <c r="H495" s="509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507"/>
      <c r="G496" s="508"/>
      <c r="H496" s="509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507">
        <f>ROUND(IF(I498*0.07%&gt;1100000,1100000,I498*0.07%),0)</f>
        <v>1100000</v>
      </c>
      <c r="G498" s="508"/>
      <c r="H498" s="509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507">
        <v>770000</v>
      </c>
      <c r="G499" s="508"/>
      <c r="H499" s="509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507">
        <v>1100000</v>
      </c>
      <c r="G500" s="508"/>
      <c r="H500" s="509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507">
        <f t="shared" ref="F501:F503" si="127">ROUND(IF(I501*0.07%&gt;1100000,1100000,I501*0.07%),0)</f>
        <v>1100000</v>
      </c>
      <c r="G501" s="508"/>
      <c r="H501" s="509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507">
        <f t="shared" si="127"/>
        <v>1100000</v>
      </c>
      <c r="G502" s="508"/>
      <c r="H502" s="509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507">
        <f t="shared" si="127"/>
        <v>1100000</v>
      </c>
      <c r="G503" s="508"/>
      <c r="H503" s="509"/>
      <c r="I503" s="63">
        <v>1998400000</v>
      </c>
    </row>
    <row r="504" spans="1:11">
      <c r="A504" s="60"/>
      <c r="B504" s="220"/>
      <c r="C504" s="221"/>
      <c r="D504" s="113"/>
      <c r="E504" s="113"/>
      <c r="F504" s="507"/>
      <c r="G504" s="508"/>
      <c r="H504" s="509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504">
        <f>SUM(F494:H505)</f>
        <v>8784600</v>
      </c>
      <c r="G506" s="505"/>
      <c r="H506" s="506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  <row r="522" spans="1:5" ht="33">
      <c r="A522" s="83" t="s">
        <v>0</v>
      </c>
      <c r="B522" s="83" t="s">
        <v>21</v>
      </c>
      <c r="C522" s="95" t="s">
        <v>7</v>
      </c>
      <c r="D522" s="84" t="s">
        <v>8</v>
      </c>
      <c r="E522" s="49" t="s">
        <v>9</v>
      </c>
    </row>
    <row r="523" spans="1:5">
      <c r="A523" s="60">
        <v>1</v>
      </c>
      <c r="B523" s="51" t="s">
        <v>35</v>
      </c>
      <c r="C523" s="96">
        <v>52780</v>
      </c>
      <c r="D523" s="53">
        <v>300</v>
      </c>
      <c r="E523" s="101">
        <f t="shared" ref="E523:E526" si="128">C523*D523</f>
        <v>15834000</v>
      </c>
    </row>
    <row r="524" spans="1:5">
      <c r="A524" s="60">
        <v>2</v>
      </c>
      <c r="B524" s="61" t="s">
        <v>37</v>
      </c>
      <c r="C524" s="97">
        <v>2</v>
      </c>
      <c r="D524" s="63">
        <v>2000000</v>
      </c>
      <c r="E524" s="102">
        <f t="shared" si="128"/>
        <v>4000000</v>
      </c>
    </row>
    <row r="525" spans="1:5">
      <c r="A525" s="60">
        <v>3</v>
      </c>
      <c r="B525" s="61" t="s">
        <v>38</v>
      </c>
      <c r="C525" s="97">
        <v>2</v>
      </c>
      <c r="D525" s="63">
        <v>2000000</v>
      </c>
      <c r="E525" s="102">
        <f t="shared" si="128"/>
        <v>4000000</v>
      </c>
    </row>
    <row r="526" spans="1:5">
      <c r="A526" s="60">
        <v>4</v>
      </c>
      <c r="B526" s="61" t="s">
        <v>39</v>
      </c>
      <c r="C526" s="97">
        <v>2</v>
      </c>
      <c r="D526" s="63">
        <v>600000</v>
      </c>
      <c r="E526" s="102">
        <f t="shared" si="128"/>
        <v>1200000</v>
      </c>
    </row>
    <row r="527" spans="1:5">
      <c r="A527" s="60">
        <v>5</v>
      </c>
      <c r="B527" s="61" t="s">
        <v>75</v>
      </c>
      <c r="C527" s="97">
        <v>2</v>
      </c>
      <c r="D527" s="63">
        <v>16725000</v>
      </c>
      <c r="E527" s="102">
        <f>C527*D527</f>
        <v>33450000</v>
      </c>
    </row>
    <row r="528" spans="1:5">
      <c r="A528" s="60">
        <v>6</v>
      </c>
      <c r="B528" s="61" t="s">
        <v>41</v>
      </c>
      <c r="C528" s="97">
        <v>2</v>
      </c>
      <c r="D528" s="63">
        <v>9358000</v>
      </c>
      <c r="E528" s="102">
        <f t="shared" ref="E528:E529" si="129">C528*D528</f>
        <v>18716000</v>
      </c>
    </row>
    <row r="529" spans="1:5">
      <c r="A529" s="60">
        <v>7</v>
      </c>
      <c r="B529" s="61" t="s">
        <v>42</v>
      </c>
      <c r="C529" s="97">
        <v>2</v>
      </c>
      <c r="D529" s="63">
        <v>5600000</v>
      </c>
      <c r="E529" s="102">
        <f t="shared" si="129"/>
        <v>11200000</v>
      </c>
    </row>
    <row r="530" spans="1:5">
      <c r="A530" s="60">
        <v>8</v>
      </c>
      <c r="B530" s="61" t="s">
        <v>44</v>
      </c>
      <c r="C530" s="97">
        <v>1</v>
      </c>
      <c r="D530" s="63">
        <v>1350000</v>
      </c>
      <c r="E530" s="102">
        <f>C530*D530</f>
        <v>1350000</v>
      </c>
    </row>
    <row r="531" spans="1:5">
      <c r="A531" s="60">
        <v>9</v>
      </c>
      <c r="B531" s="61" t="s">
        <v>79</v>
      </c>
      <c r="C531" s="97">
        <v>2</v>
      </c>
      <c r="D531" s="63">
        <v>2500000</v>
      </c>
      <c r="E531" s="102">
        <f t="shared" ref="E531" si="130">C531*D531</f>
        <v>5000000</v>
      </c>
    </row>
    <row r="532" spans="1:5">
      <c r="A532" s="60">
        <v>10</v>
      </c>
      <c r="B532" s="61" t="s">
        <v>45</v>
      </c>
      <c r="C532" s="97">
        <v>53</v>
      </c>
      <c r="D532" s="63">
        <v>50000</v>
      </c>
      <c r="E532" s="102">
        <f>C532*D532</f>
        <v>2650000</v>
      </c>
    </row>
    <row r="533" spans="1:5">
      <c r="A533" s="60">
        <v>11</v>
      </c>
      <c r="B533" s="61" t="s">
        <v>46</v>
      </c>
      <c r="C533" s="97"/>
      <c r="D533" s="63"/>
      <c r="E533" s="102">
        <f>N535</f>
        <v>0</v>
      </c>
    </row>
    <row r="534" spans="1:5">
      <c r="A534" s="60"/>
      <c r="B534" s="61"/>
      <c r="C534" s="97"/>
      <c r="D534" s="63"/>
      <c r="E534" s="102"/>
    </row>
    <row r="535" spans="1:5">
      <c r="A535" s="70"/>
      <c r="B535" s="70" t="s">
        <v>48</v>
      </c>
      <c r="C535" s="98"/>
      <c r="D535" s="72"/>
      <c r="E535" s="74">
        <f>SUM(E523:E534)</f>
        <v>97400000</v>
      </c>
    </row>
    <row r="538" spans="1:5">
      <c r="A538" s="5" t="s">
        <v>688</v>
      </c>
    </row>
    <row r="539" spans="1:5" ht="33">
      <c r="A539" s="83" t="s">
        <v>0</v>
      </c>
      <c r="B539" s="83" t="s">
        <v>21</v>
      </c>
      <c r="C539" s="95" t="s">
        <v>7</v>
      </c>
      <c r="D539" s="84" t="s">
        <v>8</v>
      </c>
      <c r="E539" s="49" t="s">
        <v>9</v>
      </c>
    </row>
    <row r="540" spans="1:5">
      <c r="A540" s="60">
        <v>1</v>
      </c>
      <c r="B540" s="51" t="s">
        <v>35</v>
      </c>
      <c r="C540" s="96">
        <v>52780</v>
      </c>
      <c r="D540" s="53">
        <v>300</v>
      </c>
      <c r="E540" s="101">
        <f t="shared" ref="E540:E543" si="131">C540*D540</f>
        <v>15834000</v>
      </c>
    </row>
    <row r="541" spans="1:5">
      <c r="A541" s="60">
        <v>2</v>
      </c>
      <c r="B541" s="61" t="s">
        <v>37</v>
      </c>
      <c r="C541" s="97">
        <v>2</v>
      </c>
      <c r="D541" s="63">
        <v>2000000</v>
      </c>
      <c r="E541" s="102">
        <f t="shared" si="131"/>
        <v>4000000</v>
      </c>
    </row>
    <row r="542" spans="1:5">
      <c r="A542" s="60">
        <v>3</v>
      </c>
      <c r="B542" s="61" t="s">
        <v>38</v>
      </c>
      <c r="C542" s="97">
        <v>2</v>
      </c>
      <c r="D542" s="63">
        <v>2000000</v>
      </c>
      <c r="E542" s="102">
        <f t="shared" si="131"/>
        <v>4000000</v>
      </c>
    </row>
    <row r="543" spans="1:5">
      <c r="A543" s="60">
        <v>4</v>
      </c>
      <c r="B543" s="61" t="s">
        <v>39</v>
      </c>
      <c r="C543" s="97">
        <v>2</v>
      </c>
      <c r="D543" s="63">
        <v>600000</v>
      </c>
      <c r="E543" s="102">
        <f t="shared" si="131"/>
        <v>1200000</v>
      </c>
    </row>
    <row r="544" spans="1:5">
      <c r="A544" s="60">
        <v>5</v>
      </c>
      <c r="B544" s="61" t="s">
        <v>689</v>
      </c>
      <c r="C544" s="97">
        <v>2</v>
      </c>
      <c r="D544" s="63">
        <v>13650000</v>
      </c>
      <c r="E544" s="102">
        <f>C544*D544</f>
        <v>27300000</v>
      </c>
    </row>
    <row r="545" spans="1:5">
      <c r="A545" s="60">
        <v>6</v>
      </c>
      <c r="B545" s="61" t="s">
        <v>41</v>
      </c>
      <c r="C545" s="97">
        <v>2</v>
      </c>
      <c r="D545" s="63">
        <v>5168040</v>
      </c>
      <c r="E545" s="102">
        <f t="shared" ref="E545:E546" si="132">C545*D545</f>
        <v>10336080</v>
      </c>
    </row>
    <row r="546" spans="1:5">
      <c r="A546" s="60">
        <v>7</v>
      </c>
      <c r="B546" s="61" t="s">
        <v>42</v>
      </c>
      <c r="C546" s="97">
        <v>2</v>
      </c>
      <c r="D546" s="63">
        <v>4610000</v>
      </c>
      <c r="E546" s="102">
        <f t="shared" si="132"/>
        <v>9220000</v>
      </c>
    </row>
    <row r="547" spans="1:5">
      <c r="A547" s="60">
        <v>8</v>
      </c>
      <c r="B547" s="61" t="s">
        <v>44</v>
      </c>
      <c r="C547" s="97">
        <v>1</v>
      </c>
      <c r="D547" s="63">
        <v>1056000</v>
      </c>
      <c r="E547" s="102">
        <f>C547*D547</f>
        <v>1056000</v>
      </c>
    </row>
    <row r="548" spans="1:5">
      <c r="A548" s="60">
        <v>9</v>
      </c>
      <c r="B548" s="61" t="s">
        <v>79</v>
      </c>
      <c r="C548" s="97">
        <v>2</v>
      </c>
      <c r="D548" s="63">
        <v>2500000</v>
      </c>
      <c r="E548" s="102">
        <f t="shared" ref="E548" si="133">C548*D548</f>
        <v>5000000</v>
      </c>
    </row>
    <row r="549" spans="1:5">
      <c r="A549" s="60">
        <v>10</v>
      </c>
      <c r="B549" s="61" t="s">
        <v>45</v>
      </c>
      <c r="C549" s="97">
        <v>53</v>
      </c>
      <c r="D549" s="63">
        <v>50000</v>
      </c>
      <c r="E549" s="102">
        <f>C549*D549</f>
        <v>2650000</v>
      </c>
    </row>
    <row r="550" spans="1:5">
      <c r="A550" s="60">
        <v>11</v>
      </c>
      <c r="B550" s="61" t="s">
        <v>46</v>
      </c>
      <c r="C550" s="97"/>
      <c r="D550" s="63"/>
      <c r="E550" s="102">
        <f>N552</f>
        <v>0</v>
      </c>
    </row>
    <row r="551" spans="1:5">
      <c r="A551" s="60"/>
      <c r="B551" s="61"/>
      <c r="C551" s="97"/>
      <c r="D551" s="63"/>
      <c r="E551" s="102"/>
    </row>
    <row r="552" spans="1:5">
      <c r="A552" s="70"/>
      <c r="B552" s="70" t="s">
        <v>48</v>
      </c>
      <c r="C552" s="98"/>
      <c r="D552" s="74">
        <f>SUM(D540:D551)</f>
        <v>31634340</v>
      </c>
      <c r="E552" s="74">
        <f>SUM(E540:E551)</f>
        <v>80596080</v>
      </c>
    </row>
  </sheetData>
  <mergeCells count="184"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</mergeCells>
  <pageMargins left="0.16" right="0.16" top="0.19" bottom="0.25" header="0" footer="0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topLeftCell="A19" workbookViewId="0">
      <selection activeCell="A19" sqref="A19:XFD19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513" t="s">
        <v>20</v>
      </c>
      <c r="B1" s="513"/>
      <c r="C1" s="513"/>
      <c r="D1" s="513"/>
      <c r="E1" s="513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6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530" t="s">
        <v>204</v>
      </c>
      <c r="B2" s="530"/>
      <c r="C2" s="530"/>
      <c r="D2" s="530"/>
      <c r="E2" s="530"/>
      <c r="F2" s="530"/>
      <c r="G2" s="530"/>
      <c r="H2" s="530"/>
      <c r="I2" s="530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531" t="s">
        <v>19</v>
      </c>
      <c r="B15" s="531"/>
      <c r="C15" s="531"/>
      <c r="D15" s="531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530" t="s">
        <v>257</v>
      </c>
      <c r="B22" s="530"/>
      <c r="C22" s="530"/>
      <c r="D22" s="530"/>
      <c r="E22" s="530"/>
      <c r="F22" s="530"/>
      <c r="G22" s="530"/>
      <c r="H22" s="530"/>
      <c r="I22" s="530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531" t="s">
        <v>19</v>
      </c>
      <c r="B36" s="531"/>
      <c r="C36" s="531"/>
      <c r="D36" s="531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530" t="s">
        <v>314</v>
      </c>
      <c r="B45" s="530"/>
      <c r="C45" s="530"/>
      <c r="D45" s="530"/>
      <c r="E45" s="530"/>
      <c r="F45" s="530"/>
      <c r="G45" s="530"/>
      <c r="H45" s="530"/>
      <c r="I45" s="530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531" t="s">
        <v>19</v>
      </c>
      <c r="B58" s="531"/>
      <c r="C58" s="531"/>
      <c r="D58" s="531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530" t="s">
        <v>327</v>
      </c>
      <c r="B67" s="530"/>
      <c r="C67" s="530"/>
      <c r="D67" s="530"/>
      <c r="E67" s="530"/>
      <c r="F67" s="530"/>
      <c r="G67" s="530"/>
      <c r="H67" s="530"/>
      <c r="I67" s="530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531" t="s">
        <v>19</v>
      </c>
      <c r="B85" s="531"/>
      <c r="C85" s="531"/>
      <c r="D85" s="531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111"/>
  <sheetViews>
    <sheetView zoomScale="90" zoomScaleNormal="90" workbookViewId="0">
      <pane xSplit="5" ySplit="3" topLeftCell="J40" activePane="bottomRight" state="frozen"/>
      <selection pane="topRight" activeCell="F1" sqref="F1"/>
      <selection pane="bottomLeft" activeCell="A4" sqref="A4"/>
      <selection pane="bottomRight" activeCell="V52" sqref="V52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bestFit="1" customWidth="1"/>
    <col min="4" max="4" width="13.85546875" style="236" customWidth="1"/>
    <col min="5" max="5" width="12.85546875" style="236" customWidth="1"/>
    <col min="6" max="6" width="9" style="236" customWidth="1"/>
    <col min="7" max="7" width="9.85546875" style="236" customWidth="1"/>
    <col min="8" max="8" width="6.5703125" style="236" customWidth="1"/>
    <col min="9" max="9" width="10.42578125" style="236" customWidth="1"/>
    <col min="10" max="10" width="12.140625" style="236" customWidth="1"/>
    <col min="11" max="11" width="13.140625" style="236" customWidth="1"/>
    <col min="12" max="12" width="8.140625" style="236" customWidth="1"/>
    <col min="13" max="13" width="7.7109375" style="236" customWidth="1"/>
    <col min="14" max="14" width="12" style="236" customWidth="1"/>
    <col min="15" max="15" width="8" style="236" customWidth="1"/>
    <col min="16" max="16" width="15" style="236" customWidth="1"/>
    <col min="17" max="17" width="10.5703125" style="236" customWidth="1"/>
    <col min="18" max="18" width="14.85546875" style="236" customWidth="1"/>
    <col min="19" max="19" width="26.85546875" style="236" customWidth="1"/>
    <col min="20" max="20" width="11.5703125" style="236" customWidth="1"/>
    <col min="21" max="21" width="14.85546875" style="236" customWidth="1"/>
    <col min="22" max="22" width="16" style="236" customWidth="1"/>
    <col min="23" max="16384" width="10.7109375" style="236"/>
  </cols>
  <sheetData>
    <row r="1" spans="1:22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s="237" customFormat="1" ht="19.5" customHeight="1">
      <c r="A2" s="489" t="s">
        <v>0</v>
      </c>
      <c r="B2" s="489" t="s">
        <v>1</v>
      </c>
      <c r="C2" s="488" t="s">
        <v>2</v>
      </c>
      <c r="D2" s="488"/>
      <c r="E2" s="488"/>
      <c r="F2" s="488" t="s">
        <v>464</v>
      </c>
      <c r="G2" s="488"/>
      <c r="H2" s="488"/>
      <c r="I2" s="488"/>
      <c r="J2" s="488"/>
      <c r="K2" s="544" t="s">
        <v>452</v>
      </c>
      <c r="L2" s="488" t="s">
        <v>3</v>
      </c>
      <c r="M2" s="488"/>
      <c r="N2" s="488"/>
      <c r="O2" s="488"/>
      <c r="P2" s="488"/>
      <c r="Q2" s="488"/>
      <c r="R2" s="488"/>
      <c r="S2" s="489" t="s">
        <v>451</v>
      </c>
      <c r="T2" s="489"/>
      <c r="U2" s="489"/>
      <c r="V2" s="544" t="s">
        <v>82</v>
      </c>
    </row>
    <row r="3" spans="1:22" s="143" customFormat="1" ht="42" customHeight="1">
      <c r="A3" s="489"/>
      <c r="B3" s="489" t="s">
        <v>1</v>
      </c>
      <c r="C3" s="295" t="s">
        <v>4</v>
      </c>
      <c r="D3" s="295" t="s">
        <v>5</v>
      </c>
      <c r="E3" s="295" t="s">
        <v>6</v>
      </c>
      <c r="F3" s="295" t="s">
        <v>83</v>
      </c>
      <c r="G3" s="317" t="s">
        <v>7</v>
      </c>
      <c r="H3" s="295" t="s">
        <v>453</v>
      </c>
      <c r="I3" s="295" t="s">
        <v>411</v>
      </c>
      <c r="J3" s="304" t="s">
        <v>454</v>
      </c>
      <c r="K3" s="545"/>
      <c r="L3" s="295" t="s">
        <v>455</v>
      </c>
      <c r="M3" s="295" t="s">
        <v>456</v>
      </c>
      <c r="N3" s="295" t="s">
        <v>457</v>
      </c>
      <c r="O3" s="295" t="s">
        <v>51</v>
      </c>
      <c r="P3" s="295" t="s">
        <v>458</v>
      </c>
      <c r="Q3" s="295" t="s">
        <v>519</v>
      </c>
      <c r="R3" s="295" t="s">
        <v>459</v>
      </c>
      <c r="S3" s="295" t="s">
        <v>460</v>
      </c>
      <c r="T3" s="295" t="s">
        <v>461</v>
      </c>
      <c r="U3" s="295" t="s">
        <v>462</v>
      </c>
      <c r="V3" s="545"/>
    </row>
    <row r="4" spans="1:22" s="150" customFormat="1" ht="18" customHeight="1">
      <c r="A4" s="144">
        <v>1</v>
      </c>
      <c r="B4" s="297">
        <v>42811</v>
      </c>
      <c r="C4" s="144" t="s">
        <v>483</v>
      </c>
      <c r="D4" s="144" t="s">
        <v>484</v>
      </c>
      <c r="E4" s="144">
        <v>4862142</v>
      </c>
      <c r="F4" s="316">
        <v>2026</v>
      </c>
      <c r="G4" s="316">
        <f>F4*13</f>
        <v>26338</v>
      </c>
      <c r="H4" s="292">
        <v>2.65</v>
      </c>
      <c r="I4" s="292">
        <f>G4*H4</f>
        <v>69795.7</v>
      </c>
      <c r="J4" s="541">
        <f>SUM(I4:I9)</f>
        <v>418946.44999999995</v>
      </c>
      <c r="K4" s="543">
        <f>29*51000000+9000000*3</f>
        <v>1506000000</v>
      </c>
      <c r="L4" s="542">
        <v>42828</v>
      </c>
      <c r="M4" s="541">
        <v>12</v>
      </c>
      <c r="N4" s="541">
        <f>J4-M4</f>
        <v>418934.44999999995</v>
      </c>
      <c r="O4" s="543">
        <v>22610</v>
      </c>
      <c r="P4" s="543">
        <f>N4*O4</f>
        <v>9472107914.4999981</v>
      </c>
      <c r="Q4" s="543">
        <v>2506900</v>
      </c>
      <c r="R4" s="543">
        <f>P4-Q4-K4</f>
        <v>7963601014.4999981</v>
      </c>
      <c r="S4" s="253" t="s">
        <v>394</v>
      </c>
      <c r="T4" s="254">
        <v>1100000</v>
      </c>
      <c r="U4" s="255">
        <v>2848697800</v>
      </c>
      <c r="V4" s="144"/>
    </row>
    <row r="5" spans="1:22" s="150" customFormat="1" ht="18" customHeight="1">
      <c r="A5" s="144">
        <v>2</v>
      </c>
      <c r="B5" s="297">
        <v>42811</v>
      </c>
      <c r="C5" s="144" t="s">
        <v>483</v>
      </c>
      <c r="D5" s="243" t="s">
        <v>485</v>
      </c>
      <c r="E5" s="243">
        <v>4862192</v>
      </c>
      <c r="F5" s="316">
        <v>2027</v>
      </c>
      <c r="G5" s="319">
        <f t="shared" ref="G5:G14" si="0">F5*13</f>
        <v>26351</v>
      </c>
      <c r="H5" s="292">
        <v>2.65</v>
      </c>
      <c r="I5" s="314">
        <f t="shared" ref="I5:I8" si="1">G5*H5</f>
        <v>69830.149999999994</v>
      </c>
      <c r="J5" s="494"/>
      <c r="K5" s="486"/>
      <c r="L5" s="491"/>
      <c r="M5" s="494"/>
      <c r="N5" s="494"/>
      <c r="O5" s="486"/>
      <c r="P5" s="486"/>
      <c r="Q5" s="486"/>
      <c r="R5" s="486"/>
      <c r="S5" s="329" t="s">
        <v>401</v>
      </c>
      <c r="T5" s="254">
        <v>1100000</v>
      </c>
      <c r="U5" s="258">
        <v>1444430000</v>
      </c>
      <c r="V5" s="144"/>
    </row>
    <row r="6" spans="1:22" s="150" customFormat="1" ht="18" customHeight="1">
      <c r="A6" s="144">
        <v>3</v>
      </c>
      <c r="B6" s="297">
        <v>42811</v>
      </c>
      <c r="C6" s="144" t="s">
        <v>483</v>
      </c>
      <c r="D6" s="243" t="s">
        <v>486</v>
      </c>
      <c r="E6" s="243">
        <v>4862155</v>
      </c>
      <c r="F6" s="316">
        <v>2027</v>
      </c>
      <c r="G6" s="319">
        <f t="shared" si="0"/>
        <v>26351</v>
      </c>
      <c r="H6" s="292">
        <v>2.65</v>
      </c>
      <c r="I6" s="314">
        <f t="shared" si="1"/>
        <v>69830.149999999994</v>
      </c>
      <c r="J6" s="494"/>
      <c r="K6" s="486"/>
      <c r="L6" s="491"/>
      <c r="M6" s="494"/>
      <c r="N6" s="494"/>
      <c r="O6" s="486"/>
      <c r="P6" s="486"/>
      <c r="Q6" s="486"/>
      <c r="R6" s="486"/>
      <c r="S6" s="329" t="s">
        <v>55</v>
      </c>
      <c r="T6" s="254">
        <v>1100000</v>
      </c>
      <c r="U6" s="258">
        <v>2246630000</v>
      </c>
      <c r="V6" s="144"/>
    </row>
    <row r="7" spans="1:22" s="150" customFormat="1" ht="18" customHeight="1">
      <c r="A7" s="144">
        <v>4</v>
      </c>
      <c r="B7" s="297">
        <v>42811</v>
      </c>
      <c r="C7" s="144" t="s">
        <v>483</v>
      </c>
      <c r="D7" s="243" t="s">
        <v>487</v>
      </c>
      <c r="E7" s="243">
        <v>4862148</v>
      </c>
      <c r="F7" s="316">
        <v>2027</v>
      </c>
      <c r="G7" s="319">
        <f t="shared" si="0"/>
        <v>26351</v>
      </c>
      <c r="H7" s="292">
        <v>2.65</v>
      </c>
      <c r="I7" s="314">
        <f t="shared" si="1"/>
        <v>69830.149999999994</v>
      </c>
      <c r="J7" s="494"/>
      <c r="K7" s="486"/>
      <c r="L7" s="491"/>
      <c r="M7" s="494"/>
      <c r="N7" s="494"/>
      <c r="O7" s="486"/>
      <c r="P7" s="486"/>
      <c r="Q7" s="486"/>
      <c r="R7" s="486"/>
      <c r="S7" s="256" t="s">
        <v>152</v>
      </c>
      <c r="T7" s="254">
        <v>1100000</v>
      </c>
      <c r="U7" s="255">
        <v>1419444000</v>
      </c>
      <c r="V7" s="144"/>
    </row>
    <row r="8" spans="1:22" s="150" customFormat="1" ht="18" customHeight="1">
      <c r="A8" s="144">
        <v>5</v>
      </c>
      <c r="B8" s="297">
        <v>42811</v>
      </c>
      <c r="C8" s="144" t="s">
        <v>483</v>
      </c>
      <c r="D8" s="243" t="s">
        <v>488</v>
      </c>
      <c r="E8" s="243">
        <v>4862151</v>
      </c>
      <c r="F8" s="316">
        <v>2027</v>
      </c>
      <c r="G8" s="319">
        <f t="shared" si="0"/>
        <v>26351</v>
      </c>
      <c r="H8" s="292">
        <v>2.65</v>
      </c>
      <c r="I8" s="314">
        <f t="shared" si="1"/>
        <v>69830.149999999994</v>
      </c>
      <c r="J8" s="494"/>
      <c r="K8" s="486"/>
      <c r="L8" s="491"/>
      <c r="M8" s="494"/>
      <c r="N8" s="494"/>
      <c r="O8" s="486"/>
      <c r="P8" s="486"/>
      <c r="Q8" s="486"/>
      <c r="R8" s="486"/>
      <c r="S8" s="253"/>
      <c r="T8" s="254"/>
      <c r="U8" s="255"/>
      <c r="V8" s="144"/>
    </row>
    <row r="9" spans="1:22" s="150" customFormat="1" ht="18" customHeight="1">
      <c r="A9" s="144">
        <v>6</v>
      </c>
      <c r="B9" s="297">
        <v>42811</v>
      </c>
      <c r="C9" s="144" t="s">
        <v>483</v>
      </c>
      <c r="D9" s="243" t="s">
        <v>489</v>
      </c>
      <c r="E9" s="243">
        <v>4862149</v>
      </c>
      <c r="F9" s="316">
        <v>2027</v>
      </c>
      <c r="G9" s="319">
        <f t="shared" si="0"/>
        <v>26351</v>
      </c>
      <c r="H9" s="292">
        <v>2.65</v>
      </c>
      <c r="I9" s="314">
        <f>G9*H9</f>
        <v>69830.149999999994</v>
      </c>
      <c r="J9" s="495"/>
      <c r="K9" s="486"/>
      <c r="L9" s="492"/>
      <c r="M9" s="495"/>
      <c r="N9" s="495"/>
      <c r="O9" s="487"/>
      <c r="P9" s="487"/>
      <c r="Q9" s="487"/>
      <c r="R9" s="487"/>
      <c r="S9" s="253"/>
      <c r="T9" s="254"/>
      <c r="U9" s="255"/>
      <c r="V9" s="343">
        <f>R4-SUM(T4:U9)</f>
        <v>-785.50000190734863</v>
      </c>
    </row>
    <row r="10" spans="1:22" s="150" customFormat="1" ht="18" customHeight="1">
      <c r="A10" s="144">
        <v>7</v>
      </c>
      <c r="B10" s="300">
        <v>42817</v>
      </c>
      <c r="C10" s="243" t="s">
        <v>490</v>
      </c>
      <c r="D10" s="243" t="s">
        <v>491</v>
      </c>
      <c r="E10" s="243">
        <v>4869106</v>
      </c>
      <c r="F10" s="319">
        <v>2022</v>
      </c>
      <c r="G10" s="319">
        <f t="shared" si="0"/>
        <v>26286</v>
      </c>
      <c r="H10" s="320">
        <v>2.65</v>
      </c>
      <c r="I10" s="320">
        <f t="shared" ref="I10:I67" si="2">G10*H10</f>
        <v>69657.899999999994</v>
      </c>
      <c r="J10" s="493">
        <f>SUM(I10:I14)</f>
        <v>348255.05</v>
      </c>
      <c r="K10" s="486"/>
      <c r="L10" s="501">
        <v>42842</v>
      </c>
      <c r="M10" s="497">
        <v>117</v>
      </c>
      <c r="N10" s="497">
        <f>J10-M10</f>
        <v>348138.05</v>
      </c>
      <c r="O10" s="496">
        <v>22630</v>
      </c>
      <c r="P10" s="496">
        <f>N10*O10</f>
        <v>7878364071.5</v>
      </c>
      <c r="Q10" s="496"/>
      <c r="R10" s="496">
        <f>P10-Q10</f>
        <v>7878364071.5</v>
      </c>
      <c r="S10" s="253" t="s">
        <v>55</v>
      </c>
      <c r="T10" s="254">
        <v>1100000</v>
      </c>
      <c r="U10" s="255">
        <v>2306462000</v>
      </c>
      <c r="V10" s="144"/>
    </row>
    <row r="11" spans="1:22" s="150" customFormat="1" ht="18" customHeight="1">
      <c r="A11" s="144">
        <v>8</v>
      </c>
      <c r="B11" s="321">
        <v>42817</v>
      </c>
      <c r="C11" s="243" t="s">
        <v>490</v>
      </c>
      <c r="D11" s="243" t="s">
        <v>492</v>
      </c>
      <c r="E11" s="243">
        <v>4869155</v>
      </c>
      <c r="F11" s="319">
        <v>2022</v>
      </c>
      <c r="G11" s="319">
        <f t="shared" si="0"/>
        <v>26286</v>
      </c>
      <c r="H11" s="320">
        <v>2.65</v>
      </c>
      <c r="I11" s="320">
        <f t="shared" si="2"/>
        <v>69657.899999999994</v>
      </c>
      <c r="J11" s="494"/>
      <c r="K11" s="486"/>
      <c r="L11" s="501"/>
      <c r="M11" s="497"/>
      <c r="N11" s="497"/>
      <c r="O11" s="496"/>
      <c r="P11" s="496"/>
      <c r="Q11" s="496"/>
      <c r="R11" s="496"/>
      <c r="S11" s="256" t="s">
        <v>152</v>
      </c>
      <c r="T11" s="254">
        <v>1100000</v>
      </c>
      <c r="U11" s="255">
        <v>1419444000</v>
      </c>
      <c r="V11" s="145"/>
    </row>
    <row r="12" spans="1:22" s="150" customFormat="1" ht="18" customHeight="1">
      <c r="A12" s="144">
        <v>9</v>
      </c>
      <c r="B12" s="321">
        <v>42817</v>
      </c>
      <c r="C12" s="243" t="s">
        <v>490</v>
      </c>
      <c r="D12" s="243" t="s">
        <v>493</v>
      </c>
      <c r="E12" s="243">
        <v>4869156</v>
      </c>
      <c r="F12" s="319">
        <v>2022</v>
      </c>
      <c r="G12" s="319">
        <f t="shared" si="0"/>
        <v>26286</v>
      </c>
      <c r="H12" s="320">
        <v>2.65</v>
      </c>
      <c r="I12" s="320">
        <f t="shared" si="2"/>
        <v>69657.899999999994</v>
      </c>
      <c r="J12" s="494"/>
      <c r="K12" s="486"/>
      <c r="L12" s="501"/>
      <c r="M12" s="497"/>
      <c r="N12" s="497"/>
      <c r="O12" s="496"/>
      <c r="P12" s="496"/>
      <c r="Q12" s="496"/>
      <c r="R12" s="496"/>
      <c r="S12" s="253" t="s">
        <v>131</v>
      </c>
      <c r="T12" s="254">
        <v>1100000</v>
      </c>
      <c r="U12" s="255">
        <v>1143740000</v>
      </c>
      <c r="V12" s="144"/>
    </row>
    <row r="13" spans="1:22" s="150" customFormat="1" ht="18" customHeight="1">
      <c r="A13" s="144">
        <v>10</v>
      </c>
      <c r="B13" s="321">
        <v>42817</v>
      </c>
      <c r="C13" s="243" t="s">
        <v>490</v>
      </c>
      <c r="D13" s="243" t="s">
        <v>494</v>
      </c>
      <c r="E13" s="243">
        <v>4869102</v>
      </c>
      <c r="F13" s="319">
        <v>2022</v>
      </c>
      <c r="G13" s="319">
        <f t="shared" si="0"/>
        <v>26286</v>
      </c>
      <c r="H13" s="320">
        <v>2.65</v>
      </c>
      <c r="I13" s="320">
        <f t="shared" si="2"/>
        <v>69657.899999999994</v>
      </c>
      <c r="J13" s="494"/>
      <c r="K13" s="486"/>
      <c r="L13" s="501"/>
      <c r="M13" s="497"/>
      <c r="N13" s="497"/>
      <c r="O13" s="496"/>
      <c r="P13" s="496"/>
      <c r="Q13" s="496"/>
      <c r="R13" s="496"/>
      <c r="S13" s="256" t="s">
        <v>557</v>
      </c>
      <c r="T13" s="254">
        <v>1100000</v>
      </c>
      <c r="U13" s="255">
        <v>1653600000</v>
      </c>
      <c r="V13" s="144"/>
    </row>
    <row r="14" spans="1:22" s="150" customFormat="1" ht="18" customHeight="1">
      <c r="A14" s="144">
        <v>11</v>
      </c>
      <c r="B14" s="321">
        <v>42817</v>
      </c>
      <c r="C14" s="243" t="s">
        <v>490</v>
      </c>
      <c r="D14" s="150" t="s">
        <v>495</v>
      </c>
      <c r="E14" s="243">
        <v>4869104</v>
      </c>
      <c r="F14" s="319">
        <v>2021</v>
      </c>
      <c r="G14" s="319">
        <f t="shared" si="0"/>
        <v>26273</v>
      </c>
      <c r="H14" s="320">
        <v>2.65</v>
      </c>
      <c r="I14" s="320">
        <f t="shared" si="2"/>
        <v>69623.45</v>
      </c>
      <c r="J14" s="495"/>
      <c r="K14" s="486"/>
      <c r="L14" s="501"/>
      <c r="M14" s="497"/>
      <c r="N14" s="497"/>
      <c r="O14" s="496"/>
      <c r="P14" s="496"/>
      <c r="Q14" s="496"/>
      <c r="R14" s="496"/>
      <c r="S14" s="253" t="s">
        <v>394</v>
      </c>
      <c r="T14" s="254">
        <v>1100000</v>
      </c>
      <c r="U14" s="255">
        <v>1349618000</v>
      </c>
      <c r="V14" s="343">
        <f>R10-SUM(T10:U14)</f>
        <v>71.5</v>
      </c>
    </row>
    <row r="15" spans="1:22" s="150" customFormat="1" ht="18" customHeight="1">
      <c r="A15" s="144">
        <v>12</v>
      </c>
      <c r="B15" s="300">
        <v>42821</v>
      </c>
      <c r="C15" s="243" t="s">
        <v>496</v>
      </c>
      <c r="D15" s="243" t="s">
        <v>497</v>
      </c>
      <c r="E15" s="243" t="s">
        <v>503</v>
      </c>
      <c r="F15" s="294">
        <v>2030</v>
      </c>
      <c r="G15" s="316">
        <f t="shared" ref="G15:G90" si="3">F15*13</f>
        <v>26390</v>
      </c>
      <c r="H15" s="292">
        <v>2.84</v>
      </c>
      <c r="I15" s="320">
        <f t="shared" si="2"/>
        <v>74947.599999999991</v>
      </c>
      <c r="J15" s="493">
        <f>SUM(I15:I20)</f>
        <v>449685.59999999992</v>
      </c>
      <c r="K15" s="486"/>
      <c r="L15" s="501">
        <v>42850</v>
      </c>
      <c r="M15" s="497">
        <v>12</v>
      </c>
      <c r="N15" s="497">
        <f>J15-M15</f>
        <v>449673.59999999992</v>
      </c>
      <c r="O15" s="496">
        <v>22630</v>
      </c>
      <c r="P15" s="496">
        <f>N15*O15</f>
        <v>10176113567.999998</v>
      </c>
      <c r="Q15" s="496">
        <v>2506900</v>
      </c>
      <c r="R15" s="496">
        <f>P15-Q15-K15</f>
        <v>10173606667.999998</v>
      </c>
      <c r="S15" s="253" t="s">
        <v>152</v>
      </c>
      <c r="T15" s="254">
        <v>1100000</v>
      </c>
      <c r="U15" s="255">
        <v>2186691000</v>
      </c>
      <c r="V15" s="144"/>
    </row>
    <row r="16" spans="1:22" s="150" customFormat="1" ht="18" customHeight="1">
      <c r="A16" s="144">
        <v>13</v>
      </c>
      <c r="B16" s="322">
        <v>42821</v>
      </c>
      <c r="C16" s="243" t="s">
        <v>496</v>
      </c>
      <c r="D16" s="245" t="s">
        <v>498</v>
      </c>
      <c r="E16" s="243" t="s">
        <v>504</v>
      </c>
      <c r="F16" s="323">
        <v>2030</v>
      </c>
      <c r="G16" s="316">
        <f t="shared" si="3"/>
        <v>26390</v>
      </c>
      <c r="H16" s="324">
        <v>2.84</v>
      </c>
      <c r="I16" s="320">
        <f t="shared" si="2"/>
        <v>74947.599999999991</v>
      </c>
      <c r="J16" s="494"/>
      <c r="K16" s="486"/>
      <c r="L16" s="501"/>
      <c r="M16" s="497"/>
      <c r="N16" s="497"/>
      <c r="O16" s="496"/>
      <c r="P16" s="496"/>
      <c r="Q16" s="496"/>
      <c r="R16" s="496"/>
      <c r="S16" s="253" t="s">
        <v>397</v>
      </c>
      <c r="T16" s="254">
        <v>1100000</v>
      </c>
      <c r="U16" s="255">
        <v>2797340000</v>
      </c>
      <c r="V16" s="144"/>
    </row>
    <row r="17" spans="1:22" s="150" customFormat="1" ht="18" customHeight="1">
      <c r="A17" s="144">
        <v>14</v>
      </c>
      <c r="B17" s="322">
        <v>42821</v>
      </c>
      <c r="C17" s="243" t="s">
        <v>496</v>
      </c>
      <c r="D17" s="243" t="s">
        <v>499</v>
      </c>
      <c r="E17" s="243" t="s">
        <v>505</v>
      </c>
      <c r="F17" s="323">
        <v>2030</v>
      </c>
      <c r="G17" s="316">
        <f t="shared" si="3"/>
        <v>26390</v>
      </c>
      <c r="H17" s="324">
        <v>2.84</v>
      </c>
      <c r="I17" s="320">
        <f t="shared" si="2"/>
        <v>74947.599999999991</v>
      </c>
      <c r="J17" s="494"/>
      <c r="K17" s="486"/>
      <c r="L17" s="501"/>
      <c r="M17" s="497"/>
      <c r="N17" s="497"/>
      <c r="O17" s="496"/>
      <c r="P17" s="496"/>
      <c r="Q17" s="496"/>
      <c r="R17" s="496"/>
      <c r="S17" s="253" t="s">
        <v>394</v>
      </c>
      <c r="T17" s="254">
        <v>1100000</v>
      </c>
      <c r="U17" s="255">
        <v>5186275000</v>
      </c>
      <c r="V17" s="144"/>
    </row>
    <row r="18" spans="1:22" s="150" customFormat="1" ht="18" customHeight="1">
      <c r="A18" s="144">
        <v>15</v>
      </c>
      <c r="B18" s="322">
        <v>42821</v>
      </c>
      <c r="C18" s="243" t="s">
        <v>496</v>
      </c>
      <c r="D18" s="243" t="s">
        <v>500</v>
      </c>
      <c r="E18" s="243" t="s">
        <v>506</v>
      </c>
      <c r="F18" s="323">
        <v>2030</v>
      </c>
      <c r="G18" s="316">
        <f t="shared" si="3"/>
        <v>26390</v>
      </c>
      <c r="H18" s="324">
        <v>2.84</v>
      </c>
      <c r="I18" s="320">
        <f t="shared" si="2"/>
        <v>74947.599999999991</v>
      </c>
      <c r="J18" s="494"/>
      <c r="K18" s="486"/>
      <c r="L18" s="501"/>
      <c r="M18" s="497"/>
      <c r="N18" s="497"/>
      <c r="O18" s="496"/>
      <c r="P18" s="496"/>
      <c r="Q18" s="496"/>
      <c r="R18" s="496"/>
      <c r="S18" s="256"/>
      <c r="T18" s="254"/>
      <c r="U18" s="255"/>
      <c r="V18" s="144"/>
    </row>
    <row r="19" spans="1:22" s="150" customFormat="1" ht="18" customHeight="1">
      <c r="A19" s="144">
        <v>16</v>
      </c>
      <c r="B19" s="322">
        <v>42821</v>
      </c>
      <c r="C19" s="243" t="s">
        <v>496</v>
      </c>
      <c r="D19" s="243" t="s">
        <v>501</v>
      </c>
      <c r="E19" s="243" t="s">
        <v>507</v>
      </c>
      <c r="F19" s="323">
        <v>2030</v>
      </c>
      <c r="G19" s="316">
        <f t="shared" si="3"/>
        <v>26390</v>
      </c>
      <c r="H19" s="324">
        <v>2.84</v>
      </c>
      <c r="I19" s="320">
        <f t="shared" si="2"/>
        <v>74947.599999999991</v>
      </c>
      <c r="J19" s="494"/>
      <c r="K19" s="486"/>
      <c r="L19" s="501"/>
      <c r="M19" s="497"/>
      <c r="N19" s="497"/>
      <c r="O19" s="496"/>
      <c r="P19" s="496"/>
      <c r="Q19" s="496"/>
      <c r="R19" s="496"/>
      <c r="S19" s="256"/>
      <c r="T19" s="254"/>
      <c r="U19" s="255"/>
      <c r="V19" s="144"/>
    </row>
    <row r="20" spans="1:22" s="150" customFormat="1" ht="18" customHeight="1">
      <c r="A20" s="144">
        <v>17</v>
      </c>
      <c r="B20" s="322">
        <v>42821</v>
      </c>
      <c r="C20" s="243" t="s">
        <v>496</v>
      </c>
      <c r="D20" s="243" t="s">
        <v>502</v>
      </c>
      <c r="E20" s="243" t="s">
        <v>508</v>
      </c>
      <c r="F20" s="323">
        <v>2030</v>
      </c>
      <c r="G20" s="316">
        <f t="shared" si="3"/>
        <v>26390</v>
      </c>
      <c r="H20" s="324">
        <v>2.84</v>
      </c>
      <c r="I20" s="320">
        <f t="shared" si="2"/>
        <v>74947.599999999991</v>
      </c>
      <c r="J20" s="495"/>
      <c r="K20" s="486"/>
      <c r="L20" s="501"/>
      <c r="M20" s="497"/>
      <c r="N20" s="497"/>
      <c r="O20" s="496"/>
      <c r="P20" s="496"/>
      <c r="Q20" s="496"/>
      <c r="R20" s="496"/>
      <c r="S20" s="253"/>
      <c r="T20" s="254"/>
      <c r="U20" s="255"/>
      <c r="V20" s="343">
        <f>R15-SUM(T15:U20)</f>
        <v>667.99999809265137</v>
      </c>
    </row>
    <row r="21" spans="1:22" s="150" customFormat="1" ht="18" customHeight="1">
      <c r="A21" s="144">
        <v>18</v>
      </c>
      <c r="B21" s="300">
        <v>42827</v>
      </c>
      <c r="C21" s="243" t="s">
        <v>520</v>
      </c>
      <c r="D21" s="243" t="s">
        <v>521</v>
      </c>
      <c r="E21" s="243" t="s">
        <v>522</v>
      </c>
      <c r="F21" s="323">
        <v>2030</v>
      </c>
      <c r="G21" s="316">
        <f t="shared" si="3"/>
        <v>26390</v>
      </c>
      <c r="H21" s="292">
        <v>2.81</v>
      </c>
      <c r="I21" s="320">
        <f t="shared" si="2"/>
        <v>74155.899999999994</v>
      </c>
      <c r="J21" s="493">
        <f>SUM(I21:I26)</f>
        <v>444935.4</v>
      </c>
      <c r="K21" s="486"/>
      <c r="L21" s="490">
        <v>42868</v>
      </c>
      <c r="M21" s="493">
        <v>12</v>
      </c>
      <c r="N21" s="497">
        <f>J21-M21</f>
        <v>444923.4</v>
      </c>
      <c r="O21" s="496">
        <v>22600</v>
      </c>
      <c r="P21" s="496">
        <f>N21*O21</f>
        <v>10055268840</v>
      </c>
      <c r="Q21" s="496">
        <v>2504700</v>
      </c>
      <c r="R21" s="496">
        <f>P21-Q21-K21</f>
        <v>10052764140</v>
      </c>
      <c r="S21" s="256" t="s">
        <v>394</v>
      </c>
      <c r="T21" s="254">
        <v>2200000</v>
      </c>
      <c r="U21" s="255">
        <v>3162276000</v>
      </c>
      <c r="V21" s="144"/>
    </row>
    <row r="22" spans="1:22" s="150" customFormat="1" ht="18" customHeight="1">
      <c r="A22" s="144">
        <v>19</v>
      </c>
      <c r="B22" s="325">
        <v>42827</v>
      </c>
      <c r="C22" s="243" t="s">
        <v>520</v>
      </c>
      <c r="D22" s="243" t="s">
        <v>523</v>
      </c>
      <c r="E22" s="243" t="s">
        <v>524</v>
      </c>
      <c r="F22" s="323">
        <v>2030</v>
      </c>
      <c r="G22" s="316">
        <f t="shared" si="3"/>
        <v>26390</v>
      </c>
      <c r="H22" s="324">
        <v>2.81</v>
      </c>
      <c r="I22" s="320">
        <f t="shared" si="2"/>
        <v>74155.899999999994</v>
      </c>
      <c r="J22" s="494"/>
      <c r="K22" s="486"/>
      <c r="L22" s="491"/>
      <c r="M22" s="494"/>
      <c r="N22" s="497"/>
      <c r="O22" s="496"/>
      <c r="P22" s="496"/>
      <c r="Q22" s="496"/>
      <c r="R22" s="496"/>
      <c r="S22" s="329" t="s">
        <v>401</v>
      </c>
      <c r="T22" s="254">
        <v>1207606.3999999999</v>
      </c>
      <c r="U22" s="255">
        <v>1372280000</v>
      </c>
      <c r="V22" s="144"/>
    </row>
    <row r="23" spans="1:22" s="150" customFormat="1" ht="18" customHeight="1">
      <c r="A23" s="144">
        <v>20</v>
      </c>
      <c r="B23" s="325">
        <v>42827</v>
      </c>
      <c r="C23" s="243" t="s">
        <v>520</v>
      </c>
      <c r="D23" s="243" t="s">
        <v>525</v>
      </c>
      <c r="E23" s="243" t="s">
        <v>526</v>
      </c>
      <c r="F23" s="323">
        <v>2030</v>
      </c>
      <c r="G23" s="316">
        <f t="shared" si="3"/>
        <v>26390</v>
      </c>
      <c r="H23" s="324">
        <v>2.81</v>
      </c>
      <c r="I23" s="320">
        <f t="shared" si="2"/>
        <v>74155.899999999994</v>
      </c>
      <c r="J23" s="494"/>
      <c r="K23" s="486"/>
      <c r="L23" s="491"/>
      <c r="M23" s="494"/>
      <c r="N23" s="497"/>
      <c r="O23" s="496"/>
      <c r="P23" s="496"/>
      <c r="Q23" s="496"/>
      <c r="R23" s="496"/>
      <c r="S23" s="253" t="s">
        <v>400</v>
      </c>
      <c r="T23" s="254">
        <v>1733331.5999999999</v>
      </c>
      <c r="U23" s="255">
        <v>1969695000</v>
      </c>
      <c r="V23" s="144"/>
    </row>
    <row r="24" spans="1:22" s="150" customFormat="1" ht="18" customHeight="1">
      <c r="A24" s="144">
        <v>21</v>
      </c>
      <c r="B24" s="325">
        <v>42827</v>
      </c>
      <c r="C24" s="243" t="s">
        <v>520</v>
      </c>
      <c r="D24" s="243" t="s">
        <v>527</v>
      </c>
      <c r="E24" s="243" t="s">
        <v>528</v>
      </c>
      <c r="F24" s="323">
        <v>2030</v>
      </c>
      <c r="G24" s="316">
        <f t="shared" si="3"/>
        <v>26390</v>
      </c>
      <c r="H24" s="324">
        <v>2.81</v>
      </c>
      <c r="I24" s="320">
        <f t="shared" si="2"/>
        <v>74155.899999999994</v>
      </c>
      <c r="J24" s="494"/>
      <c r="K24" s="486"/>
      <c r="L24" s="491"/>
      <c r="M24" s="494"/>
      <c r="N24" s="497"/>
      <c r="O24" s="496"/>
      <c r="P24" s="496"/>
      <c r="Q24" s="496"/>
      <c r="R24" s="496"/>
      <c r="S24" s="253" t="s">
        <v>131</v>
      </c>
      <c r="T24" s="254">
        <v>646731.79999999993</v>
      </c>
      <c r="U24" s="255">
        <v>734922500</v>
      </c>
      <c r="V24" s="144"/>
    </row>
    <row r="25" spans="1:22" s="150" customFormat="1" ht="18" customHeight="1">
      <c r="A25" s="144">
        <v>22</v>
      </c>
      <c r="B25" s="325">
        <v>42827</v>
      </c>
      <c r="C25" s="243" t="s">
        <v>520</v>
      </c>
      <c r="D25" s="243" t="s">
        <v>529</v>
      </c>
      <c r="E25" s="243" t="s">
        <v>530</v>
      </c>
      <c r="F25" s="323">
        <v>2030</v>
      </c>
      <c r="G25" s="316">
        <f t="shared" si="3"/>
        <v>26390</v>
      </c>
      <c r="H25" s="324">
        <v>2.81</v>
      </c>
      <c r="I25" s="320">
        <f t="shared" si="2"/>
        <v>74155.899999999994</v>
      </c>
      <c r="J25" s="494"/>
      <c r="K25" s="486"/>
      <c r="L25" s="491"/>
      <c r="M25" s="494"/>
      <c r="N25" s="497"/>
      <c r="O25" s="496"/>
      <c r="P25" s="496"/>
      <c r="Q25" s="496"/>
      <c r="R25" s="496"/>
      <c r="S25" s="253" t="s">
        <v>395</v>
      </c>
      <c r="T25" s="254">
        <v>858857.99999999988</v>
      </c>
      <c r="U25" s="255">
        <v>975975000</v>
      </c>
      <c r="V25" s="144"/>
    </row>
    <row r="26" spans="1:22" s="150" customFormat="1" ht="18" customHeight="1">
      <c r="A26" s="144">
        <v>23</v>
      </c>
      <c r="B26" s="325">
        <v>42827</v>
      </c>
      <c r="C26" s="243" t="s">
        <v>520</v>
      </c>
      <c r="D26" s="243" t="s">
        <v>531</v>
      </c>
      <c r="E26" s="243" t="s">
        <v>532</v>
      </c>
      <c r="F26" s="323">
        <v>2030</v>
      </c>
      <c r="G26" s="316">
        <f t="shared" si="3"/>
        <v>26390</v>
      </c>
      <c r="H26" s="324">
        <v>2.81</v>
      </c>
      <c r="I26" s="320">
        <f t="shared" si="2"/>
        <v>74155.899999999994</v>
      </c>
      <c r="J26" s="495"/>
      <c r="K26" s="486"/>
      <c r="L26" s="492"/>
      <c r="M26" s="495"/>
      <c r="N26" s="497"/>
      <c r="O26" s="496"/>
      <c r="P26" s="496"/>
      <c r="Q26" s="496"/>
      <c r="R26" s="496"/>
      <c r="S26" s="253" t="s">
        <v>56</v>
      </c>
      <c r="T26" s="254">
        <v>1060461.5999999999</v>
      </c>
      <c r="U26" s="255">
        <v>1205070000</v>
      </c>
      <c r="V26" s="343">
        <f>R21-SUM(T21:U26)-K45</f>
        <v>-1784009.4000015259</v>
      </c>
    </row>
    <row r="27" spans="1:22" s="461" customFormat="1" ht="18" customHeight="1">
      <c r="A27" s="456">
        <v>24</v>
      </c>
      <c r="B27" s="457">
        <v>42832</v>
      </c>
      <c r="C27" s="458" t="s">
        <v>533</v>
      </c>
      <c r="D27" s="458" t="s">
        <v>534</v>
      </c>
      <c r="E27" s="458">
        <v>5369734</v>
      </c>
      <c r="F27" s="459">
        <v>2030</v>
      </c>
      <c r="G27" s="459">
        <f t="shared" si="3"/>
        <v>26390</v>
      </c>
      <c r="H27" s="460">
        <v>2.81</v>
      </c>
      <c r="I27" s="460">
        <f t="shared" si="2"/>
        <v>74155.899999999994</v>
      </c>
      <c r="J27" s="546">
        <f>SUM(I27:I32)</f>
        <v>444935.4</v>
      </c>
      <c r="K27" s="486"/>
      <c r="L27" s="555">
        <v>42907</v>
      </c>
      <c r="M27" s="546">
        <f>12+110</f>
        <v>122</v>
      </c>
      <c r="N27" s="546">
        <f>J27-M27</f>
        <v>444813.4</v>
      </c>
      <c r="O27" s="552">
        <v>22660</v>
      </c>
      <c r="P27" s="552">
        <f>N27*O27</f>
        <v>10079471644</v>
      </c>
      <c r="Q27" s="552"/>
      <c r="R27" s="552">
        <f>P27-Q27</f>
        <v>10079471644</v>
      </c>
      <c r="S27" s="253" t="s">
        <v>391</v>
      </c>
      <c r="T27" s="255">
        <v>11238240</v>
      </c>
      <c r="U27" s="255"/>
      <c r="V27" s="456"/>
    </row>
    <row r="28" spans="1:22" s="461" customFormat="1" ht="18" customHeight="1">
      <c r="A28" s="456">
        <v>25</v>
      </c>
      <c r="B28" s="457">
        <v>42832</v>
      </c>
      <c r="C28" s="458" t="s">
        <v>533</v>
      </c>
      <c r="D28" s="458" t="s">
        <v>535</v>
      </c>
      <c r="E28" s="458">
        <v>5369739</v>
      </c>
      <c r="F28" s="459">
        <v>2030</v>
      </c>
      <c r="G28" s="459">
        <f t="shared" si="3"/>
        <v>26390</v>
      </c>
      <c r="H28" s="460">
        <v>2.81</v>
      </c>
      <c r="I28" s="460">
        <f t="shared" si="2"/>
        <v>74155.899999999994</v>
      </c>
      <c r="J28" s="547"/>
      <c r="K28" s="486"/>
      <c r="L28" s="556"/>
      <c r="M28" s="547"/>
      <c r="N28" s="547"/>
      <c r="O28" s="553"/>
      <c r="P28" s="553"/>
      <c r="Q28" s="553"/>
      <c r="R28" s="553"/>
      <c r="S28" s="256" t="s">
        <v>754</v>
      </c>
      <c r="T28" s="254">
        <v>27192000</v>
      </c>
      <c r="U28" s="255"/>
      <c r="V28" s="456"/>
    </row>
    <row r="29" spans="1:22" s="461" customFormat="1" ht="18" customHeight="1">
      <c r="A29" s="456">
        <v>26</v>
      </c>
      <c r="B29" s="457">
        <v>42832</v>
      </c>
      <c r="C29" s="458" t="s">
        <v>533</v>
      </c>
      <c r="D29" s="458" t="s">
        <v>536</v>
      </c>
      <c r="E29" s="458">
        <v>5369881</v>
      </c>
      <c r="F29" s="459">
        <v>2030</v>
      </c>
      <c r="G29" s="459">
        <f t="shared" si="3"/>
        <v>26390</v>
      </c>
      <c r="H29" s="460">
        <v>2.81</v>
      </c>
      <c r="I29" s="460">
        <f t="shared" si="2"/>
        <v>74155.899999999994</v>
      </c>
      <c r="J29" s="547"/>
      <c r="K29" s="486"/>
      <c r="L29" s="556"/>
      <c r="M29" s="547"/>
      <c r="N29" s="547"/>
      <c r="O29" s="553"/>
      <c r="P29" s="553"/>
      <c r="Q29" s="553"/>
      <c r="R29" s="553"/>
      <c r="S29" s="253" t="s">
        <v>755</v>
      </c>
      <c r="T29" s="254">
        <v>1100000</v>
      </c>
      <c r="U29" s="255">
        <v>2000000000</v>
      </c>
      <c r="V29" s="456"/>
    </row>
    <row r="30" spans="1:22" s="461" customFormat="1" ht="18" customHeight="1">
      <c r="A30" s="456">
        <v>27</v>
      </c>
      <c r="B30" s="457">
        <v>42832</v>
      </c>
      <c r="C30" s="458" t="s">
        <v>533</v>
      </c>
      <c r="D30" s="458" t="s">
        <v>537</v>
      </c>
      <c r="E30" s="458">
        <v>5369889</v>
      </c>
      <c r="F30" s="459">
        <v>2030</v>
      </c>
      <c r="G30" s="459">
        <f t="shared" si="3"/>
        <v>26390</v>
      </c>
      <c r="H30" s="460">
        <v>2.81</v>
      </c>
      <c r="I30" s="460">
        <f t="shared" si="2"/>
        <v>74155.899999999994</v>
      </c>
      <c r="J30" s="547"/>
      <c r="K30" s="486"/>
      <c r="L30" s="556"/>
      <c r="M30" s="547"/>
      <c r="N30" s="547"/>
      <c r="O30" s="553"/>
      <c r="P30" s="553"/>
      <c r="Q30" s="553"/>
      <c r="R30" s="553"/>
      <c r="S30" s="253" t="s">
        <v>740</v>
      </c>
      <c r="T30" s="254">
        <v>660000</v>
      </c>
      <c r="U30" s="255">
        <v>2000000000</v>
      </c>
      <c r="V30" s="456"/>
    </row>
    <row r="31" spans="1:22" s="461" customFormat="1" ht="18" customHeight="1">
      <c r="A31" s="456">
        <v>28</v>
      </c>
      <c r="B31" s="457">
        <v>42832</v>
      </c>
      <c r="C31" s="458" t="s">
        <v>533</v>
      </c>
      <c r="D31" s="458" t="s">
        <v>538</v>
      </c>
      <c r="E31" s="458">
        <v>4843224</v>
      </c>
      <c r="F31" s="459">
        <v>2030</v>
      </c>
      <c r="G31" s="459">
        <f t="shared" si="3"/>
        <v>26390</v>
      </c>
      <c r="H31" s="460">
        <v>2.81</v>
      </c>
      <c r="I31" s="460">
        <f t="shared" si="2"/>
        <v>74155.899999999994</v>
      </c>
      <c r="J31" s="547"/>
      <c r="K31" s="486"/>
      <c r="L31" s="556"/>
      <c r="M31" s="547"/>
      <c r="N31" s="547"/>
      <c r="O31" s="553"/>
      <c r="P31" s="553"/>
      <c r="Q31" s="553"/>
      <c r="R31" s="553"/>
      <c r="S31" s="253" t="s">
        <v>583</v>
      </c>
      <c r="T31" s="254">
        <v>660000</v>
      </c>
      <c r="U31" s="255">
        <v>2000000000</v>
      </c>
      <c r="V31" s="456"/>
    </row>
    <row r="32" spans="1:22" s="461" customFormat="1" ht="18" customHeight="1">
      <c r="A32" s="456">
        <v>29</v>
      </c>
      <c r="B32" s="457">
        <v>42832</v>
      </c>
      <c r="C32" s="458" t="s">
        <v>533</v>
      </c>
      <c r="D32" s="458" t="s">
        <v>539</v>
      </c>
      <c r="E32" s="458">
        <v>4848160</v>
      </c>
      <c r="F32" s="459">
        <v>2030</v>
      </c>
      <c r="G32" s="459">
        <f t="shared" si="3"/>
        <v>26390</v>
      </c>
      <c r="H32" s="460">
        <v>2.81</v>
      </c>
      <c r="I32" s="460">
        <f t="shared" si="2"/>
        <v>74155.899999999994</v>
      </c>
      <c r="J32" s="548"/>
      <c r="K32" s="487"/>
      <c r="L32" s="557"/>
      <c r="M32" s="548"/>
      <c r="N32" s="548"/>
      <c r="O32" s="554"/>
      <c r="P32" s="554"/>
      <c r="Q32" s="554"/>
      <c r="R32" s="554"/>
      <c r="S32" s="256" t="s">
        <v>56</v>
      </c>
      <c r="T32" s="254">
        <v>1500000</v>
      </c>
      <c r="U32" s="255">
        <v>3529000000</v>
      </c>
      <c r="V32" s="462">
        <f>V44+R27-SUM(T27:U32)-K85</f>
        <v>-53610.60000038147</v>
      </c>
    </row>
    <row r="33" spans="1:22" s="150" customFormat="1" ht="18" customHeight="1">
      <c r="A33" s="144">
        <v>30</v>
      </c>
      <c r="B33" s="300">
        <v>42839</v>
      </c>
      <c r="C33" s="243" t="s">
        <v>540</v>
      </c>
      <c r="D33" s="245" t="s">
        <v>541</v>
      </c>
      <c r="E33" s="243">
        <v>4872567</v>
      </c>
      <c r="F33" s="327">
        <v>2030</v>
      </c>
      <c r="G33" s="327">
        <f t="shared" ref="G33:G36" si="4">F33*13</f>
        <v>26390</v>
      </c>
      <c r="H33" s="292">
        <v>2.71</v>
      </c>
      <c r="I33" s="320">
        <f t="shared" si="2"/>
        <v>71516.899999999994</v>
      </c>
      <c r="J33" s="493">
        <f>SUM(I33:I36)</f>
        <v>286067.59999999998</v>
      </c>
      <c r="K33" s="485">
        <f>4*51000000</f>
        <v>204000000</v>
      </c>
      <c r="L33" s="490">
        <v>42864</v>
      </c>
      <c r="M33" s="493">
        <v>12</v>
      </c>
      <c r="N33" s="493">
        <f>J33-M33</f>
        <v>286055.59999999998</v>
      </c>
      <c r="O33" s="485">
        <v>22630</v>
      </c>
      <c r="P33" s="485">
        <f>N33*O33</f>
        <v>6473438227.999999</v>
      </c>
      <c r="Q33" s="485">
        <v>2504700</v>
      </c>
      <c r="R33" s="485">
        <f>P33-Q33</f>
        <v>6470933527.999999</v>
      </c>
      <c r="S33" s="253" t="s">
        <v>397</v>
      </c>
      <c r="T33" s="254">
        <v>1231230</v>
      </c>
      <c r="U33" s="255">
        <v>1399125000</v>
      </c>
      <c r="V33" s="343"/>
    </row>
    <row r="34" spans="1:22" s="150" customFormat="1" ht="18" customHeight="1">
      <c r="A34" s="144">
        <v>31</v>
      </c>
      <c r="B34" s="344">
        <v>42839</v>
      </c>
      <c r="C34" s="243" t="s">
        <v>540</v>
      </c>
      <c r="D34" s="243" t="s">
        <v>542</v>
      </c>
      <c r="E34" s="243">
        <v>4872696</v>
      </c>
      <c r="F34" s="327">
        <v>2030</v>
      </c>
      <c r="G34" s="327">
        <f t="shared" si="4"/>
        <v>26390</v>
      </c>
      <c r="H34" s="328">
        <v>2.71</v>
      </c>
      <c r="I34" s="320">
        <f t="shared" si="2"/>
        <v>71516.899999999994</v>
      </c>
      <c r="J34" s="494"/>
      <c r="K34" s="486"/>
      <c r="L34" s="491"/>
      <c r="M34" s="494"/>
      <c r="N34" s="494"/>
      <c r="O34" s="486"/>
      <c r="P34" s="486"/>
      <c r="Q34" s="486"/>
      <c r="R34" s="486"/>
      <c r="S34" s="256" t="s">
        <v>394</v>
      </c>
      <c r="T34" s="254">
        <v>376750</v>
      </c>
      <c r="U34" s="255">
        <v>662146000</v>
      </c>
      <c r="V34" s="144"/>
    </row>
    <row r="35" spans="1:22" s="150" customFormat="1" ht="18" customHeight="1">
      <c r="A35" s="144">
        <v>32</v>
      </c>
      <c r="B35" s="344">
        <v>42839</v>
      </c>
      <c r="C35" s="243" t="s">
        <v>540</v>
      </c>
      <c r="D35" s="243" t="s">
        <v>543</v>
      </c>
      <c r="E35" s="243">
        <v>4840710</v>
      </c>
      <c r="F35" s="327">
        <v>2030</v>
      </c>
      <c r="G35" s="327">
        <f t="shared" si="4"/>
        <v>26390</v>
      </c>
      <c r="H35" s="328">
        <v>2.71</v>
      </c>
      <c r="I35" s="320">
        <f t="shared" si="2"/>
        <v>71516.899999999994</v>
      </c>
      <c r="J35" s="494"/>
      <c r="K35" s="486"/>
      <c r="L35" s="491"/>
      <c r="M35" s="494"/>
      <c r="N35" s="494"/>
      <c r="O35" s="486"/>
      <c r="P35" s="486"/>
      <c r="Q35" s="486"/>
      <c r="R35" s="486"/>
      <c r="S35" s="256" t="s">
        <v>583</v>
      </c>
      <c r="T35" s="254">
        <v>1100000</v>
      </c>
      <c r="U35" s="255">
        <v>3975000000</v>
      </c>
      <c r="V35" s="144"/>
    </row>
    <row r="36" spans="1:22" s="150" customFormat="1" ht="18" customHeight="1">
      <c r="A36" s="144">
        <v>33</v>
      </c>
      <c r="B36" s="344">
        <v>42839</v>
      </c>
      <c r="C36" s="243" t="s">
        <v>540</v>
      </c>
      <c r="D36" s="243" t="s">
        <v>544</v>
      </c>
      <c r="E36" s="243">
        <v>4872619</v>
      </c>
      <c r="F36" s="327">
        <v>2030</v>
      </c>
      <c r="G36" s="327">
        <f t="shared" si="4"/>
        <v>26390</v>
      </c>
      <c r="H36" s="328">
        <v>2.71</v>
      </c>
      <c r="I36" s="320">
        <f t="shared" si="2"/>
        <v>71516.899999999994</v>
      </c>
      <c r="J36" s="494"/>
      <c r="K36" s="487"/>
      <c r="L36" s="492"/>
      <c r="M36" s="495"/>
      <c r="N36" s="495"/>
      <c r="O36" s="487"/>
      <c r="P36" s="487"/>
      <c r="Q36" s="487"/>
      <c r="R36" s="487"/>
      <c r="S36" s="253" t="s">
        <v>391</v>
      </c>
      <c r="T36" s="255">
        <v>22167600</v>
      </c>
      <c r="U36" s="255"/>
      <c r="V36" s="343">
        <f>R33-SUM(T33:U36)-K37</f>
        <v>1786947.9999990463</v>
      </c>
    </row>
    <row r="37" spans="1:22" s="150" customFormat="1" ht="18" customHeight="1">
      <c r="A37" s="144">
        <v>34</v>
      </c>
      <c r="B37" s="300">
        <v>42846</v>
      </c>
      <c r="C37" s="243" t="s">
        <v>607</v>
      </c>
      <c r="D37" s="245" t="s">
        <v>608</v>
      </c>
      <c r="E37" s="243">
        <v>5388974</v>
      </c>
      <c r="F37" s="294">
        <v>2030</v>
      </c>
      <c r="G37" s="316">
        <f t="shared" si="3"/>
        <v>26390</v>
      </c>
      <c r="H37" s="292">
        <v>1.9</v>
      </c>
      <c r="I37" s="320">
        <f t="shared" si="2"/>
        <v>50141</v>
      </c>
      <c r="J37" s="493">
        <f>SUM(I37:I44)</f>
        <v>544219.19999999995</v>
      </c>
      <c r="K37" s="485">
        <f>8*51000000</f>
        <v>408000000</v>
      </c>
      <c r="L37" s="490">
        <v>42873</v>
      </c>
      <c r="M37" s="493">
        <v>12</v>
      </c>
      <c r="N37" s="493">
        <f>SUM(I37:I39)-M37</f>
        <v>174747.2</v>
      </c>
      <c r="O37" s="485">
        <v>22610</v>
      </c>
      <c r="P37" s="485">
        <f>N37*O37</f>
        <v>3951034192.0000005</v>
      </c>
      <c r="Q37" s="485">
        <v>2183641</v>
      </c>
      <c r="R37" s="485">
        <f>P37-Q37</f>
        <v>3948850551.0000005</v>
      </c>
      <c r="S37" s="253" t="s">
        <v>655</v>
      </c>
      <c r="T37" s="254"/>
      <c r="U37" s="255">
        <v>3500000000</v>
      </c>
      <c r="V37" s="144"/>
    </row>
    <row r="38" spans="1:22" s="150" customFormat="1" ht="18" customHeight="1">
      <c r="A38" s="144">
        <v>35</v>
      </c>
      <c r="B38" s="356">
        <v>42846</v>
      </c>
      <c r="C38" s="243" t="s">
        <v>607</v>
      </c>
      <c r="D38" s="243" t="s">
        <v>609</v>
      </c>
      <c r="E38" s="243">
        <v>5362740</v>
      </c>
      <c r="F38" s="294">
        <v>1907</v>
      </c>
      <c r="G38" s="316">
        <f>F38*14</f>
        <v>26698</v>
      </c>
      <c r="H38" s="292">
        <v>1.9</v>
      </c>
      <c r="I38" s="320">
        <f t="shared" si="2"/>
        <v>50726.2</v>
      </c>
      <c r="J38" s="494"/>
      <c r="K38" s="486"/>
      <c r="L38" s="491"/>
      <c r="M38" s="494"/>
      <c r="N38" s="494"/>
      <c r="O38" s="486"/>
      <c r="P38" s="486"/>
      <c r="Q38" s="486"/>
      <c r="R38" s="486"/>
      <c r="S38" s="256" t="s">
        <v>748</v>
      </c>
      <c r="T38" s="254"/>
      <c r="U38" s="254">
        <v>-200000000</v>
      </c>
      <c r="V38" s="144"/>
    </row>
    <row r="39" spans="1:22" s="150" customFormat="1" ht="18" customHeight="1">
      <c r="A39" s="144">
        <v>36</v>
      </c>
      <c r="B39" s="356">
        <v>42846</v>
      </c>
      <c r="C39" s="243" t="s">
        <v>607</v>
      </c>
      <c r="D39" s="243" t="s">
        <v>610</v>
      </c>
      <c r="E39" s="243">
        <v>5362858</v>
      </c>
      <c r="F39" s="294">
        <v>2030</v>
      </c>
      <c r="G39" s="316">
        <f t="shared" si="3"/>
        <v>26390</v>
      </c>
      <c r="H39" s="292">
        <v>2.8</v>
      </c>
      <c r="I39" s="320">
        <f t="shared" si="2"/>
        <v>73892</v>
      </c>
      <c r="J39" s="494"/>
      <c r="K39" s="486"/>
      <c r="L39" s="492"/>
      <c r="M39" s="495"/>
      <c r="N39" s="495"/>
      <c r="O39" s="487"/>
      <c r="P39" s="487"/>
      <c r="Q39" s="487"/>
      <c r="R39" s="487"/>
      <c r="S39" s="256"/>
      <c r="T39" s="254"/>
      <c r="U39" s="255"/>
      <c r="V39" s="343">
        <f>R37-SUM(T37:U39)-K57</f>
        <v>342850551.00000048</v>
      </c>
    </row>
    <row r="40" spans="1:22" s="150" customFormat="1" ht="18" customHeight="1">
      <c r="A40" s="144">
        <v>37</v>
      </c>
      <c r="B40" s="356">
        <v>42846</v>
      </c>
      <c r="C40" s="243" t="s">
        <v>607</v>
      </c>
      <c r="D40" s="243" t="s">
        <v>611</v>
      </c>
      <c r="E40" s="243">
        <v>5376159</v>
      </c>
      <c r="F40" s="354">
        <v>2030</v>
      </c>
      <c r="G40" s="316">
        <f t="shared" si="3"/>
        <v>26390</v>
      </c>
      <c r="H40" s="355">
        <v>2.8</v>
      </c>
      <c r="I40" s="320">
        <f t="shared" si="2"/>
        <v>73892</v>
      </c>
      <c r="J40" s="494"/>
      <c r="K40" s="486"/>
      <c r="L40" s="490">
        <v>42892</v>
      </c>
      <c r="M40" s="493">
        <v>12</v>
      </c>
      <c r="N40" s="493">
        <f>SUM(I40:I44)-M40</f>
        <v>369448</v>
      </c>
      <c r="O40" s="485">
        <v>22610</v>
      </c>
      <c r="P40" s="485">
        <f>N40*O40</f>
        <v>8353219280</v>
      </c>
      <c r="Q40" s="485">
        <v>2502500</v>
      </c>
      <c r="R40" s="485">
        <f>P40-Q40</f>
        <v>8350716780</v>
      </c>
      <c r="S40" s="256" t="s">
        <v>557</v>
      </c>
      <c r="T40" s="254">
        <f t="shared" ref="T40" si="5">U40*0.088%</f>
        <v>2508105.5999999996</v>
      </c>
      <c r="U40" s="255">
        <v>2850120000</v>
      </c>
      <c r="V40" s="144"/>
    </row>
    <row r="41" spans="1:22" s="150" customFormat="1" ht="18" customHeight="1">
      <c r="A41" s="144">
        <v>38</v>
      </c>
      <c r="B41" s="356">
        <v>42846</v>
      </c>
      <c r="C41" s="243" t="s">
        <v>607</v>
      </c>
      <c r="D41" s="243" t="s">
        <v>612</v>
      </c>
      <c r="E41" s="243">
        <v>5388964</v>
      </c>
      <c r="F41" s="354">
        <v>2030</v>
      </c>
      <c r="G41" s="316">
        <f t="shared" si="3"/>
        <v>26390</v>
      </c>
      <c r="H41" s="355">
        <v>2.8</v>
      </c>
      <c r="I41" s="320">
        <f t="shared" si="2"/>
        <v>73892</v>
      </c>
      <c r="J41" s="494"/>
      <c r="K41" s="486"/>
      <c r="L41" s="491"/>
      <c r="M41" s="494"/>
      <c r="N41" s="494"/>
      <c r="O41" s="486"/>
      <c r="P41" s="486"/>
      <c r="Q41" s="486"/>
      <c r="R41" s="486"/>
      <c r="S41" s="253" t="s">
        <v>740</v>
      </c>
      <c r="T41" s="254">
        <v>1100000</v>
      </c>
      <c r="U41" s="255">
        <v>4690000000</v>
      </c>
      <c r="V41" s="243"/>
    </row>
    <row r="42" spans="1:22" s="150" customFormat="1" ht="18" customHeight="1">
      <c r="A42" s="144">
        <v>39</v>
      </c>
      <c r="B42" s="356">
        <v>42846</v>
      </c>
      <c r="C42" s="243" t="s">
        <v>607</v>
      </c>
      <c r="D42" s="243" t="s">
        <v>613</v>
      </c>
      <c r="E42" s="243">
        <v>5376157</v>
      </c>
      <c r="F42" s="354">
        <v>2030</v>
      </c>
      <c r="G42" s="316">
        <f t="shared" si="3"/>
        <v>26390</v>
      </c>
      <c r="H42" s="355">
        <v>2.8</v>
      </c>
      <c r="I42" s="320">
        <f t="shared" si="2"/>
        <v>73892</v>
      </c>
      <c r="J42" s="494"/>
      <c r="K42" s="486"/>
      <c r="L42" s="491"/>
      <c r="M42" s="494"/>
      <c r="N42" s="494"/>
      <c r="O42" s="486"/>
      <c r="P42" s="486"/>
      <c r="Q42" s="486"/>
      <c r="R42" s="486"/>
      <c r="S42" s="253" t="s">
        <v>391</v>
      </c>
      <c r="T42" s="254">
        <v>19194240</v>
      </c>
      <c r="U42" s="255"/>
      <c r="V42" s="243"/>
    </row>
    <row r="43" spans="1:22" s="150" customFormat="1" ht="18" customHeight="1">
      <c r="A43" s="144">
        <v>40</v>
      </c>
      <c r="B43" s="356">
        <v>42846</v>
      </c>
      <c r="C43" s="243" t="s">
        <v>607</v>
      </c>
      <c r="D43" s="243" t="s">
        <v>614</v>
      </c>
      <c r="E43" s="243">
        <v>5376158</v>
      </c>
      <c r="F43" s="354">
        <v>2030</v>
      </c>
      <c r="G43" s="316">
        <f t="shared" si="3"/>
        <v>26390</v>
      </c>
      <c r="H43" s="355">
        <v>2.8</v>
      </c>
      <c r="I43" s="320">
        <f t="shared" si="2"/>
        <v>73892</v>
      </c>
      <c r="J43" s="494"/>
      <c r="K43" s="486"/>
      <c r="L43" s="491"/>
      <c r="M43" s="494"/>
      <c r="N43" s="494"/>
      <c r="O43" s="486"/>
      <c r="P43" s="486"/>
      <c r="Q43" s="486"/>
      <c r="R43" s="486"/>
      <c r="S43" s="253" t="s">
        <v>737</v>
      </c>
      <c r="T43" s="254">
        <v>6000000</v>
      </c>
      <c r="U43" s="254"/>
      <c r="V43" s="243"/>
    </row>
    <row r="44" spans="1:22" s="150" customFormat="1" ht="18" customHeight="1">
      <c r="A44" s="144">
        <v>41</v>
      </c>
      <c r="B44" s="356">
        <v>42846</v>
      </c>
      <c r="C44" s="243" t="s">
        <v>607</v>
      </c>
      <c r="D44" s="243" t="s">
        <v>615</v>
      </c>
      <c r="E44" s="243">
        <v>5362891</v>
      </c>
      <c r="F44" s="354">
        <v>2030</v>
      </c>
      <c r="G44" s="316">
        <f t="shared" si="3"/>
        <v>26390</v>
      </c>
      <c r="H44" s="355">
        <v>2.8</v>
      </c>
      <c r="I44" s="320">
        <f t="shared" si="2"/>
        <v>73892</v>
      </c>
      <c r="J44" s="495"/>
      <c r="K44" s="487"/>
      <c r="L44" s="492"/>
      <c r="M44" s="495"/>
      <c r="N44" s="495"/>
      <c r="O44" s="487"/>
      <c r="P44" s="487"/>
      <c r="Q44" s="487"/>
      <c r="R44" s="487"/>
      <c r="S44" s="253" t="s">
        <v>738</v>
      </c>
      <c r="T44" s="254">
        <v>820000</v>
      </c>
      <c r="U44" s="254"/>
      <c r="V44" s="343">
        <f>V39+R40-SUM(T40:U44)-K63</f>
        <v>1824985.3999996185</v>
      </c>
    </row>
    <row r="45" spans="1:22" s="435" customFormat="1" ht="18" customHeight="1">
      <c r="A45" s="427">
        <v>42</v>
      </c>
      <c r="B45" s="428">
        <v>42860</v>
      </c>
      <c r="C45" s="429" t="s">
        <v>616</v>
      </c>
      <c r="D45" s="429" t="s">
        <v>617</v>
      </c>
      <c r="E45" s="429">
        <v>5362888</v>
      </c>
      <c r="F45" s="430">
        <v>2030</v>
      </c>
      <c r="G45" s="430">
        <f t="shared" si="3"/>
        <v>26390</v>
      </c>
      <c r="H45" s="431">
        <v>2.8</v>
      </c>
      <c r="I45" s="431">
        <f t="shared" si="2"/>
        <v>73892</v>
      </c>
      <c r="J45" s="535">
        <f>SUM(I45:I50)</f>
        <v>443352</v>
      </c>
      <c r="K45" s="485">
        <f>12*51000000+14622660</f>
        <v>626622660</v>
      </c>
      <c r="L45" s="532"/>
      <c r="M45" s="535">
        <v>12</v>
      </c>
      <c r="N45" s="535">
        <f>J45-M45</f>
        <v>443340</v>
      </c>
      <c r="O45" s="538"/>
      <c r="P45" s="538">
        <f>N45*O45</f>
        <v>0</v>
      </c>
      <c r="Q45" s="538">
        <v>2505800</v>
      </c>
      <c r="R45" s="538">
        <f>P45-Q45</f>
        <v>-2505800</v>
      </c>
      <c r="S45" s="450"/>
      <c r="T45" s="450"/>
      <c r="U45" s="450"/>
      <c r="V45" s="429"/>
    </row>
    <row r="46" spans="1:22" s="435" customFormat="1" ht="18" customHeight="1">
      <c r="A46" s="427">
        <v>43</v>
      </c>
      <c r="B46" s="428">
        <v>42860</v>
      </c>
      <c r="C46" s="429" t="s">
        <v>616</v>
      </c>
      <c r="D46" s="429" t="s">
        <v>618</v>
      </c>
      <c r="E46" s="429">
        <v>5362848</v>
      </c>
      <c r="F46" s="430">
        <v>2030</v>
      </c>
      <c r="G46" s="430">
        <f t="shared" si="3"/>
        <v>26390</v>
      </c>
      <c r="H46" s="431">
        <v>2.8</v>
      </c>
      <c r="I46" s="431">
        <f t="shared" si="2"/>
        <v>73892</v>
      </c>
      <c r="J46" s="536"/>
      <c r="K46" s="486"/>
      <c r="L46" s="533"/>
      <c r="M46" s="536"/>
      <c r="N46" s="536"/>
      <c r="O46" s="539"/>
      <c r="P46" s="539"/>
      <c r="Q46" s="539"/>
      <c r="R46" s="539"/>
      <c r="S46" s="450"/>
      <c r="T46" s="450"/>
      <c r="U46" s="450"/>
      <c r="V46" s="429"/>
    </row>
    <row r="47" spans="1:22" s="435" customFormat="1" ht="18" customHeight="1">
      <c r="A47" s="427">
        <v>44</v>
      </c>
      <c r="B47" s="428">
        <v>42860</v>
      </c>
      <c r="C47" s="429" t="s">
        <v>616</v>
      </c>
      <c r="D47" s="429" t="s">
        <v>619</v>
      </c>
      <c r="E47" s="429">
        <v>5362729</v>
      </c>
      <c r="F47" s="430">
        <v>2030</v>
      </c>
      <c r="G47" s="430">
        <f t="shared" si="3"/>
        <v>26390</v>
      </c>
      <c r="H47" s="431">
        <v>2.8</v>
      </c>
      <c r="I47" s="431">
        <f t="shared" si="2"/>
        <v>73892</v>
      </c>
      <c r="J47" s="536"/>
      <c r="K47" s="486"/>
      <c r="L47" s="533"/>
      <c r="M47" s="536"/>
      <c r="N47" s="536"/>
      <c r="O47" s="539"/>
      <c r="P47" s="539"/>
      <c r="Q47" s="539"/>
      <c r="R47" s="539"/>
      <c r="S47" s="463"/>
      <c r="T47" s="433"/>
      <c r="U47" s="434"/>
      <c r="V47" s="427"/>
    </row>
    <row r="48" spans="1:22" s="435" customFormat="1" ht="18" customHeight="1">
      <c r="A48" s="427">
        <v>45</v>
      </c>
      <c r="B48" s="428">
        <v>42860</v>
      </c>
      <c r="C48" s="429" t="s">
        <v>616</v>
      </c>
      <c r="D48" s="429" t="s">
        <v>620</v>
      </c>
      <c r="E48" s="429">
        <v>5362540</v>
      </c>
      <c r="F48" s="430">
        <v>2030</v>
      </c>
      <c r="G48" s="430">
        <f t="shared" si="3"/>
        <v>26390</v>
      </c>
      <c r="H48" s="431">
        <v>2.8</v>
      </c>
      <c r="I48" s="431">
        <f t="shared" si="2"/>
        <v>73892</v>
      </c>
      <c r="J48" s="536"/>
      <c r="K48" s="486"/>
      <c r="L48" s="533"/>
      <c r="M48" s="536"/>
      <c r="N48" s="536"/>
      <c r="O48" s="539"/>
      <c r="P48" s="539"/>
      <c r="Q48" s="539"/>
      <c r="R48" s="539"/>
      <c r="S48" s="432"/>
      <c r="T48" s="433"/>
      <c r="U48" s="434"/>
      <c r="V48" s="427"/>
    </row>
    <row r="49" spans="1:22" s="435" customFormat="1" ht="18" customHeight="1">
      <c r="A49" s="427">
        <v>46</v>
      </c>
      <c r="B49" s="428">
        <v>42860</v>
      </c>
      <c r="C49" s="429" t="s">
        <v>616</v>
      </c>
      <c r="D49" s="429" t="s">
        <v>621</v>
      </c>
      <c r="E49" s="429">
        <v>5362725</v>
      </c>
      <c r="F49" s="430">
        <v>2030</v>
      </c>
      <c r="G49" s="430">
        <f t="shared" si="3"/>
        <v>26390</v>
      </c>
      <c r="H49" s="431">
        <v>2.8</v>
      </c>
      <c r="I49" s="431">
        <f t="shared" si="2"/>
        <v>73892</v>
      </c>
      <c r="J49" s="536"/>
      <c r="K49" s="486"/>
      <c r="L49" s="533"/>
      <c r="M49" s="536"/>
      <c r="N49" s="536"/>
      <c r="O49" s="539"/>
      <c r="P49" s="539"/>
      <c r="Q49" s="539"/>
      <c r="R49" s="539"/>
      <c r="S49" s="432"/>
      <c r="T49" s="433"/>
      <c r="U49" s="434"/>
      <c r="V49" s="427"/>
    </row>
    <row r="50" spans="1:22" s="435" customFormat="1" ht="18" customHeight="1">
      <c r="A50" s="427">
        <v>47</v>
      </c>
      <c r="B50" s="428">
        <v>42860</v>
      </c>
      <c r="C50" s="429" t="s">
        <v>616</v>
      </c>
      <c r="D50" s="429" t="s">
        <v>622</v>
      </c>
      <c r="E50" s="429">
        <v>5362726</v>
      </c>
      <c r="F50" s="430">
        <v>2030</v>
      </c>
      <c r="G50" s="430">
        <f t="shared" si="3"/>
        <v>26390</v>
      </c>
      <c r="H50" s="431">
        <v>2.8</v>
      </c>
      <c r="I50" s="431">
        <f t="shared" si="2"/>
        <v>73892</v>
      </c>
      <c r="J50" s="537"/>
      <c r="K50" s="486"/>
      <c r="L50" s="534"/>
      <c r="M50" s="537"/>
      <c r="N50" s="537"/>
      <c r="O50" s="540"/>
      <c r="P50" s="540"/>
      <c r="Q50" s="540"/>
      <c r="R50" s="540"/>
      <c r="S50" s="430"/>
      <c r="T50" s="430"/>
      <c r="U50" s="430"/>
      <c r="V50" s="343">
        <f>R45-SUM(T45:U50)</f>
        <v>-2505800</v>
      </c>
    </row>
    <row r="51" spans="1:22" s="150" customFormat="1" ht="18" customHeight="1">
      <c r="A51" s="144">
        <v>48</v>
      </c>
      <c r="B51" s="396">
        <v>42870</v>
      </c>
      <c r="C51" s="243" t="s">
        <v>623</v>
      </c>
      <c r="D51" s="248" t="s">
        <v>624</v>
      </c>
      <c r="E51" s="248">
        <v>5360242</v>
      </c>
      <c r="F51" s="394">
        <v>2030</v>
      </c>
      <c r="G51" s="394">
        <f t="shared" ref="G51:G62" si="6">F51*13</f>
        <v>26390</v>
      </c>
      <c r="H51" s="299">
        <v>2.65</v>
      </c>
      <c r="I51" s="320">
        <f t="shared" si="2"/>
        <v>69933.5</v>
      </c>
      <c r="J51" s="493">
        <f>SUM(I51:I56)</f>
        <v>419601</v>
      </c>
      <c r="K51" s="486"/>
      <c r="L51" s="308"/>
      <c r="M51" s="309"/>
      <c r="N51" s="309"/>
      <c r="O51" s="310"/>
      <c r="P51" s="310"/>
      <c r="Q51" s="310"/>
      <c r="R51" s="310"/>
      <c r="S51" s="253"/>
      <c r="T51" s="254"/>
      <c r="U51" s="255"/>
      <c r="V51" s="144"/>
    </row>
    <row r="52" spans="1:22" s="150" customFormat="1" ht="18" customHeight="1">
      <c r="A52" s="144">
        <v>49</v>
      </c>
      <c r="B52" s="396">
        <v>42870</v>
      </c>
      <c r="C52" s="243" t="s">
        <v>623</v>
      </c>
      <c r="D52" s="248" t="s">
        <v>625</v>
      </c>
      <c r="E52" s="248">
        <v>5362508</v>
      </c>
      <c r="F52" s="394">
        <v>2030</v>
      </c>
      <c r="G52" s="394">
        <f t="shared" si="6"/>
        <v>26390</v>
      </c>
      <c r="H52" s="395">
        <v>2.65</v>
      </c>
      <c r="I52" s="320">
        <f t="shared" si="2"/>
        <v>69933.5</v>
      </c>
      <c r="J52" s="494"/>
      <c r="K52" s="486"/>
      <c r="L52" s="308"/>
      <c r="M52" s="309"/>
      <c r="N52" s="309"/>
      <c r="O52" s="310"/>
      <c r="P52" s="310"/>
      <c r="Q52" s="310"/>
      <c r="R52" s="310"/>
      <c r="S52" s="253"/>
      <c r="T52" s="254"/>
      <c r="U52" s="255"/>
      <c r="V52" s="144"/>
    </row>
    <row r="53" spans="1:22" s="150" customFormat="1" ht="18" customHeight="1">
      <c r="A53" s="144">
        <v>50</v>
      </c>
      <c r="B53" s="396">
        <v>42870</v>
      </c>
      <c r="C53" s="243" t="s">
        <v>623</v>
      </c>
      <c r="D53" s="243" t="s">
        <v>626</v>
      </c>
      <c r="E53" s="248">
        <v>5377492</v>
      </c>
      <c r="F53" s="394">
        <v>2030</v>
      </c>
      <c r="G53" s="394">
        <f t="shared" si="6"/>
        <v>26390</v>
      </c>
      <c r="H53" s="395">
        <v>2.65</v>
      </c>
      <c r="I53" s="320">
        <f t="shared" si="2"/>
        <v>69933.5</v>
      </c>
      <c r="J53" s="494"/>
      <c r="K53" s="486"/>
      <c r="L53" s="308"/>
      <c r="M53" s="309"/>
      <c r="N53" s="309"/>
      <c r="O53" s="310"/>
      <c r="P53" s="310"/>
      <c r="Q53" s="310"/>
      <c r="R53" s="310"/>
      <c r="S53" s="253"/>
      <c r="T53" s="254"/>
      <c r="U53" s="255"/>
      <c r="V53" s="144"/>
    </row>
    <row r="54" spans="1:22" s="150" customFormat="1" ht="18" customHeight="1">
      <c r="A54" s="144">
        <v>51</v>
      </c>
      <c r="B54" s="396">
        <v>42870</v>
      </c>
      <c r="C54" s="243" t="s">
        <v>623</v>
      </c>
      <c r="D54" s="248" t="s">
        <v>627</v>
      </c>
      <c r="E54" s="248">
        <v>5367121</v>
      </c>
      <c r="F54" s="394">
        <v>2030</v>
      </c>
      <c r="G54" s="394">
        <f t="shared" si="6"/>
        <v>26390</v>
      </c>
      <c r="H54" s="395">
        <v>2.65</v>
      </c>
      <c r="I54" s="320">
        <f t="shared" si="2"/>
        <v>69933.5</v>
      </c>
      <c r="J54" s="494"/>
      <c r="K54" s="486"/>
      <c r="L54" s="308"/>
      <c r="M54" s="309"/>
      <c r="N54" s="309"/>
      <c r="O54" s="310"/>
      <c r="P54" s="310"/>
      <c r="Q54" s="310"/>
      <c r="R54" s="310"/>
      <c r="S54" s="253"/>
      <c r="T54" s="254"/>
      <c r="U54" s="255"/>
      <c r="V54" s="144"/>
    </row>
    <row r="55" spans="1:22" s="449" customFormat="1" ht="18" customHeight="1">
      <c r="A55" s="436">
        <v>52</v>
      </c>
      <c r="B55" s="437">
        <v>42870</v>
      </c>
      <c r="C55" s="438" t="s">
        <v>623</v>
      </c>
      <c r="D55" s="439" t="s">
        <v>628</v>
      </c>
      <c r="E55" s="439">
        <v>5377496</v>
      </c>
      <c r="F55" s="440">
        <v>2030</v>
      </c>
      <c r="G55" s="440">
        <f t="shared" si="6"/>
        <v>26390</v>
      </c>
      <c r="H55" s="441">
        <v>2.65</v>
      </c>
      <c r="I55" s="442">
        <f t="shared" si="2"/>
        <v>69933.5</v>
      </c>
      <c r="J55" s="494"/>
      <c r="K55" s="486"/>
      <c r="L55" s="443"/>
      <c r="M55" s="444"/>
      <c r="N55" s="444"/>
      <c r="O55" s="445"/>
      <c r="P55" s="445"/>
      <c r="Q55" s="445"/>
      <c r="R55" s="445"/>
      <c r="S55" s="446"/>
      <c r="T55" s="447"/>
      <c r="U55" s="448"/>
      <c r="V55" s="436"/>
    </row>
    <row r="56" spans="1:22" s="150" customFormat="1" ht="18" customHeight="1">
      <c r="A56" s="144">
        <v>53</v>
      </c>
      <c r="B56" s="396">
        <v>42870</v>
      </c>
      <c r="C56" s="243" t="s">
        <v>623</v>
      </c>
      <c r="D56" s="248" t="s">
        <v>629</v>
      </c>
      <c r="E56" s="248">
        <v>5390096</v>
      </c>
      <c r="F56" s="394">
        <v>2030</v>
      </c>
      <c r="G56" s="394">
        <f t="shared" si="6"/>
        <v>26390</v>
      </c>
      <c r="H56" s="395">
        <v>2.65</v>
      </c>
      <c r="I56" s="320">
        <f t="shared" si="2"/>
        <v>69933.5</v>
      </c>
      <c r="J56" s="495"/>
      <c r="K56" s="487"/>
      <c r="L56" s="308"/>
      <c r="M56" s="309"/>
      <c r="N56" s="309"/>
      <c r="O56" s="310"/>
      <c r="P56" s="310"/>
      <c r="Q56" s="310"/>
      <c r="R56" s="310"/>
      <c r="S56" s="257"/>
      <c r="T56" s="254"/>
      <c r="U56" s="255"/>
      <c r="V56" s="144"/>
    </row>
    <row r="57" spans="1:22" s="150" customFormat="1" ht="18" customHeight="1">
      <c r="A57" s="144">
        <v>54</v>
      </c>
      <c r="B57" s="396">
        <v>42870</v>
      </c>
      <c r="C57" s="243" t="s">
        <v>630</v>
      </c>
      <c r="D57" s="243" t="s">
        <v>631</v>
      </c>
      <c r="E57" s="245" t="s">
        <v>632</v>
      </c>
      <c r="F57" s="394">
        <v>2030</v>
      </c>
      <c r="G57" s="394">
        <f t="shared" si="6"/>
        <v>26390</v>
      </c>
      <c r="H57" s="395">
        <v>2.65</v>
      </c>
      <c r="I57" s="320">
        <f t="shared" si="2"/>
        <v>69933.5</v>
      </c>
      <c r="J57" s="493">
        <f>SUM(I57:I62)</f>
        <v>419601</v>
      </c>
      <c r="K57" s="485">
        <f>6*51000000</f>
        <v>306000000</v>
      </c>
      <c r="L57" s="308"/>
      <c r="M57" s="309"/>
      <c r="N57" s="309"/>
      <c r="O57" s="310"/>
      <c r="P57" s="310"/>
      <c r="Q57" s="310"/>
      <c r="R57" s="310"/>
      <c r="S57" s="253"/>
      <c r="T57" s="254"/>
      <c r="U57" s="255"/>
      <c r="V57" s="144"/>
    </row>
    <row r="58" spans="1:22" s="477" customFormat="1" ht="18" customHeight="1">
      <c r="A58" s="464">
        <v>55</v>
      </c>
      <c r="B58" s="465">
        <v>42870</v>
      </c>
      <c r="C58" s="466" t="s">
        <v>630</v>
      </c>
      <c r="D58" s="466" t="s">
        <v>633</v>
      </c>
      <c r="E58" s="467" t="s">
        <v>634</v>
      </c>
      <c r="F58" s="468">
        <v>2030</v>
      </c>
      <c r="G58" s="468">
        <f t="shared" si="6"/>
        <v>26390</v>
      </c>
      <c r="H58" s="469">
        <v>2.65</v>
      </c>
      <c r="I58" s="470">
        <f t="shared" si="2"/>
        <v>69933.5</v>
      </c>
      <c r="J58" s="494"/>
      <c r="K58" s="486"/>
      <c r="L58" s="471"/>
      <c r="M58" s="472"/>
      <c r="N58" s="472"/>
      <c r="O58" s="473"/>
      <c r="P58" s="473"/>
      <c r="Q58" s="473"/>
      <c r="R58" s="473"/>
      <c r="S58" s="474"/>
      <c r="T58" s="475"/>
      <c r="U58" s="476"/>
      <c r="V58" s="464"/>
    </row>
    <row r="59" spans="1:22" s="477" customFormat="1" ht="18" customHeight="1">
      <c r="A59" s="464">
        <v>56</v>
      </c>
      <c r="B59" s="465">
        <v>42870</v>
      </c>
      <c r="C59" s="466" t="s">
        <v>630</v>
      </c>
      <c r="D59" s="466" t="s">
        <v>635</v>
      </c>
      <c r="E59" s="466" t="s">
        <v>636</v>
      </c>
      <c r="F59" s="468">
        <v>2030</v>
      </c>
      <c r="G59" s="468">
        <f t="shared" si="6"/>
        <v>26390</v>
      </c>
      <c r="H59" s="469">
        <v>2.65</v>
      </c>
      <c r="I59" s="470">
        <f t="shared" si="2"/>
        <v>69933.5</v>
      </c>
      <c r="J59" s="494"/>
      <c r="K59" s="486"/>
      <c r="L59" s="471"/>
      <c r="M59" s="472"/>
      <c r="N59" s="472"/>
      <c r="O59" s="473"/>
      <c r="P59" s="473"/>
      <c r="Q59" s="473"/>
      <c r="R59" s="473"/>
      <c r="S59" s="478"/>
      <c r="T59" s="475"/>
      <c r="U59" s="476"/>
      <c r="V59" s="464" t="s">
        <v>756</v>
      </c>
    </row>
    <row r="60" spans="1:22" s="477" customFormat="1" ht="18" customHeight="1">
      <c r="A60" s="464">
        <v>57</v>
      </c>
      <c r="B60" s="465">
        <v>42870</v>
      </c>
      <c r="C60" s="466" t="s">
        <v>630</v>
      </c>
      <c r="D60" s="466" t="s">
        <v>637</v>
      </c>
      <c r="E60" s="466" t="s">
        <v>638</v>
      </c>
      <c r="F60" s="468">
        <v>2030</v>
      </c>
      <c r="G60" s="468">
        <f t="shared" si="6"/>
        <v>26390</v>
      </c>
      <c r="H60" s="469">
        <v>2.65</v>
      </c>
      <c r="I60" s="470">
        <f t="shared" si="2"/>
        <v>69933.5</v>
      </c>
      <c r="J60" s="494"/>
      <c r="K60" s="486"/>
      <c r="L60" s="471"/>
      <c r="M60" s="472"/>
      <c r="N60" s="472"/>
      <c r="O60" s="473"/>
      <c r="P60" s="473"/>
      <c r="Q60" s="473"/>
      <c r="R60" s="473"/>
      <c r="S60" s="478"/>
      <c r="T60" s="475"/>
      <c r="U60" s="476"/>
      <c r="V60" s="464"/>
    </row>
    <row r="61" spans="1:22" s="477" customFormat="1" ht="18" customHeight="1">
      <c r="A61" s="464">
        <v>58</v>
      </c>
      <c r="B61" s="465">
        <v>42870</v>
      </c>
      <c r="C61" s="466" t="s">
        <v>630</v>
      </c>
      <c r="D61" s="466" t="s">
        <v>639</v>
      </c>
      <c r="E61" s="466" t="s">
        <v>640</v>
      </c>
      <c r="F61" s="468">
        <v>2030</v>
      </c>
      <c r="G61" s="468">
        <f t="shared" si="6"/>
        <v>26390</v>
      </c>
      <c r="H61" s="469">
        <v>2.65</v>
      </c>
      <c r="I61" s="470">
        <f t="shared" si="2"/>
        <v>69933.5</v>
      </c>
      <c r="J61" s="494"/>
      <c r="K61" s="486"/>
      <c r="L61" s="471"/>
      <c r="M61" s="472"/>
      <c r="N61" s="472"/>
      <c r="O61" s="473"/>
      <c r="P61" s="473"/>
      <c r="Q61" s="473"/>
      <c r="R61" s="473"/>
      <c r="S61" s="478"/>
      <c r="T61" s="475"/>
      <c r="U61" s="476"/>
      <c r="V61" s="464"/>
    </row>
    <row r="62" spans="1:22" s="477" customFormat="1" ht="18" customHeight="1">
      <c r="A62" s="464">
        <v>59</v>
      </c>
      <c r="B62" s="465">
        <v>42870</v>
      </c>
      <c r="C62" s="466" t="s">
        <v>630</v>
      </c>
      <c r="D62" s="466" t="s">
        <v>641</v>
      </c>
      <c r="E62" s="466" t="s">
        <v>642</v>
      </c>
      <c r="F62" s="468">
        <v>2030</v>
      </c>
      <c r="G62" s="468">
        <f t="shared" si="6"/>
        <v>26390</v>
      </c>
      <c r="H62" s="469">
        <v>2.65</v>
      </c>
      <c r="I62" s="470">
        <f t="shared" si="2"/>
        <v>69933.5</v>
      </c>
      <c r="J62" s="495"/>
      <c r="K62" s="487"/>
      <c r="L62" s="471"/>
      <c r="M62" s="472"/>
      <c r="N62" s="472"/>
      <c r="O62" s="473"/>
      <c r="P62" s="473"/>
      <c r="Q62" s="473"/>
      <c r="R62" s="473"/>
      <c r="S62" s="478"/>
      <c r="T62" s="475"/>
      <c r="U62" s="476"/>
      <c r="V62" s="464"/>
    </row>
    <row r="63" spans="1:22" s="477" customFormat="1" ht="18" customHeight="1">
      <c r="A63" s="464">
        <v>60</v>
      </c>
      <c r="B63" s="465">
        <v>42875</v>
      </c>
      <c r="C63" s="466" t="s">
        <v>656</v>
      </c>
      <c r="D63" s="466" t="s">
        <v>657</v>
      </c>
      <c r="E63" s="466">
        <v>5363882</v>
      </c>
      <c r="F63" s="468">
        <v>2030</v>
      </c>
      <c r="G63" s="468">
        <f t="shared" si="3"/>
        <v>26390</v>
      </c>
      <c r="H63" s="469">
        <v>2.65</v>
      </c>
      <c r="I63" s="470">
        <f t="shared" si="2"/>
        <v>69933.5</v>
      </c>
      <c r="J63" s="549">
        <f>SUM(I63:I68)</f>
        <v>419601</v>
      </c>
      <c r="K63" s="485">
        <f>22*51000000</f>
        <v>1122000000</v>
      </c>
      <c r="L63" s="471"/>
      <c r="M63" s="472"/>
      <c r="N63" s="472"/>
      <c r="O63" s="473"/>
      <c r="P63" s="473"/>
      <c r="Q63" s="473"/>
      <c r="R63" s="473"/>
      <c r="S63" s="478"/>
      <c r="T63" s="475"/>
      <c r="U63" s="476"/>
      <c r="V63" s="464"/>
    </row>
    <row r="64" spans="1:22" s="477" customFormat="1" ht="18" customHeight="1">
      <c r="A64" s="464">
        <v>61</v>
      </c>
      <c r="B64" s="465">
        <v>42875</v>
      </c>
      <c r="C64" s="466" t="s">
        <v>656</v>
      </c>
      <c r="D64" s="466" t="s">
        <v>658</v>
      </c>
      <c r="E64" s="466">
        <v>5363760</v>
      </c>
      <c r="F64" s="468">
        <v>2030</v>
      </c>
      <c r="G64" s="468">
        <f t="shared" si="3"/>
        <v>26390</v>
      </c>
      <c r="H64" s="469">
        <v>2.65</v>
      </c>
      <c r="I64" s="470">
        <f t="shared" si="2"/>
        <v>69933.5</v>
      </c>
      <c r="J64" s="550"/>
      <c r="K64" s="486"/>
      <c r="L64" s="471"/>
      <c r="M64" s="472"/>
      <c r="N64" s="472"/>
      <c r="O64" s="473"/>
      <c r="P64" s="473"/>
      <c r="Q64" s="473"/>
      <c r="R64" s="473"/>
      <c r="S64" s="479"/>
      <c r="T64" s="480"/>
      <c r="U64" s="481"/>
      <c r="V64" s="464"/>
    </row>
    <row r="65" spans="1:22" s="477" customFormat="1" ht="18" customHeight="1">
      <c r="A65" s="464">
        <v>62</v>
      </c>
      <c r="B65" s="465">
        <v>42875</v>
      </c>
      <c r="C65" s="466" t="s">
        <v>656</v>
      </c>
      <c r="D65" s="466" t="s">
        <v>659</v>
      </c>
      <c r="E65" s="466">
        <v>5363886</v>
      </c>
      <c r="F65" s="468">
        <v>2030</v>
      </c>
      <c r="G65" s="468">
        <f t="shared" si="3"/>
        <v>26390</v>
      </c>
      <c r="H65" s="469">
        <v>2.65</v>
      </c>
      <c r="I65" s="470">
        <f t="shared" si="2"/>
        <v>69933.5</v>
      </c>
      <c r="J65" s="550"/>
      <c r="K65" s="486"/>
      <c r="L65" s="471"/>
      <c r="M65" s="472"/>
      <c r="N65" s="472"/>
      <c r="O65" s="473"/>
      <c r="P65" s="473"/>
      <c r="Q65" s="473"/>
      <c r="R65" s="473"/>
      <c r="S65" s="482"/>
      <c r="T65" s="483"/>
      <c r="U65" s="476"/>
      <c r="V65" s="464"/>
    </row>
    <row r="66" spans="1:22" s="477" customFormat="1" ht="18" customHeight="1">
      <c r="A66" s="464">
        <v>63</v>
      </c>
      <c r="B66" s="465">
        <v>42875</v>
      </c>
      <c r="C66" s="466" t="s">
        <v>656</v>
      </c>
      <c r="D66" s="466" t="s">
        <v>660</v>
      </c>
      <c r="E66" s="466">
        <v>5384032</v>
      </c>
      <c r="F66" s="468">
        <v>2030</v>
      </c>
      <c r="G66" s="468">
        <f t="shared" si="3"/>
        <v>26390</v>
      </c>
      <c r="H66" s="469">
        <v>2.65</v>
      </c>
      <c r="I66" s="470">
        <f t="shared" si="2"/>
        <v>69933.5</v>
      </c>
      <c r="J66" s="550"/>
      <c r="K66" s="486"/>
      <c r="L66" s="471"/>
      <c r="M66" s="472"/>
      <c r="N66" s="472"/>
      <c r="O66" s="473"/>
      <c r="P66" s="473"/>
      <c r="Q66" s="473"/>
      <c r="R66" s="473"/>
      <c r="S66" s="482"/>
      <c r="T66" s="483"/>
      <c r="U66" s="476"/>
      <c r="V66" s="464"/>
    </row>
    <row r="67" spans="1:22" s="477" customFormat="1" ht="18" customHeight="1">
      <c r="A67" s="464">
        <v>64</v>
      </c>
      <c r="B67" s="465">
        <v>42875</v>
      </c>
      <c r="C67" s="466" t="s">
        <v>656</v>
      </c>
      <c r="D67" s="466" t="s">
        <v>661</v>
      </c>
      <c r="E67" s="466">
        <v>5384037</v>
      </c>
      <c r="F67" s="468">
        <v>2030</v>
      </c>
      <c r="G67" s="468">
        <f t="shared" si="3"/>
        <v>26390</v>
      </c>
      <c r="H67" s="469">
        <v>2.65</v>
      </c>
      <c r="I67" s="470">
        <f t="shared" si="2"/>
        <v>69933.5</v>
      </c>
      <c r="J67" s="550"/>
      <c r="K67" s="486"/>
      <c r="L67" s="471"/>
      <c r="M67" s="472"/>
      <c r="N67" s="472"/>
      <c r="O67" s="473"/>
      <c r="P67" s="473"/>
      <c r="Q67" s="473"/>
      <c r="R67" s="473"/>
      <c r="S67" s="482"/>
      <c r="T67" s="483"/>
      <c r="U67" s="476"/>
      <c r="V67" s="464"/>
    </row>
    <row r="68" spans="1:22" s="477" customFormat="1" ht="18" customHeight="1">
      <c r="A68" s="464">
        <v>65</v>
      </c>
      <c r="B68" s="465">
        <v>42875</v>
      </c>
      <c r="C68" s="466" t="s">
        <v>656</v>
      </c>
      <c r="D68" s="466" t="s">
        <v>662</v>
      </c>
      <c r="E68" s="466">
        <v>5363799</v>
      </c>
      <c r="F68" s="468">
        <v>2030</v>
      </c>
      <c r="G68" s="468">
        <f t="shared" si="3"/>
        <v>26390</v>
      </c>
      <c r="H68" s="469">
        <v>2.65</v>
      </c>
      <c r="I68" s="470">
        <f t="shared" ref="I68:I104" si="7">G68*H68</f>
        <v>69933.5</v>
      </c>
      <c r="J68" s="551"/>
      <c r="K68" s="486"/>
      <c r="L68" s="471"/>
      <c r="M68" s="472"/>
      <c r="N68" s="472"/>
      <c r="O68" s="473"/>
      <c r="P68" s="473"/>
      <c r="Q68" s="473"/>
      <c r="R68" s="473"/>
      <c r="S68" s="484"/>
      <c r="T68" s="483"/>
      <c r="U68" s="476"/>
      <c r="V68" s="464"/>
    </row>
    <row r="69" spans="1:22" s="477" customFormat="1" ht="18" customHeight="1">
      <c r="A69" s="464">
        <v>66</v>
      </c>
      <c r="B69" s="465">
        <v>42877</v>
      </c>
      <c r="C69" s="466" t="s">
        <v>663</v>
      </c>
      <c r="D69" s="466" t="s">
        <v>664</v>
      </c>
      <c r="E69" s="466" t="s">
        <v>670</v>
      </c>
      <c r="F69" s="468">
        <v>2030</v>
      </c>
      <c r="G69" s="468">
        <f t="shared" ref="G69:G74" si="8">F69*13</f>
        <v>26390</v>
      </c>
      <c r="H69" s="469">
        <v>2.65</v>
      </c>
      <c r="I69" s="470">
        <f t="shared" si="7"/>
        <v>69933.5</v>
      </c>
      <c r="J69" s="549">
        <f>SUM(I69:I74)</f>
        <v>419601</v>
      </c>
      <c r="K69" s="486"/>
      <c r="L69" s="471"/>
      <c r="M69" s="472"/>
      <c r="N69" s="472"/>
      <c r="O69" s="473"/>
      <c r="P69" s="473"/>
      <c r="Q69" s="473"/>
      <c r="R69" s="473"/>
      <c r="S69" s="482"/>
      <c r="T69" s="483"/>
      <c r="U69" s="476"/>
      <c r="V69" s="464"/>
    </row>
    <row r="70" spans="1:22" s="477" customFormat="1" ht="18" customHeight="1">
      <c r="A70" s="464">
        <v>67</v>
      </c>
      <c r="B70" s="465">
        <v>42877</v>
      </c>
      <c r="C70" s="466" t="s">
        <v>663</v>
      </c>
      <c r="D70" s="466" t="s">
        <v>665</v>
      </c>
      <c r="E70" s="466" t="s">
        <v>671</v>
      </c>
      <c r="F70" s="468">
        <v>2030</v>
      </c>
      <c r="G70" s="468">
        <f t="shared" si="8"/>
        <v>26390</v>
      </c>
      <c r="H70" s="469">
        <v>2.65</v>
      </c>
      <c r="I70" s="470">
        <f t="shared" si="7"/>
        <v>69933.5</v>
      </c>
      <c r="J70" s="550"/>
      <c r="K70" s="486"/>
      <c r="L70" s="471"/>
      <c r="M70" s="472"/>
      <c r="N70" s="472"/>
      <c r="O70" s="473"/>
      <c r="P70" s="473"/>
      <c r="Q70" s="473"/>
      <c r="R70" s="473"/>
      <c r="S70" s="483"/>
      <c r="T70" s="483"/>
      <c r="U70" s="483"/>
      <c r="V70" s="464"/>
    </row>
    <row r="71" spans="1:22" s="477" customFormat="1" ht="18" customHeight="1">
      <c r="A71" s="464">
        <v>68</v>
      </c>
      <c r="B71" s="465">
        <v>42877</v>
      </c>
      <c r="C71" s="466" t="s">
        <v>663</v>
      </c>
      <c r="D71" s="466" t="s">
        <v>666</v>
      </c>
      <c r="E71" s="466" t="s">
        <v>672</v>
      </c>
      <c r="F71" s="468">
        <v>2030</v>
      </c>
      <c r="G71" s="468">
        <f t="shared" si="8"/>
        <v>26390</v>
      </c>
      <c r="H71" s="469">
        <v>2.65</v>
      </c>
      <c r="I71" s="470">
        <f t="shared" si="7"/>
        <v>69933.5</v>
      </c>
      <c r="J71" s="550"/>
      <c r="K71" s="486"/>
      <c r="L71" s="471"/>
      <c r="M71" s="472"/>
      <c r="N71" s="472"/>
      <c r="O71" s="473"/>
      <c r="P71" s="473"/>
      <c r="Q71" s="473"/>
      <c r="R71" s="473"/>
      <c r="S71" s="483"/>
      <c r="T71" s="483"/>
      <c r="U71" s="483"/>
      <c r="V71" s="464"/>
    </row>
    <row r="72" spans="1:22" s="477" customFormat="1" ht="18" customHeight="1">
      <c r="A72" s="464">
        <v>69</v>
      </c>
      <c r="B72" s="465">
        <v>42877</v>
      </c>
      <c r="C72" s="466" t="s">
        <v>663</v>
      </c>
      <c r="D72" s="466" t="s">
        <v>667</v>
      </c>
      <c r="E72" s="466" t="s">
        <v>673</v>
      </c>
      <c r="F72" s="468">
        <v>2030</v>
      </c>
      <c r="G72" s="468">
        <f t="shared" si="8"/>
        <v>26390</v>
      </c>
      <c r="H72" s="469">
        <v>2.65</v>
      </c>
      <c r="I72" s="470">
        <f t="shared" si="7"/>
        <v>69933.5</v>
      </c>
      <c r="J72" s="550"/>
      <c r="K72" s="486"/>
      <c r="L72" s="471"/>
      <c r="M72" s="472"/>
      <c r="N72" s="472"/>
      <c r="O72" s="473"/>
      <c r="P72" s="473"/>
      <c r="Q72" s="473"/>
      <c r="R72" s="473"/>
      <c r="S72" s="483"/>
      <c r="T72" s="483"/>
      <c r="U72" s="483"/>
      <c r="V72" s="464" t="s">
        <v>756</v>
      </c>
    </row>
    <row r="73" spans="1:22" s="477" customFormat="1" ht="18" customHeight="1">
      <c r="A73" s="464">
        <v>70</v>
      </c>
      <c r="B73" s="465">
        <v>42877</v>
      </c>
      <c r="C73" s="466" t="s">
        <v>663</v>
      </c>
      <c r="D73" s="466" t="s">
        <v>668</v>
      </c>
      <c r="E73" s="466" t="s">
        <v>674</v>
      </c>
      <c r="F73" s="468">
        <v>2030</v>
      </c>
      <c r="G73" s="468">
        <f t="shared" si="8"/>
        <v>26390</v>
      </c>
      <c r="H73" s="469">
        <v>2.65</v>
      </c>
      <c r="I73" s="470">
        <f t="shared" si="7"/>
        <v>69933.5</v>
      </c>
      <c r="J73" s="550"/>
      <c r="K73" s="486"/>
      <c r="L73" s="471"/>
      <c r="M73" s="472"/>
      <c r="N73" s="472"/>
      <c r="O73" s="473"/>
      <c r="P73" s="473"/>
      <c r="Q73" s="473"/>
      <c r="R73" s="473"/>
      <c r="S73" s="483"/>
      <c r="T73" s="483"/>
      <c r="U73" s="483"/>
      <c r="V73" s="464"/>
    </row>
    <row r="74" spans="1:22" s="477" customFormat="1" ht="18" customHeight="1">
      <c r="A74" s="464">
        <v>71</v>
      </c>
      <c r="B74" s="465">
        <v>42877</v>
      </c>
      <c r="C74" s="466" t="s">
        <v>663</v>
      </c>
      <c r="D74" s="466" t="s">
        <v>669</v>
      </c>
      <c r="E74" s="466" t="s">
        <v>675</v>
      </c>
      <c r="F74" s="468">
        <v>2030</v>
      </c>
      <c r="G74" s="468">
        <f t="shared" si="8"/>
        <v>26390</v>
      </c>
      <c r="H74" s="469">
        <v>2.65</v>
      </c>
      <c r="I74" s="470">
        <f t="shared" si="7"/>
        <v>69933.5</v>
      </c>
      <c r="J74" s="551"/>
      <c r="K74" s="486"/>
      <c r="L74" s="471"/>
      <c r="M74" s="472"/>
      <c r="N74" s="472"/>
      <c r="O74" s="473"/>
      <c r="P74" s="473"/>
      <c r="Q74" s="473"/>
      <c r="R74" s="473"/>
      <c r="S74" s="483"/>
      <c r="T74" s="483"/>
      <c r="U74" s="483"/>
      <c r="V74" s="464"/>
    </row>
    <row r="75" spans="1:22" s="477" customFormat="1" ht="18" customHeight="1">
      <c r="A75" s="464">
        <v>72</v>
      </c>
      <c r="B75" s="465">
        <v>42881</v>
      </c>
      <c r="C75" s="466" t="s">
        <v>682</v>
      </c>
      <c r="D75" s="466" t="s">
        <v>676</v>
      </c>
      <c r="E75" s="466">
        <v>5386506</v>
      </c>
      <c r="F75" s="468">
        <v>2030</v>
      </c>
      <c r="G75" s="468">
        <f t="shared" ref="G75:G80" si="9">F75*13</f>
        <v>26390</v>
      </c>
      <c r="H75" s="469">
        <v>2.65</v>
      </c>
      <c r="I75" s="470">
        <f t="shared" ref="I75:I80" si="10">G75*H75</f>
        <v>69933.5</v>
      </c>
      <c r="J75" s="493">
        <f>SUM(I75:I80)</f>
        <v>419601</v>
      </c>
      <c r="K75" s="486"/>
      <c r="L75" s="471"/>
      <c r="M75" s="472"/>
      <c r="N75" s="472"/>
      <c r="O75" s="473"/>
      <c r="P75" s="473"/>
      <c r="Q75" s="473"/>
      <c r="R75" s="473"/>
      <c r="S75" s="483"/>
      <c r="T75" s="483"/>
      <c r="U75" s="483"/>
      <c r="V75" s="464"/>
    </row>
    <row r="76" spans="1:22" s="477" customFormat="1" ht="18" customHeight="1">
      <c r="A76" s="464">
        <v>73</v>
      </c>
      <c r="B76" s="465">
        <v>42881</v>
      </c>
      <c r="C76" s="466" t="s">
        <v>682</v>
      </c>
      <c r="D76" s="466" t="s">
        <v>677</v>
      </c>
      <c r="E76" s="466">
        <v>5386565</v>
      </c>
      <c r="F76" s="468">
        <v>2030</v>
      </c>
      <c r="G76" s="468">
        <f t="shared" si="9"/>
        <v>26390</v>
      </c>
      <c r="H76" s="469">
        <v>2.65</v>
      </c>
      <c r="I76" s="470">
        <f t="shared" si="10"/>
        <v>69933.5</v>
      </c>
      <c r="J76" s="494"/>
      <c r="K76" s="486"/>
      <c r="L76" s="471"/>
      <c r="M76" s="472"/>
      <c r="N76" s="472"/>
      <c r="O76" s="473"/>
      <c r="P76" s="473"/>
      <c r="Q76" s="473"/>
      <c r="R76" s="473"/>
      <c r="S76" s="483"/>
      <c r="T76" s="483"/>
      <c r="U76" s="483"/>
      <c r="V76" s="464"/>
    </row>
    <row r="77" spans="1:22" s="477" customFormat="1" ht="18" customHeight="1">
      <c r="A77" s="464">
        <v>74</v>
      </c>
      <c r="B77" s="465">
        <v>42881</v>
      </c>
      <c r="C77" s="466" t="s">
        <v>682</v>
      </c>
      <c r="D77" s="466" t="s">
        <v>678</v>
      </c>
      <c r="E77" s="466">
        <v>5386667</v>
      </c>
      <c r="F77" s="468">
        <v>2030</v>
      </c>
      <c r="G77" s="468">
        <f t="shared" si="9"/>
        <v>26390</v>
      </c>
      <c r="H77" s="469">
        <v>2.65</v>
      </c>
      <c r="I77" s="470">
        <f t="shared" si="10"/>
        <v>69933.5</v>
      </c>
      <c r="J77" s="494"/>
      <c r="K77" s="486"/>
      <c r="L77" s="471"/>
      <c r="M77" s="472"/>
      <c r="N77" s="472"/>
      <c r="O77" s="473"/>
      <c r="P77" s="473"/>
      <c r="Q77" s="473"/>
      <c r="R77" s="473"/>
      <c r="S77" s="478"/>
      <c r="T77" s="475"/>
      <c r="U77" s="476"/>
      <c r="V77" s="464"/>
    </row>
    <row r="78" spans="1:22" s="477" customFormat="1" ht="18" customHeight="1">
      <c r="A78" s="464">
        <v>75</v>
      </c>
      <c r="B78" s="465">
        <v>42881</v>
      </c>
      <c r="C78" s="466" t="s">
        <v>682</v>
      </c>
      <c r="D78" s="466" t="s">
        <v>679</v>
      </c>
      <c r="E78" s="466">
        <v>5386595</v>
      </c>
      <c r="F78" s="468">
        <v>2030</v>
      </c>
      <c r="G78" s="468">
        <f t="shared" si="9"/>
        <v>26390</v>
      </c>
      <c r="H78" s="469">
        <v>2.65</v>
      </c>
      <c r="I78" s="470">
        <f t="shared" si="10"/>
        <v>69933.5</v>
      </c>
      <c r="J78" s="494"/>
      <c r="K78" s="486"/>
      <c r="L78" s="471"/>
      <c r="M78" s="472"/>
      <c r="N78" s="472"/>
      <c r="O78" s="473"/>
      <c r="P78" s="473"/>
      <c r="Q78" s="473"/>
      <c r="R78" s="473"/>
      <c r="S78" s="478"/>
      <c r="T78" s="475"/>
      <c r="U78" s="476"/>
      <c r="V78" s="464" t="s">
        <v>756</v>
      </c>
    </row>
    <row r="79" spans="1:22" s="477" customFormat="1" ht="18.75" customHeight="1">
      <c r="A79" s="464">
        <v>76</v>
      </c>
      <c r="B79" s="465">
        <v>42881</v>
      </c>
      <c r="C79" s="466" t="s">
        <v>682</v>
      </c>
      <c r="D79" s="466" t="s">
        <v>680</v>
      </c>
      <c r="E79" s="466">
        <v>5386646</v>
      </c>
      <c r="F79" s="468">
        <v>2030</v>
      </c>
      <c r="G79" s="468">
        <f t="shared" si="9"/>
        <v>26390</v>
      </c>
      <c r="H79" s="469">
        <v>2.65</v>
      </c>
      <c r="I79" s="470">
        <f t="shared" si="10"/>
        <v>69933.5</v>
      </c>
      <c r="J79" s="494"/>
      <c r="K79" s="486"/>
      <c r="L79" s="471"/>
      <c r="M79" s="472"/>
      <c r="N79" s="472"/>
      <c r="O79" s="473"/>
      <c r="P79" s="473"/>
      <c r="Q79" s="473"/>
      <c r="R79" s="473"/>
      <c r="S79" s="478"/>
      <c r="T79" s="475"/>
      <c r="U79" s="476"/>
      <c r="V79" s="464"/>
    </row>
    <row r="80" spans="1:22" s="150" customFormat="1" ht="18.75" customHeight="1">
      <c r="A80" s="144">
        <v>77</v>
      </c>
      <c r="B80" s="409">
        <v>42881</v>
      </c>
      <c r="C80" s="243" t="s">
        <v>682</v>
      </c>
      <c r="D80" s="243" t="s">
        <v>681</v>
      </c>
      <c r="E80" s="243">
        <v>5373119</v>
      </c>
      <c r="F80" s="406">
        <v>2030</v>
      </c>
      <c r="G80" s="406">
        <f t="shared" si="9"/>
        <v>26390</v>
      </c>
      <c r="H80" s="408">
        <v>2.65</v>
      </c>
      <c r="I80" s="407">
        <f t="shared" si="10"/>
        <v>69933.5</v>
      </c>
      <c r="J80" s="495"/>
      <c r="K80" s="486"/>
      <c r="L80" s="308"/>
      <c r="M80" s="309"/>
      <c r="N80" s="309"/>
      <c r="O80" s="310"/>
      <c r="P80" s="310"/>
      <c r="Q80" s="310"/>
      <c r="R80" s="310"/>
      <c r="S80" s="253"/>
      <c r="T80" s="254"/>
      <c r="U80" s="255"/>
      <c r="V80" s="144"/>
    </row>
    <row r="81" spans="1:22" s="150" customFormat="1" ht="18" customHeight="1">
      <c r="A81" s="144">
        <v>78</v>
      </c>
      <c r="B81" s="405">
        <v>42882</v>
      </c>
      <c r="C81" s="243" t="s">
        <v>683</v>
      </c>
      <c r="D81" s="243" t="s">
        <v>684</v>
      </c>
      <c r="E81" s="243">
        <v>5378874</v>
      </c>
      <c r="F81" s="406">
        <v>2030</v>
      </c>
      <c r="G81" s="406">
        <f t="shared" ref="G81:G84" si="11">F81*13</f>
        <v>26390</v>
      </c>
      <c r="H81" s="408">
        <v>2.65</v>
      </c>
      <c r="I81" s="407">
        <f t="shared" ref="I81:I84" si="12">G81*H81</f>
        <v>69933.5</v>
      </c>
      <c r="J81" s="497">
        <f>SUM(I81:I84)</f>
        <v>279734</v>
      </c>
      <c r="K81" s="486"/>
      <c r="L81" s="308"/>
      <c r="M81" s="309"/>
      <c r="N81" s="309"/>
      <c r="O81" s="310"/>
      <c r="P81" s="310"/>
      <c r="Q81" s="310"/>
      <c r="R81" s="310"/>
      <c r="S81" s="61"/>
      <c r="T81" s="404"/>
      <c r="U81" s="255"/>
      <c r="V81" s="144"/>
    </row>
    <row r="82" spans="1:22" s="150" customFormat="1" ht="18" customHeight="1">
      <c r="A82" s="144">
        <v>79</v>
      </c>
      <c r="B82" s="409">
        <v>42882</v>
      </c>
      <c r="C82" s="243" t="s">
        <v>683</v>
      </c>
      <c r="D82" s="243" t="s">
        <v>685</v>
      </c>
      <c r="E82" s="243">
        <v>5386600</v>
      </c>
      <c r="F82" s="406">
        <v>2030</v>
      </c>
      <c r="G82" s="406">
        <f t="shared" si="11"/>
        <v>26390</v>
      </c>
      <c r="H82" s="408">
        <v>2.65</v>
      </c>
      <c r="I82" s="407">
        <f t="shared" si="12"/>
        <v>69933.5</v>
      </c>
      <c r="J82" s="497"/>
      <c r="K82" s="486"/>
      <c r="L82" s="308"/>
      <c r="M82" s="309"/>
      <c r="N82" s="309"/>
      <c r="O82" s="310"/>
      <c r="P82" s="310"/>
      <c r="Q82" s="310"/>
      <c r="R82" s="310"/>
      <c r="S82" s="404"/>
      <c r="T82" s="404"/>
      <c r="U82" s="404"/>
      <c r="V82" s="144"/>
    </row>
    <row r="83" spans="1:22" s="150" customFormat="1" ht="18" customHeight="1">
      <c r="A83" s="144">
        <v>80</v>
      </c>
      <c r="B83" s="409">
        <v>42882</v>
      </c>
      <c r="C83" s="243" t="s">
        <v>683</v>
      </c>
      <c r="D83" s="243" t="s">
        <v>686</v>
      </c>
      <c r="E83" s="243">
        <v>5378873</v>
      </c>
      <c r="F83" s="406">
        <v>2030</v>
      </c>
      <c r="G83" s="406">
        <f t="shared" si="11"/>
        <v>26390</v>
      </c>
      <c r="H83" s="408">
        <v>2.65</v>
      </c>
      <c r="I83" s="407">
        <f t="shared" si="12"/>
        <v>69933.5</v>
      </c>
      <c r="J83" s="497"/>
      <c r="K83" s="486"/>
      <c r="L83" s="308"/>
      <c r="M83" s="309"/>
      <c r="N83" s="309"/>
      <c r="O83" s="310"/>
      <c r="P83" s="310"/>
      <c r="Q83" s="310"/>
      <c r="R83" s="310"/>
      <c r="S83" s="404"/>
      <c r="T83" s="404"/>
      <c r="U83" s="404"/>
      <c r="V83" s="144"/>
    </row>
    <row r="84" spans="1:22" s="150" customFormat="1" ht="18" customHeight="1">
      <c r="A84" s="144">
        <v>81</v>
      </c>
      <c r="B84" s="409">
        <v>42882</v>
      </c>
      <c r="C84" s="243" t="s">
        <v>683</v>
      </c>
      <c r="D84" s="243" t="s">
        <v>687</v>
      </c>
      <c r="E84" s="243">
        <v>5386643</v>
      </c>
      <c r="F84" s="406">
        <v>2030</v>
      </c>
      <c r="G84" s="406">
        <f t="shared" si="11"/>
        <v>26390</v>
      </c>
      <c r="H84" s="408">
        <v>2.65</v>
      </c>
      <c r="I84" s="407">
        <f t="shared" si="12"/>
        <v>69933.5</v>
      </c>
      <c r="J84" s="497"/>
      <c r="K84" s="487"/>
      <c r="L84" s="308"/>
      <c r="M84" s="309"/>
      <c r="N84" s="309"/>
      <c r="O84" s="310"/>
      <c r="P84" s="310"/>
      <c r="Q84" s="310"/>
      <c r="R84" s="310"/>
      <c r="S84" s="404"/>
      <c r="T84" s="404"/>
      <c r="U84" s="404"/>
      <c r="V84" s="144"/>
    </row>
    <row r="85" spans="1:22" s="150" customFormat="1" ht="18" customHeight="1">
      <c r="A85" s="144">
        <v>82</v>
      </c>
      <c r="B85" s="405">
        <v>42888</v>
      </c>
      <c r="C85" s="243" t="s">
        <v>743</v>
      </c>
      <c r="D85" s="245" t="s">
        <v>746</v>
      </c>
      <c r="E85" s="243">
        <v>5363166</v>
      </c>
      <c r="F85" s="410">
        <v>2030</v>
      </c>
      <c r="G85" s="410">
        <f t="shared" ref="G85:G88" si="13">F85*13</f>
        <v>26390</v>
      </c>
      <c r="H85" s="411">
        <v>2.65</v>
      </c>
      <c r="I85" s="403">
        <f t="shared" ref="I85:I92" si="14">G85*H85</f>
        <v>69933.5</v>
      </c>
      <c r="J85" s="497">
        <f>SUM(I85:I88)</f>
        <v>279734</v>
      </c>
      <c r="K85" s="485">
        <f>10*51000000</f>
        <v>510000000</v>
      </c>
      <c r="L85" s="308"/>
      <c r="M85" s="309"/>
      <c r="N85" s="309"/>
      <c r="O85" s="310"/>
      <c r="P85" s="310"/>
      <c r="Q85" s="310"/>
      <c r="R85" s="310"/>
      <c r="S85" s="404"/>
      <c r="T85" s="404"/>
      <c r="U85" s="404"/>
      <c r="V85" s="144"/>
    </row>
    <row r="86" spans="1:22" s="150" customFormat="1" ht="18" customHeight="1">
      <c r="A86" s="144">
        <v>83</v>
      </c>
      <c r="B86" s="412">
        <v>42888</v>
      </c>
      <c r="C86" s="243" t="s">
        <v>743</v>
      </c>
      <c r="D86" s="243" t="s">
        <v>744</v>
      </c>
      <c r="E86" s="243">
        <v>5363177</v>
      </c>
      <c r="F86" s="410">
        <v>2030</v>
      </c>
      <c r="G86" s="410">
        <f t="shared" si="13"/>
        <v>26390</v>
      </c>
      <c r="H86" s="411">
        <v>2.65</v>
      </c>
      <c r="I86" s="403">
        <f t="shared" si="14"/>
        <v>69933.5</v>
      </c>
      <c r="J86" s="497"/>
      <c r="K86" s="486"/>
      <c r="L86" s="308"/>
      <c r="M86" s="309"/>
      <c r="N86" s="309"/>
      <c r="O86" s="310"/>
      <c r="P86" s="310"/>
      <c r="Q86" s="310"/>
      <c r="R86" s="310"/>
      <c r="S86" s="404"/>
      <c r="T86" s="404"/>
      <c r="U86" s="404"/>
      <c r="V86" s="144"/>
    </row>
    <row r="87" spans="1:22" s="150" customFormat="1" ht="18" customHeight="1">
      <c r="A87" s="144">
        <v>84</v>
      </c>
      <c r="B87" s="412">
        <v>42888</v>
      </c>
      <c r="C87" s="243" t="s">
        <v>743</v>
      </c>
      <c r="D87" s="243" t="s">
        <v>745</v>
      </c>
      <c r="E87" s="243">
        <v>5366060</v>
      </c>
      <c r="F87" s="410">
        <v>2030</v>
      </c>
      <c r="G87" s="410">
        <f t="shared" si="13"/>
        <v>26390</v>
      </c>
      <c r="H87" s="411">
        <v>2.65</v>
      </c>
      <c r="I87" s="403">
        <f t="shared" si="14"/>
        <v>69933.5</v>
      </c>
      <c r="J87" s="497"/>
      <c r="K87" s="486"/>
      <c r="L87" s="308"/>
      <c r="M87" s="309"/>
      <c r="N87" s="309"/>
      <c r="O87" s="310"/>
      <c r="P87" s="310"/>
      <c r="Q87" s="310"/>
      <c r="R87" s="310"/>
      <c r="S87" s="404"/>
      <c r="T87" s="404"/>
      <c r="U87" s="404"/>
      <c r="V87" s="144"/>
    </row>
    <row r="88" spans="1:22" s="150" customFormat="1" ht="18" customHeight="1">
      <c r="A88" s="144">
        <v>85</v>
      </c>
      <c r="B88" s="412">
        <v>42888</v>
      </c>
      <c r="C88" s="243" t="s">
        <v>743</v>
      </c>
      <c r="D88" s="243" t="s">
        <v>747</v>
      </c>
      <c r="E88" s="243">
        <v>5389586</v>
      </c>
      <c r="F88" s="410">
        <v>2030</v>
      </c>
      <c r="G88" s="410">
        <f t="shared" si="13"/>
        <v>26390</v>
      </c>
      <c r="H88" s="411">
        <v>2.65</v>
      </c>
      <c r="I88" s="403">
        <f t="shared" si="14"/>
        <v>69933.5</v>
      </c>
      <c r="J88" s="497"/>
      <c r="K88" s="486"/>
      <c r="L88" s="308"/>
      <c r="M88" s="309"/>
      <c r="N88" s="309"/>
      <c r="O88" s="310"/>
      <c r="P88" s="310"/>
      <c r="Q88" s="310"/>
      <c r="R88" s="310"/>
      <c r="S88" s="404"/>
      <c r="T88" s="404"/>
      <c r="U88" s="404"/>
      <c r="V88" s="144"/>
    </row>
    <row r="89" spans="1:22" s="150" customFormat="1" ht="18" customHeight="1">
      <c r="A89" s="144">
        <v>86</v>
      </c>
      <c r="B89" s="405">
        <v>42895</v>
      </c>
      <c r="C89" s="243"/>
      <c r="D89" s="243"/>
      <c r="E89" s="243"/>
      <c r="F89" s="451">
        <v>2030</v>
      </c>
      <c r="G89" s="402">
        <f t="shared" si="3"/>
        <v>26390</v>
      </c>
      <c r="H89" s="452">
        <v>2.65</v>
      </c>
      <c r="I89" s="403">
        <f t="shared" si="14"/>
        <v>69933.5</v>
      </c>
      <c r="J89" s="497">
        <f>SUM(I89:I92)</f>
        <v>279734</v>
      </c>
      <c r="K89" s="486"/>
      <c r="L89" s="308"/>
      <c r="M89" s="309"/>
      <c r="N89" s="309"/>
      <c r="O89" s="310"/>
      <c r="P89" s="310"/>
      <c r="Q89" s="310"/>
      <c r="R89" s="310"/>
      <c r="S89" s="253"/>
      <c r="T89" s="254"/>
      <c r="U89" s="255"/>
      <c r="V89" s="144"/>
    </row>
    <row r="90" spans="1:22" s="150" customFormat="1" ht="18" customHeight="1">
      <c r="A90" s="144">
        <v>87</v>
      </c>
      <c r="B90" s="453">
        <v>42895</v>
      </c>
      <c r="C90" s="243"/>
      <c r="D90" s="243"/>
      <c r="E90" s="243"/>
      <c r="F90" s="451">
        <v>2030</v>
      </c>
      <c r="G90" s="402">
        <f t="shared" si="3"/>
        <v>26390</v>
      </c>
      <c r="H90" s="452">
        <v>2.65</v>
      </c>
      <c r="I90" s="403">
        <f t="shared" si="14"/>
        <v>69933.5</v>
      </c>
      <c r="J90" s="497"/>
      <c r="K90" s="486"/>
      <c r="L90" s="308"/>
      <c r="M90" s="309"/>
      <c r="N90" s="309"/>
      <c r="O90" s="310"/>
      <c r="P90" s="310"/>
      <c r="Q90" s="310"/>
      <c r="R90" s="310"/>
      <c r="S90" s="253"/>
      <c r="T90" s="254"/>
      <c r="U90" s="255"/>
      <c r="V90" s="144"/>
    </row>
    <row r="91" spans="1:22" s="150" customFormat="1" ht="18.75" customHeight="1">
      <c r="A91" s="144">
        <v>88</v>
      </c>
      <c r="B91" s="453">
        <v>42895</v>
      </c>
      <c r="C91" s="243"/>
      <c r="D91" s="243"/>
      <c r="E91" s="243"/>
      <c r="F91" s="451">
        <v>2030</v>
      </c>
      <c r="G91" s="402">
        <f t="shared" ref="G91:G92" si="15">F91*13</f>
        <v>26390</v>
      </c>
      <c r="H91" s="452">
        <v>2.65</v>
      </c>
      <c r="I91" s="403">
        <f t="shared" si="14"/>
        <v>69933.5</v>
      </c>
      <c r="J91" s="497"/>
      <c r="K91" s="486"/>
      <c r="L91" s="308"/>
      <c r="M91" s="309"/>
      <c r="N91" s="309"/>
      <c r="O91" s="310"/>
      <c r="P91" s="310"/>
      <c r="Q91" s="310"/>
      <c r="R91" s="310"/>
      <c r="S91" s="253"/>
      <c r="T91" s="254"/>
      <c r="U91" s="255"/>
      <c r="V91" s="144"/>
    </row>
    <row r="92" spans="1:22" s="150" customFormat="1" ht="18.75" customHeight="1">
      <c r="A92" s="144">
        <v>89</v>
      </c>
      <c r="B92" s="453">
        <v>42895</v>
      </c>
      <c r="C92" s="243"/>
      <c r="D92" s="243"/>
      <c r="E92" s="243"/>
      <c r="F92" s="451">
        <v>2030</v>
      </c>
      <c r="G92" s="402">
        <f t="shared" si="15"/>
        <v>26390</v>
      </c>
      <c r="H92" s="452">
        <v>2.65</v>
      </c>
      <c r="I92" s="403">
        <f t="shared" si="14"/>
        <v>69933.5</v>
      </c>
      <c r="J92" s="497"/>
      <c r="K92" s="486"/>
      <c r="L92" s="308"/>
      <c r="M92" s="309"/>
      <c r="N92" s="309"/>
      <c r="O92" s="310"/>
      <c r="P92" s="310"/>
      <c r="Q92" s="310"/>
      <c r="R92" s="310"/>
      <c r="S92" s="253"/>
      <c r="T92" s="254"/>
      <c r="U92" s="255"/>
      <c r="V92" s="144"/>
    </row>
    <row r="93" spans="1:22" s="150" customFormat="1" ht="18" customHeight="1">
      <c r="A93" s="144">
        <v>90</v>
      </c>
      <c r="B93" s="300">
        <v>42902</v>
      </c>
      <c r="C93" s="243"/>
      <c r="D93" s="243"/>
      <c r="E93" s="243"/>
      <c r="F93" s="451">
        <v>2030</v>
      </c>
      <c r="G93" s="316">
        <f t="shared" ref="G93:G104" si="16">F93*13</f>
        <v>26390</v>
      </c>
      <c r="H93" s="299">
        <v>2.75</v>
      </c>
      <c r="I93" s="320">
        <f t="shared" si="7"/>
        <v>72572.5</v>
      </c>
      <c r="J93" s="493">
        <f>SUM(I93:I94)</f>
        <v>145145</v>
      </c>
      <c r="K93" s="486"/>
      <c r="L93" s="308"/>
      <c r="M93" s="309"/>
      <c r="N93" s="309"/>
      <c r="O93" s="310"/>
      <c r="P93" s="310"/>
      <c r="Q93" s="310"/>
      <c r="R93" s="310"/>
      <c r="S93" s="61"/>
      <c r="T93" s="298"/>
      <c r="U93" s="255"/>
      <c r="V93" s="144"/>
    </row>
    <row r="94" spans="1:22" s="150" customFormat="1" ht="18" customHeight="1">
      <c r="A94" s="144">
        <v>91</v>
      </c>
      <c r="B94" s="453">
        <v>42902</v>
      </c>
      <c r="C94" s="243"/>
      <c r="D94" s="243"/>
      <c r="E94" s="243"/>
      <c r="F94" s="451">
        <v>2030</v>
      </c>
      <c r="G94" s="316">
        <f t="shared" si="16"/>
        <v>26390</v>
      </c>
      <c r="H94" s="452">
        <v>2.75</v>
      </c>
      <c r="I94" s="320">
        <f t="shared" si="7"/>
        <v>72572.5</v>
      </c>
      <c r="J94" s="495"/>
      <c r="K94" s="487"/>
      <c r="L94" s="308"/>
      <c r="M94" s="309"/>
      <c r="N94" s="309"/>
      <c r="O94" s="310"/>
      <c r="P94" s="310"/>
      <c r="Q94" s="310"/>
      <c r="R94" s="310"/>
      <c r="S94" s="298"/>
      <c r="T94" s="298"/>
      <c r="U94" s="298"/>
      <c r="V94" s="144"/>
    </row>
    <row r="95" spans="1:22" s="150" customFormat="1" ht="18" customHeight="1">
      <c r="A95" s="144">
        <v>92</v>
      </c>
      <c r="B95" s="300"/>
      <c r="C95" s="243"/>
      <c r="D95" s="243"/>
      <c r="E95" s="243"/>
      <c r="F95" s="298"/>
      <c r="G95" s="316">
        <f t="shared" si="16"/>
        <v>0</v>
      </c>
      <c r="H95" s="299"/>
      <c r="I95" s="320">
        <f t="shared" si="7"/>
        <v>0</v>
      </c>
      <c r="J95" s="309"/>
      <c r="K95" s="310"/>
      <c r="L95" s="308"/>
      <c r="M95" s="309"/>
      <c r="N95" s="309"/>
      <c r="O95" s="310"/>
      <c r="P95" s="310"/>
      <c r="Q95" s="310"/>
      <c r="R95" s="310"/>
      <c r="S95" s="298"/>
      <c r="T95" s="298"/>
      <c r="U95" s="298"/>
      <c r="V95" s="144"/>
    </row>
    <row r="96" spans="1:22" s="150" customFormat="1" ht="18" customHeight="1">
      <c r="A96" s="144">
        <v>93</v>
      </c>
      <c r="B96" s="300"/>
      <c r="C96" s="243"/>
      <c r="D96" s="243"/>
      <c r="E96" s="243"/>
      <c r="F96" s="298"/>
      <c r="G96" s="316">
        <f t="shared" si="16"/>
        <v>0</v>
      </c>
      <c r="H96" s="299"/>
      <c r="I96" s="320">
        <f t="shared" si="7"/>
        <v>0</v>
      </c>
      <c r="J96" s="309"/>
      <c r="K96" s="310"/>
      <c r="L96" s="308"/>
      <c r="M96" s="309"/>
      <c r="N96" s="309"/>
      <c r="O96" s="310"/>
      <c r="P96" s="310"/>
      <c r="Q96" s="310"/>
      <c r="R96" s="310"/>
      <c r="S96" s="298"/>
      <c r="T96" s="298"/>
      <c r="U96" s="298"/>
      <c r="V96" s="144"/>
    </row>
    <row r="97" spans="1:22" s="150" customFormat="1" ht="18" customHeight="1">
      <c r="A97" s="144">
        <v>94</v>
      </c>
      <c r="B97" s="300"/>
      <c r="C97" s="243"/>
      <c r="D97" s="243"/>
      <c r="E97" s="243"/>
      <c r="F97" s="298"/>
      <c r="G97" s="316">
        <f t="shared" si="16"/>
        <v>0</v>
      </c>
      <c r="H97" s="299"/>
      <c r="I97" s="320">
        <f t="shared" si="7"/>
        <v>0</v>
      </c>
      <c r="J97" s="309"/>
      <c r="K97" s="310"/>
      <c r="L97" s="308"/>
      <c r="M97" s="309"/>
      <c r="N97" s="309"/>
      <c r="O97" s="310"/>
      <c r="P97" s="310"/>
      <c r="Q97" s="310"/>
      <c r="R97" s="310"/>
      <c r="S97" s="298"/>
      <c r="T97" s="298"/>
      <c r="U97" s="298"/>
      <c r="V97" s="144"/>
    </row>
    <row r="98" spans="1:22" s="150" customFormat="1" ht="18" customHeight="1">
      <c r="A98" s="144">
        <v>95</v>
      </c>
      <c r="B98" s="300"/>
      <c r="C98" s="243"/>
      <c r="D98" s="243"/>
      <c r="E98" s="243"/>
      <c r="F98" s="298"/>
      <c r="G98" s="316">
        <f t="shared" si="16"/>
        <v>0</v>
      </c>
      <c r="H98" s="299"/>
      <c r="I98" s="320">
        <f t="shared" si="7"/>
        <v>0</v>
      </c>
      <c r="J98" s="309"/>
      <c r="K98" s="310"/>
      <c r="L98" s="308"/>
      <c r="M98" s="309"/>
      <c r="N98" s="309"/>
      <c r="O98" s="310"/>
      <c r="P98" s="310"/>
      <c r="Q98" s="310"/>
      <c r="R98" s="310"/>
      <c r="S98" s="298"/>
      <c r="T98" s="298"/>
      <c r="U98" s="298"/>
      <c r="V98" s="144"/>
    </row>
    <row r="99" spans="1:22" s="150" customFormat="1" ht="18" customHeight="1">
      <c r="A99" s="144">
        <v>96</v>
      </c>
      <c r="B99" s="300"/>
      <c r="C99" s="243"/>
      <c r="D99" s="243"/>
      <c r="E99" s="243"/>
      <c r="F99" s="298"/>
      <c r="G99" s="316">
        <f t="shared" si="16"/>
        <v>0</v>
      </c>
      <c r="H99" s="299"/>
      <c r="I99" s="320">
        <f t="shared" si="7"/>
        <v>0</v>
      </c>
      <c r="J99" s="309"/>
      <c r="K99" s="310"/>
      <c r="L99" s="308"/>
      <c r="M99" s="309"/>
      <c r="N99" s="309"/>
      <c r="O99" s="310"/>
      <c r="P99" s="310"/>
      <c r="Q99" s="310"/>
      <c r="R99" s="310"/>
      <c r="S99" s="298"/>
      <c r="T99" s="298"/>
      <c r="U99" s="298"/>
      <c r="V99" s="144"/>
    </row>
    <row r="100" spans="1:22" s="150" customFormat="1" ht="18" customHeight="1">
      <c r="A100" s="144">
        <v>97</v>
      </c>
      <c r="B100" s="300"/>
      <c r="C100" s="243"/>
      <c r="D100" s="243"/>
      <c r="E100" s="243"/>
      <c r="F100" s="298"/>
      <c r="G100" s="316">
        <f t="shared" si="16"/>
        <v>0</v>
      </c>
      <c r="H100" s="299"/>
      <c r="I100" s="320">
        <f t="shared" si="7"/>
        <v>0</v>
      </c>
      <c r="J100" s="309"/>
      <c r="K100" s="310"/>
      <c r="L100" s="308"/>
      <c r="M100" s="309"/>
      <c r="N100" s="309"/>
      <c r="O100" s="310"/>
      <c r="P100" s="310"/>
      <c r="Q100" s="310"/>
      <c r="R100" s="310"/>
      <c r="S100" s="298"/>
      <c r="T100" s="298"/>
      <c r="U100" s="298"/>
      <c r="V100" s="144"/>
    </row>
    <row r="101" spans="1:22" s="150" customFormat="1" ht="18" customHeight="1">
      <c r="A101" s="144">
        <v>98</v>
      </c>
      <c r="B101" s="300"/>
      <c r="C101" s="243"/>
      <c r="D101" s="243"/>
      <c r="E101" s="243"/>
      <c r="F101" s="298"/>
      <c r="G101" s="316">
        <f t="shared" si="16"/>
        <v>0</v>
      </c>
      <c r="H101" s="299"/>
      <c r="I101" s="320">
        <f t="shared" si="7"/>
        <v>0</v>
      </c>
      <c r="J101" s="309"/>
      <c r="K101" s="310"/>
      <c r="L101" s="308"/>
      <c r="M101" s="309"/>
      <c r="N101" s="309"/>
      <c r="O101" s="310"/>
      <c r="P101" s="310"/>
      <c r="Q101" s="310"/>
      <c r="R101" s="310"/>
      <c r="S101" s="253"/>
      <c r="T101" s="254"/>
      <c r="U101" s="255"/>
      <c r="V101" s="144"/>
    </row>
    <row r="102" spans="1:22" s="150" customFormat="1" ht="18" customHeight="1">
      <c r="A102" s="144">
        <v>99</v>
      </c>
      <c r="B102" s="300"/>
      <c r="C102" s="243"/>
      <c r="D102" s="243"/>
      <c r="E102" s="243"/>
      <c r="F102" s="298"/>
      <c r="G102" s="316">
        <f t="shared" si="16"/>
        <v>0</v>
      </c>
      <c r="H102" s="299"/>
      <c r="I102" s="320">
        <f t="shared" si="7"/>
        <v>0</v>
      </c>
      <c r="J102" s="309"/>
      <c r="K102" s="310"/>
      <c r="L102" s="308"/>
      <c r="M102" s="309"/>
      <c r="N102" s="309"/>
      <c r="O102" s="310"/>
      <c r="P102" s="310"/>
      <c r="Q102" s="310"/>
      <c r="R102" s="310"/>
      <c r="S102" s="253"/>
      <c r="T102" s="254"/>
      <c r="U102" s="255"/>
      <c r="V102" s="144"/>
    </row>
    <row r="103" spans="1:22" s="150" customFormat="1" ht="18.75" customHeight="1">
      <c r="A103" s="144">
        <v>100</v>
      </c>
      <c r="B103" s="300"/>
      <c r="C103" s="243"/>
      <c r="D103" s="243"/>
      <c r="E103" s="243"/>
      <c r="F103" s="298"/>
      <c r="G103" s="316">
        <f t="shared" si="16"/>
        <v>0</v>
      </c>
      <c r="H103" s="299"/>
      <c r="I103" s="320">
        <f t="shared" si="7"/>
        <v>0</v>
      </c>
      <c r="J103" s="309"/>
      <c r="K103" s="310"/>
      <c r="L103" s="308"/>
      <c r="M103" s="309"/>
      <c r="N103" s="309"/>
      <c r="O103" s="310"/>
      <c r="P103" s="310"/>
      <c r="Q103" s="310"/>
      <c r="R103" s="310"/>
      <c r="S103" s="253"/>
      <c r="T103" s="254"/>
      <c r="U103" s="255"/>
      <c r="V103" s="144"/>
    </row>
    <row r="104" spans="1:22" s="150" customFormat="1" ht="18.75" customHeight="1">
      <c r="A104" s="144">
        <v>101</v>
      </c>
      <c r="B104" s="300"/>
      <c r="C104" s="243"/>
      <c r="D104" s="243"/>
      <c r="E104" s="243"/>
      <c r="F104" s="298"/>
      <c r="G104" s="316">
        <f t="shared" si="16"/>
        <v>0</v>
      </c>
      <c r="H104" s="299"/>
      <c r="I104" s="320">
        <f t="shared" si="7"/>
        <v>0</v>
      </c>
      <c r="J104" s="309"/>
      <c r="K104" s="310"/>
      <c r="L104" s="308"/>
      <c r="M104" s="309"/>
      <c r="N104" s="309"/>
      <c r="O104" s="310"/>
      <c r="P104" s="310"/>
      <c r="Q104" s="310"/>
      <c r="R104" s="310"/>
      <c r="S104" s="253"/>
      <c r="T104" s="254"/>
      <c r="U104" s="255"/>
      <c r="V104" s="144"/>
    </row>
    <row r="105" spans="1:22" s="150" customFormat="1" ht="18.75" customHeight="1">
      <c r="A105" s="249"/>
      <c r="B105" s="296"/>
      <c r="C105" s="148"/>
      <c r="D105" s="148"/>
      <c r="E105" s="148"/>
      <c r="F105" s="293"/>
      <c r="G105" s="315"/>
      <c r="H105" s="291"/>
      <c r="I105" s="291"/>
      <c r="J105" s="291"/>
      <c r="K105" s="312"/>
      <c r="L105" s="311"/>
      <c r="M105" s="311"/>
      <c r="N105" s="312"/>
      <c r="O105" s="312"/>
      <c r="P105" s="312"/>
      <c r="Q105" s="312"/>
      <c r="R105" s="312"/>
      <c r="S105" s="291"/>
      <c r="T105" s="291"/>
      <c r="U105" s="291"/>
      <c r="V105" s="249"/>
    </row>
    <row r="106" spans="1:22" s="305" customFormat="1" ht="18.75" customHeight="1">
      <c r="A106" s="498" t="s">
        <v>19</v>
      </c>
      <c r="B106" s="499"/>
      <c r="C106" s="499"/>
      <c r="D106" s="499"/>
      <c r="E106" s="500"/>
      <c r="F106" s="261">
        <f>SUM(F4:F105)</f>
        <v>184547</v>
      </c>
      <c r="G106" s="261"/>
      <c r="H106" s="262"/>
      <c r="I106" s="262"/>
      <c r="J106" s="262">
        <f>SUM(J4:J105)</f>
        <v>6462748.7000000002</v>
      </c>
      <c r="K106" s="261">
        <f>SUM(K4:K105)</f>
        <v>4682622660</v>
      </c>
      <c r="L106" s="262"/>
      <c r="M106" s="262">
        <f>SUM(M4:M105)</f>
        <v>323</v>
      </c>
      <c r="N106" s="262">
        <f>SUM(N4:N105)</f>
        <v>3380073.7</v>
      </c>
      <c r="O106" s="262"/>
      <c r="P106" s="261">
        <f>SUM(P4:P105)</f>
        <v>66439017738</v>
      </c>
      <c r="Q106" s="261">
        <f>SUM(Q4:Q105)</f>
        <v>17215141</v>
      </c>
      <c r="R106" s="261">
        <f>SUM(R4:R105)</f>
        <v>64915802597</v>
      </c>
      <c r="S106" s="261"/>
      <c r="T106" s="261">
        <f>SUM(T4:T105)</f>
        <v>117755155</v>
      </c>
      <c r="U106" s="261">
        <f>SUM(U4:U105)</f>
        <v>61827981300</v>
      </c>
      <c r="V106" s="262"/>
    </row>
    <row r="107" spans="1:22" ht="18.75" customHeight="1">
      <c r="B107" s="162" t="s">
        <v>303</v>
      </c>
    </row>
    <row r="108" spans="1:22" s="237" customFormat="1" ht="18.75" customHeight="1">
      <c r="K108" s="301">
        <f>R106-T106-U106-K106-500000000</f>
        <v>-2212556518</v>
      </c>
      <c r="P108" s="502" t="s">
        <v>463</v>
      </c>
      <c r="Q108" s="502"/>
      <c r="R108" s="502"/>
      <c r="S108" s="259"/>
      <c r="T108" s="259"/>
      <c r="U108" s="259"/>
      <c r="V108" s="301"/>
    </row>
    <row r="109" spans="1:22" ht="18.75" customHeight="1">
      <c r="K109" s="259"/>
      <c r="S109" s="306"/>
      <c r="T109" s="306"/>
      <c r="U109" s="306"/>
      <c r="V109" s="259"/>
    </row>
    <row r="110" spans="1:22" ht="18" customHeight="1">
      <c r="V110" s="307"/>
    </row>
    <row r="111" spans="1:22" ht="18" customHeight="1">
      <c r="V111" s="307"/>
    </row>
  </sheetData>
  <mergeCells count="97">
    <mergeCell ref="Q21:Q26"/>
    <mergeCell ref="R21:R26"/>
    <mergeCell ref="K37:K44"/>
    <mergeCell ref="L27:L32"/>
    <mergeCell ref="M27:M32"/>
    <mergeCell ref="N27:N32"/>
    <mergeCell ref="O27:O32"/>
    <mergeCell ref="L21:L26"/>
    <mergeCell ref="M21:M26"/>
    <mergeCell ref="N21:N26"/>
    <mergeCell ref="O21:O26"/>
    <mergeCell ref="P21:P26"/>
    <mergeCell ref="Q33:Q36"/>
    <mergeCell ref="R33:R36"/>
    <mergeCell ref="L37:L39"/>
    <mergeCell ref="M37:M39"/>
    <mergeCell ref="P27:P32"/>
    <mergeCell ref="Q27:Q32"/>
    <mergeCell ref="R27:R32"/>
    <mergeCell ref="M33:M36"/>
    <mergeCell ref="N33:N36"/>
    <mergeCell ref="O33:O36"/>
    <mergeCell ref="P33:P36"/>
    <mergeCell ref="N37:N39"/>
    <mergeCell ref="O37:O39"/>
    <mergeCell ref="P37:P39"/>
    <mergeCell ref="Q37:Q39"/>
    <mergeCell ref="R37:R39"/>
    <mergeCell ref="A106:E106"/>
    <mergeCell ref="J37:J44"/>
    <mergeCell ref="J45:J50"/>
    <mergeCell ref="K33:K36"/>
    <mergeCell ref="L33:L36"/>
    <mergeCell ref="J51:J56"/>
    <mergeCell ref="J57:J62"/>
    <mergeCell ref="J63:J68"/>
    <mergeCell ref="J69:J74"/>
    <mergeCell ref="K57:K62"/>
    <mergeCell ref="K45:K56"/>
    <mergeCell ref="J75:J80"/>
    <mergeCell ref="J81:J84"/>
    <mergeCell ref="J85:J88"/>
    <mergeCell ref="L40:L44"/>
    <mergeCell ref="K63:K84"/>
    <mergeCell ref="L15:L20"/>
    <mergeCell ref="M15:M20"/>
    <mergeCell ref="N15:N20"/>
    <mergeCell ref="J27:J32"/>
    <mergeCell ref="L10:L14"/>
    <mergeCell ref="S2:U2"/>
    <mergeCell ref="V2:V3"/>
    <mergeCell ref="K2:K3"/>
    <mergeCell ref="R10:R14"/>
    <mergeCell ref="R15:R20"/>
    <mergeCell ref="O15:O20"/>
    <mergeCell ref="P15:P20"/>
    <mergeCell ref="N4:N9"/>
    <mergeCell ref="Q4:Q9"/>
    <mergeCell ref="O4:O9"/>
    <mergeCell ref="P4:P9"/>
    <mergeCell ref="M10:M14"/>
    <mergeCell ref="N10:N14"/>
    <mergeCell ref="O10:O14"/>
    <mergeCell ref="P10:P14"/>
    <mergeCell ref="Q10:Q14"/>
    <mergeCell ref="P108:R108"/>
    <mergeCell ref="J4:J9"/>
    <mergeCell ref="A2:A3"/>
    <mergeCell ref="B2:B3"/>
    <mergeCell ref="C2:E2"/>
    <mergeCell ref="F2:J2"/>
    <mergeCell ref="L2:R2"/>
    <mergeCell ref="J10:J14"/>
    <mergeCell ref="J15:J20"/>
    <mergeCell ref="J21:J26"/>
    <mergeCell ref="L4:L9"/>
    <mergeCell ref="M4:M9"/>
    <mergeCell ref="K4:K32"/>
    <mergeCell ref="R4:R9"/>
    <mergeCell ref="J33:J36"/>
    <mergeCell ref="Q15:Q20"/>
    <mergeCell ref="J89:J92"/>
    <mergeCell ref="J93:J94"/>
    <mergeCell ref="R40:R44"/>
    <mergeCell ref="M40:M44"/>
    <mergeCell ref="N40:N44"/>
    <mergeCell ref="O40:O44"/>
    <mergeCell ref="P40:P44"/>
    <mergeCell ref="Q40:Q44"/>
    <mergeCell ref="K85:K94"/>
    <mergeCell ref="L45:L50"/>
    <mergeCell ref="M45:M50"/>
    <mergeCell ref="N45:N50"/>
    <mergeCell ref="O45:O50"/>
    <mergeCell ref="P45:P50"/>
    <mergeCell ref="Q45:Q50"/>
    <mergeCell ref="R45:R50"/>
  </mergeCells>
  <pageMargins left="0.16" right="0.16" top="0.11" bottom="0.16" header="0.3" footer="0.3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86"/>
  <sheetViews>
    <sheetView tabSelected="1" topLeftCell="A160" zoomScale="90" zoomScaleNormal="90" workbookViewId="0">
      <selection activeCell="F179" sqref="F179"/>
    </sheetView>
  </sheetViews>
  <sheetFormatPr defaultColWidth="9.140625" defaultRowHeight="15"/>
  <cols>
    <col min="1" max="1" width="38.5703125" style="335" customWidth="1"/>
    <col min="2" max="2" width="11.140625" style="340" customWidth="1"/>
    <col min="3" max="3" width="8.140625" style="341" customWidth="1"/>
    <col min="4" max="4" width="15.5703125" style="341" customWidth="1"/>
    <col min="5" max="5" width="14.42578125" style="335" customWidth="1"/>
    <col min="6" max="6" width="14" style="334" customWidth="1"/>
    <col min="7" max="7" width="1" style="334" customWidth="1"/>
    <col min="8" max="8" width="8.85546875" style="334" customWidth="1"/>
    <col min="9" max="9" width="8.5703125" style="334" customWidth="1"/>
    <col min="10" max="10" width="22.140625" style="334" customWidth="1"/>
    <col min="11" max="11" width="6" style="334" customWidth="1"/>
    <col min="12" max="12" width="5.42578125" style="334" customWidth="1"/>
    <col min="13" max="13" width="7.28515625" style="334" customWidth="1"/>
    <col min="14" max="15" width="8.5703125" style="335" customWidth="1"/>
    <col min="16" max="16" width="11.42578125" style="335" customWidth="1"/>
    <col min="17" max="16384" width="9.140625" style="335"/>
  </cols>
  <sheetData>
    <row r="1" spans="1:13" ht="31.5" customHeight="1">
      <c r="A1" s="330" t="s">
        <v>21</v>
      </c>
      <c r="B1" s="331" t="s">
        <v>50</v>
      </c>
      <c r="C1" s="332" t="s">
        <v>51</v>
      </c>
      <c r="D1" s="332" t="s">
        <v>9</v>
      </c>
      <c r="E1" s="333" t="s">
        <v>117</v>
      </c>
      <c r="F1" s="332" t="s">
        <v>52</v>
      </c>
      <c r="G1" s="361"/>
    </row>
    <row r="2" spans="1:13">
      <c r="A2" s="253" t="s">
        <v>509</v>
      </c>
      <c r="B2" s="309">
        <v>418934.45</v>
      </c>
      <c r="C2" s="255">
        <v>22610</v>
      </c>
      <c r="D2" s="255">
        <f>B2*C2</f>
        <v>9472107914.5</v>
      </c>
      <c r="E2" s="336"/>
      <c r="F2" s="255"/>
      <c r="G2" s="362"/>
    </row>
    <row r="3" spans="1:13">
      <c r="A3" s="253" t="s">
        <v>123</v>
      </c>
      <c r="B3" s="310"/>
      <c r="C3" s="255"/>
      <c r="D3" s="255"/>
      <c r="E3" s="254">
        <v>2506900</v>
      </c>
      <c r="F3" s="255"/>
      <c r="G3" s="362"/>
    </row>
    <row r="4" spans="1:13">
      <c r="A4" s="253" t="s">
        <v>510</v>
      </c>
      <c r="B4" s="310"/>
      <c r="C4" s="255"/>
      <c r="D4" s="255"/>
      <c r="E4" s="254"/>
      <c r="F4" s="255">
        <f>29*51000000</f>
        <v>1479000000</v>
      </c>
      <c r="G4" s="362"/>
    </row>
    <row r="5" spans="1:13">
      <c r="A5" s="253" t="s">
        <v>511</v>
      </c>
      <c r="B5" s="310"/>
      <c r="C5" s="255"/>
      <c r="D5" s="255"/>
      <c r="E5" s="254"/>
      <c r="F5" s="255">
        <f>9000000*3</f>
        <v>27000000</v>
      </c>
      <c r="G5" s="362"/>
    </row>
    <row r="6" spans="1:13">
      <c r="A6" s="253" t="s">
        <v>394</v>
      </c>
      <c r="B6" s="337"/>
      <c r="C6" s="255"/>
      <c r="D6" s="255">
        <f>B6*C6</f>
        <v>0</v>
      </c>
      <c r="E6" s="254">
        <v>1100000</v>
      </c>
      <c r="F6" s="255">
        <v>2848697800</v>
      </c>
      <c r="G6" s="362"/>
    </row>
    <row r="7" spans="1:13">
      <c r="A7" s="329" t="s">
        <v>401</v>
      </c>
      <c r="B7" s="338"/>
      <c r="C7" s="258"/>
      <c r="D7" s="258"/>
      <c r="E7" s="254">
        <v>1100000</v>
      </c>
      <c r="F7" s="258">
        <v>1444430000</v>
      </c>
      <c r="G7" s="362"/>
    </row>
    <row r="8" spans="1:13">
      <c r="A8" s="329" t="s">
        <v>55</v>
      </c>
      <c r="B8" s="338"/>
      <c r="C8" s="258"/>
      <c r="D8" s="258"/>
      <c r="E8" s="254">
        <v>1100000</v>
      </c>
      <c r="F8" s="258">
        <v>2246630000</v>
      </c>
      <c r="G8" s="362"/>
    </row>
    <row r="9" spans="1:13">
      <c r="A9" s="256" t="s">
        <v>152</v>
      </c>
      <c r="B9" s="338"/>
      <c r="C9" s="258"/>
      <c r="D9" s="258"/>
      <c r="E9" s="254">
        <v>1100000</v>
      </c>
      <c r="F9" s="255">
        <v>1419444000</v>
      </c>
      <c r="G9" s="362"/>
    </row>
    <row r="10" spans="1:13">
      <c r="A10" s="329"/>
      <c r="B10" s="338"/>
      <c r="C10" s="258"/>
      <c r="D10" s="258"/>
      <c r="E10" s="260"/>
      <c r="F10" s="258"/>
      <c r="G10" s="362"/>
    </row>
    <row r="11" spans="1:13" ht="6" customHeight="1">
      <c r="A11" s="329"/>
      <c r="B11" s="338"/>
      <c r="C11" s="258"/>
      <c r="D11" s="258"/>
      <c r="E11" s="339"/>
      <c r="F11" s="258"/>
      <c r="G11" s="362"/>
    </row>
    <row r="12" spans="1:13" s="393" customFormat="1" ht="12.75">
      <c r="A12" s="387" t="s">
        <v>57</v>
      </c>
      <c r="B12" s="388"/>
      <c r="C12" s="389"/>
      <c r="D12" s="389">
        <f>SUM(D2:D11)</f>
        <v>9472107914.5</v>
      </c>
      <c r="E12" s="390">
        <f>SUM(E2:E11)</f>
        <v>6906900</v>
      </c>
      <c r="F12" s="389">
        <f>SUM(F2:F11)</f>
        <v>9465201800</v>
      </c>
      <c r="G12" s="391"/>
      <c r="H12" s="392"/>
      <c r="I12" s="392"/>
      <c r="J12" s="392"/>
      <c r="K12" s="392"/>
      <c r="L12" s="392"/>
      <c r="M12" s="392"/>
    </row>
    <row r="13" spans="1:13">
      <c r="F13" s="342">
        <f>D12-E12-F12</f>
        <v>-785.5</v>
      </c>
      <c r="G13" s="342"/>
    </row>
    <row r="15" spans="1:13" ht="31.5" customHeight="1">
      <c r="A15" s="330" t="s">
        <v>21</v>
      </c>
      <c r="B15" s="331" t="s">
        <v>50</v>
      </c>
      <c r="C15" s="332" t="s">
        <v>51</v>
      </c>
      <c r="D15" s="332" t="s">
        <v>9</v>
      </c>
      <c r="E15" s="333" t="s">
        <v>117</v>
      </c>
      <c r="F15" s="332" t="s">
        <v>52</v>
      </c>
      <c r="G15" s="361"/>
    </row>
    <row r="16" spans="1:13">
      <c r="A16" s="253" t="s">
        <v>545</v>
      </c>
      <c r="B16" s="309">
        <v>348138.05</v>
      </c>
      <c r="C16" s="255">
        <v>22630</v>
      </c>
      <c r="D16" s="255">
        <f>B16*C16</f>
        <v>7878364071.5</v>
      </c>
      <c r="E16" s="336"/>
      <c r="F16" s="255"/>
      <c r="G16" s="362"/>
    </row>
    <row r="17" spans="1:13">
      <c r="A17" s="329" t="s">
        <v>55</v>
      </c>
      <c r="B17" s="337"/>
      <c r="C17" s="255"/>
      <c r="D17" s="255">
        <f>B17*C17</f>
        <v>0</v>
      </c>
      <c r="E17" s="254">
        <v>1100000</v>
      </c>
      <c r="F17" s="255">
        <v>2306462000</v>
      </c>
      <c r="G17" s="362"/>
    </row>
    <row r="18" spans="1:13">
      <c r="A18" s="256" t="s">
        <v>152</v>
      </c>
      <c r="B18" s="338"/>
      <c r="C18" s="258"/>
      <c r="D18" s="258"/>
      <c r="E18" s="254">
        <v>1100000</v>
      </c>
      <c r="F18" s="258">
        <v>1419444000</v>
      </c>
      <c r="G18" s="362"/>
    </row>
    <row r="19" spans="1:13">
      <c r="A19" s="329" t="s">
        <v>131</v>
      </c>
      <c r="B19" s="338"/>
      <c r="C19" s="258"/>
      <c r="D19" s="258"/>
      <c r="E19" s="254">
        <v>1100000</v>
      </c>
      <c r="F19" s="258">
        <v>1143740000</v>
      </c>
      <c r="G19" s="362"/>
    </row>
    <row r="20" spans="1:13">
      <c r="A20" s="256" t="s">
        <v>397</v>
      </c>
      <c r="B20" s="338"/>
      <c r="C20" s="258"/>
      <c r="D20" s="258"/>
      <c r="E20" s="254">
        <v>1100000</v>
      </c>
      <c r="F20" s="255">
        <v>1653600000</v>
      </c>
      <c r="G20" s="362"/>
    </row>
    <row r="21" spans="1:13">
      <c r="A21" s="253" t="s">
        <v>394</v>
      </c>
      <c r="B21" s="338"/>
      <c r="C21" s="258"/>
      <c r="D21" s="258"/>
      <c r="E21" s="254">
        <v>1100000</v>
      </c>
      <c r="F21" s="255">
        <v>1349618000</v>
      </c>
      <c r="G21" s="362"/>
    </row>
    <row r="22" spans="1:13">
      <c r="A22" s="329"/>
      <c r="B22" s="338"/>
      <c r="C22" s="258"/>
      <c r="D22" s="258"/>
      <c r="E22" s="260"/>
      <c r="F22" s="258"/>
      <c r="G22" s="362"/>
    </row>
    <row r="23" spans="1:13" ht="6" customHeight="1">
      <c r="A23" s="329"/>
      <c r="B23" s="338"/>
      <c r="C23" s="258"/>
      <c r="D23" s="258"/>
      <c r="E23" s="339"/>
      <c r="F23" s="258"/>
      <c r="G23" s="362"/>
    </row>
    <row r="24" spans="1:13" s="393" customFormat="1" ht="12.75">
      <c r="A24" s="387" t="s">
        <v>57</v>
      </c>
      <c r="B24" s="388"/>
      <c r="C24" s="389"/>
      <c r="D24" s="389">
        <f>SUM(D16:D23)</f>
        <v>7878364071.5</v>
      </c>
      <c r="E24" s="390">
        <f>SUM(E16:E23)</f>
        <v>5500000</v>
      </c>
      <c r="F24" s="389">
        <f>SUM(F16:F23)</f>
        <v>7872864000</v>
      </c>
      <c r="G24" s="391"/>
      <c r="H24" s="392"/>
      <c r="I24" s="392"/>
      <c r="J24" s="392"/>
      <c r="K24" s="392"/>
      <c r="L24" s="392"/>
      <c r="M24" s="392"/>
    </row>
    <row r="26" spans="1:13">
      <c r="F26" s="342">
        <f>D24-E24-F24</f>
        <v>71.5</v>
      </c>
      <c r="G26" s="342"/>
    </row>
    <row r="28" spans="1:13" ht="31.5" customHeight="1">
      <c r="A28" s="330" t="s">
        <v>21</v>
      </c>
      <c r="B28" s="331" t="s">
        <v>50</v>
      </c>
      <c r="C28" s="332" t="s">
        <v>51</v>
      </c>
      <c r="D28" s="332" t="s">
        <v>9</v>
      </c>
      <c r="E28" s="333" t="s">
        <v>117</v>
      </c>
      <c r="F28" s="332" t="s">
        <v>52</v>
      </c>
      <c r="G28" s="361"/>
    </row>
    <row r="29" spans="1:13">
      <c r="A29" s="253" t="s">
        <v>556</v>
      </c>
      <c r="B29" s="309">
        <v>449673.6</v>
      </c>
      <c r="C29" s="255">
        <v>22630</v>
      </c>
      <c r="D29" s="255">
        <f>B29*C29</f>
        <v>10176113568</v>
      </c>
      <c r="E29" s="336"/>
      <c r="F29" s="255"/>
      <c r="G29" s="362"/>
    </row>
    <row r="30" spans="1:13">
      <c r="A30" s="253" t="s">
        <v>123</v>
      </c>
      <c r="B30" s="310"/>
      <c r="C30" s="255"/>
      <c r="D30" s="255"/>
      <c r="E30" s="254">
        <v>2506900</v>
      </c>
      <c r="F30" s="255"/>
      <c r="G30" s="362"/>
    </row>
    <row r="31" spans="1:13">
      <c r="A31" s="253" t="s">
        <v>558</v>
      </c>
      <c r="B31" s="310"/>
      <c r="C31" s="255"/>
      <c r="D31" s="255"/>
      <c r="E31" s="254"/>
      <c r="F31" s="255">
        <f>4*51000000</f>
        <v>204000000</v>
      </c>
      <c r="G31" s="362"/>
    </row>
    <row r="32" spans="1:13">
      <c r="A32" s="256" t="s">
        <v>152</v>
      </c>
      <c r="B32" s="338"/>
      <c r="C32" s="258"/>
      <c r="D32" s="258"/>
      <c r="E32" s="254">
        <v>1100000</v>
      </c>
      <c r="F32" s="258">
        <v>2186691000</v>
      </c>
      <c r="G32" s="362"/>
    </row>
    <row r="33" spans="1:16">
      <c r="A33" s="256" t="s">
        <v>397</v>
      </c>
      <c r="B33" s="338"/>
      <c r="C33" s="258"/>
      <c r="D33" s="258"/>
      <c r="E33" s="254">
        <v>1100000</v>
      </c>
      <c r="F33" s="255">
        <v>2797340000</v>
      </c>
      <c r="G33" s="362"/>
    </row>
    <row r="34" spans="1:16">
      <c r="A34" s="253" t="s">
        <v>394</v>
      </c>
      <c r="B34" s="338"/>
      <c r="C34" s="258"/>
      <c r="D34" s="258"/>
      <c r="E34" s="254">
        <v>1100000</v>
      </c>
      <c r="F34" s="255">
        <f>5186275000-204000000</f>
        <v>4982275000</v>
      </c>
      <c r="G34" s="362"/>
    </row>
    <row r="35" spans="1:16">
      <c r="A35" s="329"/>
      <c r="B35" s="338"/>
      <c r="C35" s="258"/>
      <c r="D35" s="258"/>
      <c r="E35" s="260"/>
      <c r="F35" s="258"/>
      <c r="G35" s="362"/>
    </row>
    <row r="36" spans="1:16" ht="6" customHeight="1">
      <c r="A36" s="329"/>
      <c r="B36" s="338"/>
      <c r="C36" s="258"/>
      <c r="D36" s="258"/>
      <c r="E36" s="339"/>
      <c r="F36" s="258"/>
      <c r="G36" s="362"/>
    </row>
    <row r="37" spans="1:16" s="393" customFormat="1" ht="12.75">
      <c r="A37" s="387" t="s">
        <v>57</v>
      </c>
      <c r="B37" s="388"/>
      <c r="C37" s="389"/>
      <c r="D37" s="389">
        <f>SUM(D29:D36)</f>
        <v>10176113568</v>
      </c>
      <c r="E37" s="390">
        <f>SUM(E29:E36)</f>
        <v>5806900</v>
      </c>
      <c r="F37" s="389">
        <f>SUM(F29:F36)</f>
        <v>10170306000</v>
      </c>
      <c r="G37" s="391"/>
      <c r="H37" s="392"/>
      <c r="I37" s="392"/>
      <c r="J37" s="392"/>
      <c r="K37" s="392"/>
      <c r="L37" s="392"/>
      <c r="M37" s="392"/>
    </row>
    <row r="40" spans="1:16">
      <c r="F40" s="342">
        <f>D37-E37-F37</f>
        <v>668</v>
      </c>
      <c r="G40" s="342"/>
    </row>
    <row r="43" spans="1:16">
      <c r="H43" s="363" t="s">
        <v>29</v>
      </c>
      <c r="I43" s="364"/>
      <c r="J43" s="365"/>
      <c r="K43" s="364"/>
      <c r="L43" s="364"/>
      <c r="M43" s="364"/>
      <c r="N43" s="364"/>
      <c r="O43" s="364"/>
      <c r="P43" s="364"/>
    </row>
    <row r="44" spans="1:16" ht="38.25" customHeight="1">
      <c r="A44" s="330" t="s">
        <v>21</v>
      </c>
      <c r="B44" s="331" t="s">
        <v>50</v>
      </c>
      <c r="C44" s="332" t="s">
        <v>51</v>
      </c>
      <c r="D44" s="332" t="s">
        <v>9</v>
      </c>
      <c r="E44" s="333" t="s">
        <v>117</v>
      </c>
      <c r="F44" s="332" t="s">
        <v>52</v>
      </c>
      <c r="H44" s="330" t="s">
        <v>30</v>
      </c>
      <c r="I44" s="330" t="s">
        <v>31</v>
      </c>
      <c r="J44" s="330" t="s">
        <v>103</v>
      </c>
      <c r="K44" s="330" t="s">
        <v>32</v>
      </c>
      <c r="L44" s="330" t="s">
        <v>584</v>
      </c>
      <c r="M44" s="330" t="s">
        <v>83</v>
      </c>
      <c r="N44" s="331" t="s">
        <v>33</v>
      </c>
      <c r="O44" s="332" t="s">
        <v>106</v>
      </c>
      <c r="P44" s="332" t="s">
        <v>9</v>
      </c>
    </row>
    <row r="45" spans="1:16">
      <c r="A45" s="253" t="s">
        <v>560</v>
      </c>
      <c r="B45" s="309">
        <v>286055.59999999998</v>
      </c>
      <c r="C45" s="255">
        <v>22630</v>
      </c>
      <c r="D45" s="255">
        <f>B45*C45</f>
        <v>6473438227.999999</v>
      </c>
      <c r="E45" s="336"/>
      <c r="F45" s="255"/>
      <c r="H45" s="366">
        <v>42817</v>
      </c>
      <c r="I45" s="366">
        <v>42817</v>
      </c>
      <c r="J45" s="367" t="s">
        <v>563</v>
      </c>
      <c r="K45" s="367">
        <f t="shared" ref="K45:K58" si="0">IF(I45&lt;&gt;"",I45-H45+1,"")</f>
        <v>1</v>
      </c>
      <c r="L45" s="367" t="str">
        <f>IF(AND(K45&lt;&gt;"",K45&gt;2),K45-2,"")</f>
        <v/>
      </c>
      <c r="M45" s="359">
        <v>2021</v>
      </c>
      <c r="N45" s="360">
        <f>M45*13</f>
        <v>26273</v>
      </c>
      <c r="O45" s="368">
        <f t="shared" ref="O45:O58" si="1">IF(AND(K45&lt;&gt;"",K45&gt;3),20000,0)</f>
        <v>0</v>
      </c>
      <c r="P45" s="368" t="str">
        <f>IF(AND(K45&lt;&gt;"",K45&gt;3),O45*N45*L45/1000,"")</f>
        <v/>
      </c>
    </row>
    <row r="46" spans="1:16">
      <c r="A46" s="253" t="s">
        <v>123</v>
      </c>
      <c r="B46" s="310"/>
      <c r="C46" s="255"/>
      <c r="D46" s="255"/>
      <c r="E46" s="254">
        <v>2504700</v>
      </c>
      <c r="F46" s="255"/>
      <c r="H46" s="366">
        <v>42817</v>
      </c>
      <c r="I46" s="366">
        <v>42817</v>
      </c>
      <c r="J46" s="367" t="s">
        <v>564</v>
      </c>
      <c r="K46" s="367">
        <f t="shared" si="0"/>
        <v>1</v>
      </c>
      <c r="L46" s="367" t="str">
        <f t="shared" ref="L46:L58" si="2">IF(AND(K46&lt;&gt;"",K46&gt;2),K46-2,"")</f>
        <v/>
      </c>
      <c r="M46" s="359">
        <v>2022</v>
      </c>
      <c r="N46" s="360">
        <f>M46*13</f>
        <v>26286</v>
      </c>
      <c r="O46" s="368">
        <f t="shared" si="1"/>
        <v>0</v>
      </c>
      <c r="P46" s="368" t="str">
        <f t="shared" ref="P46:P58" si="3">IF(AND(K46&lt;&gt;"",K46&gt;3),O46*N46*L46/1000,"")</f>
        <v/>
      </c>
    </row>
    <row r="47" spans="1:16">
      <c r="A47" s="253" t="s">
        <v>561</v>
      </c>
      <c r="B47" s="310"/>
      <c r="C47" s="255"/>
      <c r="D47" s="255"/>
      <c r="E47" s="254"/>
      <c r="F47" s="255">
        <f>8*51000000</f>
        <v>408000000</v>
      </c>
      <c r="H47" s="366">
        <v>42828</v>
      </c>
      <c r="I47" s="366">
        <v>42828</v>
      </c>
      <c r="J47" s="367" t="s">
        <v>565</v>
      </c>
      <c r="K47" s="367">
        <f t="shared" si="0"/>
        <v>1</v>
      </c>
      <c r="L47" s="367" t="str">
        <f t="shared" si="2"/>
        <v/>
      </c>
      <c r="M47" s="359">
        <v>2030</v>
      </c>
      <c r="N47" s="360">
        <f t="shared" ref="N47:N55" si="4">M47*13</f>
        <v>26390</v>
      </c>
      <c r="O47" s="368">
        <f t="shared" si="1"/>
        <v>0</v>
      </c>
      <c r="P47" s="368" t="str">
        <f t="shared" si="3"/>
        <v/>
      </c>
    </row>
    <row r="48" spans="1:16">
      <c r="A48" s="253" t="s">
        <v>391</v>
      </c>
      <c r="B48" s="310"/>
      <c r="C48" s="255"/>
      <c r="D48" s="255"/>
      <c r="E48" s="254"/>
      <c r="F48" s="255">
        <f>P60</f>
        <v>22167600</v>
      </c>
      <c r="H48" s="366">
        <v>42838</v>
      </c>
      <c r="I48" s="366">
        <v>42838</v>
      </c>
      <c r="J48" s="367" t="s">
        <v>566</v>
      </c>
      <c r="K48" s="367">
        <f t="shared" si="0"/>
        <v>1</v>
      </c>
      <c r="L48" s="367" t="str">
        <f t="shared" si="2"/>
        <v/>
      </c>
      <c r="M48" s="359">
        <v>2030</v>
      </c>
      <c r="N48" s="360">
        <f t="shared" si="4"/>
        <v>26390</v>
      </c>
      <c r="O48" s="368">
        <f t="shared" si="1"/>
        <v>0</v>
      </c>
      <c r="P48" s="368" t="str">
        <f t="shared" si="3"/>
        <v/>
      </c>
    </row>
    <row r="49" spans="1:16">
      <c r="A49" s="256" t="s">
        <v>397</v>
      </c>
      <c r="B49" s="338"/>
      <c r="C49" s="258"/>
      <c r="D49" s="258"/>
      <c r="E49" s="254">
        <v>1231230</v>
      </c>
      <c r="F49" s="255">
        <v>1399125000</v>
      </c>
      <c r="H49" s="366">
        <v>42838</v>
      </c>
      <c r="I49" s="366">
        <v>42838</v>
      </c>
      <c r="J49" s="367" t="s">
        <v>567</v>
      </c>
      <c r="K49" s="367">
        <f t="shared" si="0"/>
        <v>1</v>
      </c>
      <c r="L49" s="367" t="str">
        <f t="shared" si="2"/>
        <v/>
      </c>
      <c r="M49" s="359">
        <v>2030</v>
      </c>
      <c r="N49" s="360">
        <f t="shared" si="4"/>
        <v>26390</v>
      </c>
      <c r="O49" s="368">
        <f t="shared" si="1"/>
        <v>0</v>
      </c>
      <c r="P49" s="368" t="str">
        <f t="shared" si="3"/>
        <v/>
      </c>
    </row>
    <row r="50" spans="1:16">
      <c r="A50" s="253" t="s">
        <v>394</v>
      </c>
      <c r="B50" s="338"/>
      <c r="C50" s="258"/>
      <c r="D50" s="258"/>
      <c r="E50" s="254">
        <v>376750</v>
      </c>
      <c r="F50" s="255">
        <v>662146000</v>
      </c>
      <c r="H50" s="366">
        <v>42838</v>
      </c>
      <c r="I50" s="366">
        <v>42838</v>
      </c>
      <c r="J50" s="367" t="s">
        <v>568</v>
      </c>
      <c r="K50" s="367">
        <f t="shared" si="0"/>
        <v>1</v>
      </c>
      <c r="L50" s="367" t="str">
        <f t="shared" si="2"/>
        <v/>
      </c>
      <c r="M50" s="359">
        <v>2030</v>
      </c>
      <c r="N50" s="360">
        <f t="shared" si="4"/>
        <v>26390</v>
      </c>
      <c r="O50" s="368">
        <f t="shared" si="1"/>
        <v>0</v>
      </c>
      <c r="P50" s="368" t="str">
        <f t="shared" si="3"/>
        <v/>
      </c>
    </row>
    <row r="51" spans="1:16">
      <c r="A51" s="329" t="s">
        <v>583</v>
      </c>
      <c r="B51" s="338"/>
      <c r="C51" s="258"/>
      <c r="D51" s="258"/>
      <c r="E51" s="254">
        <v>1100000</v>
      </c>
      <c r="F51" s="258">
        <v>3975000000</v>
      </c>
      <c r="H51" s="366">
        <v>42838</v>
      </c>
      <c r="I51" s="366">
        <v>42838</v>
      </c>
      <c r="J51" s="367" t="s">
        <v>569</v>
      </c>
      <c r="K51" s="367">
        <f t="shared" si="0"/>
        <v>1</v>
      </c>
      <c r="L51" s="367" t="str">
        <f t="shared" si="2"/>
        <v/>
      </c>
      <c r="M51" s="359">
        <v>2030</v>
      </c>
      <c r="N51" s="360">
        <f t="shared" si="4"/>
        <v>26390</v>
      </c>
      <c r="O51" s="368">
        <f t="shared" si="1"/>
        <v>0</v>
      </c>
      <c r="P51" s="368" t="str">
        <f t="shared" si="3"/>
        <v/>
      </c>
    </row>
    <row r="52" spans="1:16">
      <c r="A52" s="329"/>
      <c r="B52" s="338"/>
      <c r="C52" s="258"/>
      <c r="D52" s="258"/>
      <c r="E52" s="339"/>
      <c r="F52" s="258"/>
      <c r="H52" s="366">
        <v>42839</v>
      </c>
      <c r="I52" s="366">
        <v>42845</v>
      </c>
      <c r="J52" s="367" t="s">
        <v>570</v>
      </c>
      <c r="K52" s="367">
        <f t="shared" si="0"/>
        <v>7</v>
      </c>
      <c r="L52" s="367">
        <f t="shared" si="2"/>
        <v>5</v>
      </c>
      <c r="M52" s="359">
        <v>2030</v>
      </c>
      <c r="N52" s="360">
        <f t="shared" si="4"/>
        <v>26390</v>
      </c>
      <c r="O52" s="368">
        <f t="shared" si="1"/>
        <v>20000</v>
      </c>
      <c r="P52" s="368">
        <f t="shared" si="3"/>
        <v>2639000</v>
      </c>
    </row>
    <row r="53" spans="1:16">
      <c r="A53" s="387" t="s">
        <v>57</v>
      </c>
      <c r="B53" s="388"/>
      <c r="C53" s="389"/>
      <c r="D53" s="389">
        <f>SUM(D45:D52)</f>
        <v>6473438227.999999</v>
      </c>
      <c r="E53" s="390">
        <f>SUM(E45:E52)</f>
        <v>5212680</v>
      </c>
      <c r="F53" s="389">
        <f>SUM(F45:F52)</f>
        <v>6466438600</v>
      </c>
      <c r="H53" s="366">
        <v>42839</v>
      </c>
      <c r="I53" s="366">
        <v>42845</v>
      </c>
      <c r="J53" s="367" t="s">
        <v>571</v>
      </c>
      <c r="K53" s="367">
        <f t="shared" si="0"/>
        <v>7</v>
      </c>
      <c r="L53" s="367">
        <f t="shared" si="2"/>
        <v>5</v>
      </c>
      <c r="M53" s="359">
        <v>2030</v>
      </c>
      <c r="N53" s="360">
        <f t="shared" si="4"/>
        <v>26390</v>
      </c>
      <c r="O53" s="368">
        <f t="shared" si="1"/>
        <v>20000</v>
      </c>
      <c r="P53" s="368">
        <f t="shared" si="3"/>
        <v>2639000</v>
      </c>
    </row>
    <row r="54" spans="1:16">
      <c r="H54" s="366">
        <v>42840</v>
      </c>
      <c r="I54" s="366">
        <v>42845</v>
      </c>
      <c r="J54" s="367" t="s">
        <v>572</v>
      </c>
      <c r="K54" s="367">
        <f t="shared" si="0"/>
        <v>6</v>
      </c>
      <c r="L54" s="367">
        <f t="shared" si="2"/>
        <v>4</v>
      </c>
      <c r="M54" s="359">
        <v>2030</v>
      </c>
      <c r="N54" s="360">
        <f t="shared" si="4"/>
        <v>26390</v>
      </c>
      <c r="O54" s="368">
        <f t="shared" si="1"/>
        <v>20000</v>
      </c>
      <c r="P54" s="368">
        <f t="shared" si="3"/>
        <v>2111200</v>
      </c>
    </row>
    <row r="55" spans="1:16">
      <c r="H55" s="366">
        <v>42841</v>
      </c>
      <c r="I55" s="366">
        <v>42846</v>
      </c>
      <c r="J55" s="367" t="s">
        <v>573</v>
      </c>
      <c r="K55" s="367">
        <f t="shared" si="0"/>
        <v>6</v>
      </c>
      <c r="L55" s="367">
        <f t="shared" si="2"/>
        <v>4</v>
      </c>
      <c r="M55" s="359">
        <v>2030</v>
      </c>
      <c r="N55" s="360">
        <f t="shared" si="4"/>
        <v>26390</v>
      </c>
      <c r="O55" s="368">
        <f t="shared" si="1"/>
        <v>20000</v>
      </c>
      <c r="P55" s="368">
        <f t="shared" si="3"/>
        <v>2111200</v>
      </c>
    </row>
    <row r="56" spans="1:16">
      <c r="F56" s="342">
        <f>D53-E53-F53</f>
        <v>1786947.9999990463</v>
      </c>
      <c r="H56" s="366">
        <v>42842</v>
      </c>
      <c r="I56" s="366">
        <v>42846</v>
      </c>
      <c r="J56" s="367" t="s">
        <v>582</v>
      </c>
      <c r="K56" s="367">
        <f t="shared" si="0"/>
        <v>5</v>
      </c>
      <c r="L56" s="367">
        <f t="shared" si="2"/>
        <v>3</v>
      </c>
      <c r="M56" s="359">
        <v>2030</v>
      </c>
      <c r="N56" s="360">
        <f>M56*13</f>
        <v>26390</v>
      </c>
      <c r="O56" s="368">
        <f t="shared" si="1"/>
        <v>20000</v>
      </c>
      <c r="P56" s="368">
        <f t="shared" si="3"/>
        <v>1583400</v>
      </c>
    </row>
    <row r="57" spans="1:16">
      <c r="D57" s="385"/>
      <c r="H57" s="366">
        <v>42845</v>
      </c>
      <c r="I57" s="366">
        <v>42859</v>
      </c>
      <c r="J57" s="367" t="s">
        <v>575</v>
      </c>
      <c r="K57" s="367">
        <f t="shared" si="0"/>
        <v>15</v>
      </c>
      <c r="L57" s="367">
        <f t="shared" si="2"/>
        <v>13</v>
      </c>
      <c r="M57" s="359">
        <v>2030</v>
      </c>
      <c r="N57" s="360">
        <f>M57*13</f>
        <v>26390</v>
      </c>
      <c r="O57" s="368">
        <f t="shared" si="1"/>
        <v>20000</v>
      </c>
      <c r="P57" s="368">
        <f t="shared" si="3"/>
        <v>6861400</v>
      </c>
    </row>
    <row r="58" spans="1:16">
      <c r="D58" s="386"/>
      <c r="H58" s="366">
        <v>42850</v>
      </c>
      <c r="I58" s="366">
        <v>42859</v>
      </c>
      <c r="J58" s="367" t="s">
        <v>574</v>
      </c>
      <c r="K58" s="367">
        <f t="shared" si="0"/>
        <v>10</v>
      </c>
      <c r="L58" s="367">
        <f t="shared" si="2"/>
        <v>8</v>
      </c>
      <c r="M58" s="359">
        <v>2030</v>
      </c>
      <c r="N58" s="360">
        <f>M58*13</f>
        <v>26390</v>
      </c>
      <c r="O58" s="368">
        <f t="shared" si="1"/>
        <v>20000</v>
      </c>
      <c r="P58" s="368">
        <f t="shared" si="3"/>
        <v>4222400</v>
      </c>
    </row>
    <row r="59" spans="1:16">
      <c r="H59" s="369"/>
      <c r="I59" s="369"/>
      <c r="J59" s="370"/>
      <c r="K59" s="370"/>
      <c r="L59" s="370"/>
      <c r="M59" s="372"/>
      <c r="N59" s="372"/>
      <c r="O59" s="371"/>
      <c r="P59" s="371"/>
    </row>
    <row r="60" spans="1:16">
      <c r="H60" s="373"/>
      <c r="I60" s="373"/>
      <c r="J60" s="373" t="s">
        <v>48</v>
      </c>
      <c r="K60" s="373"/>
      <c r="L60" s="373"/>
      <c r="M60" s="374">
        <f>SUM(M45:M59)</f>
        <v>28403</v>
      </c>
      <c r="N60" s="374">
        <f>SUM(N45:N59)</f>
        <v>369239</v>
      </c>
      <c r="O60" s="374"/>
      <c r="P60" s="375">
        <f>SUM(P45:P59)</f>
        <v>22167600</v>
      </c>
    </row>
    <row r="62" spans="1:16">
      <c r="H62" s="363" t="s">
        <v>29</v>
      </c>
      <c r="I62" s="364"/>
      <c r="J62" s="365"/>
      <c r="K62" s="364"/>
      <c r="L62" s="364"/>
      <c r="M62" s="364"/>
      <c r="N62" s="364"/>
      <c r="O62" s="364"/>
      <c r="P62" s="364"/>
    </row>
    <row r="63" spans="1:16" ht="60" customHeight="1">
      <c r="A63" s="330" t="s">
        <v>21</v>
      </c>
      <c r="B63" s="331" t="s">
        <v>50</v>
      </c>
      <c r="C63" s="332" t="s">
        <v>51</v>
      </c>
      <c r="D63" s="332" t="s">
        <v>9</v>
      </c>
      <c r="E63" s="333" t="s">
        <v>117</v>
      </c>
      <c r="F63" s="332" t="s">
        <v>52</v>
      </c>
      <c r="H63" s="330" t="s">
        <v>30</v>
      </c>
      <c r="I63" s="330" t="s">
        <v>31</v>
      </c>
      <c r="J63" s="330" t="s">
        <v>103</v>
      </c>
      <c r="K63" s="330" t="s">
        <v>32</v>
      </c>
      <c r="L63" s="330" t="s">
        <v>584</v>
      </c>
      <c r="M63" s="330" t="s">
        <v>83</v>
      </c>
      <c r="N63" s="331" t="s">
        <v>33</v>
      </c>
      <c r="O63" s="332" t="s">
        <v>106</v>
      </c>
      <c r="P63" s="332" t="s">
        <v>9</v>
      </c>
    </row>
    <row r="64" spans="1:16">
      <c r="A64" s="253" t="s">
        <v>596</v>
      </c>
      <c r="B64" s="309">
        <v>444923.4</v>
      </c>
      <c r="C64" s="255">
        <v>22600</v>
      </c>
      <c r="D64" s="255">
        <f>B64*C64</f>
        <v>10055268840</v>
      </c>
      <c r="E64" s="336"/>
      <c r="F64" s="255"/>
      <c r="H64" s="366">
        <v>42857</v>
      </c>
      <c r="I64" s="366">
        <v>42868</v>
      </c>
      <c r="J64" s="367" t="s">
        <v>576</v>
      </c>
      <c r="K64" s="367">
        <f t="shared" ref="K64:K70" si="5">IF(I64&lt;&gt;"",I64-H64+1,"")</f>
        <v>12</v>
      </c>
      <c r="L64" s="367">
        <f t="shared" ref="L64:L70" si="6">IF(AND(K64&lt;&gt;"",K64&gt;2),K64-2,"")</f>
        <v>10</v>
      </c>
      <c r="M64" s="359">
        <v>1000</v>
      </c>
      <c r="N64" s="360">
        <f t="shared" ref="N64:N70" si="7">M64*13</f>
        <v>13000</v>
      </c>
      <c r="O64" s="368">
        <f t="shared" ref="O64:O79" si="8">IF(AND(K64&lt;&gt;"",K64&gt;2),20000,0)</f>
        <v>20000</v>
      </c>
      <c r="P64" s="368">
        <f t="shared" ref="P64:P79" si="9">IF(AND(K64&lt;&gt;"",K64&gt;2),O64*N64*L64/1000,"")</f>
        <v>2600000</v>
      </c>
    </row>
    <row r="65" spans="1:16">
      <c r="A65" s="253" t="s">
        <v>123</v>
      </c>
      <c r="B65" s="310"/>
      <c r="C65" s="255"/>
      <c r="D65" s="255"/>
      <c r="E65" s="254">
        <v>2504700</v>
      </c>
      <c r="F65" s="255"/>
      <c r="H65" s="366">
        <v>42857</v>
      </c>
      <c r="I65" s="366">
        <v>42868</v>
      </c>
      <c r="J65" s="367" t="s">
        <v>577</v>
      </c>
      <c r="K65" s="367">
        <f t="shared" si="5"/>
        <v>12</v>
      </c>
      <c r="L65" s="367">
        <f t="shared" si="6"/>
        <v>10</v>
      </c>
      <c r="M65" s="359">
        <v>773</v>
      </c>
      <c r="N65" s="360">
        <f t="shared" si="7"/>
        <v>10049</v>
      </c>
      <c r="O65" s="368">
        <f t="shared" si="8"/>
        <v>20000</v>
      </c>
      <c r="P65" s="368">
        <f t="shared" si="9"/>
        <v>2009800</v>
      </c>
    </row>
    <row r="66" spans="1:16">
      <c r="A66" s="253" t="s">
        <v>595</v>
      </c>
      <c r="B66" s="310"/>
      <c r="C66" s="255"/>
      <c r="D66" s="255">
        <f>F56</f>
        <v>1786947.9999990463</v>
      </c>
      <c r="E66" s="254"/>
      <c r="F66" s="255"/>
      <c r="H66" s="366">
        <v>42857</v>
      </c>
      <c r="I66" s="366">
        <v>42868</v>
      </c>
      <c r="J66" s="367" t="s">
        <v>91</v>
      </c>
      <c r="K66" s="367">
        <f t="shared" si="5"/>
        <v>12</v>
      </c>
      <c r="L66" s="367">
        <f t="shared" si="6"/>
        <v>10</v>
      </c>
      <c r="M66" s="359">
        <v>500</v>
      </c>
      <c r="N66" s="360">
        <f t="shared" si="7"/>
        <v>6500</v>
      </c>
      <c r="O66" s="368">
        <f t="shared" si="8"/>
        <v>20000</v>
      </c>
      <c r="P66" s="368">
        <f t="shared" si="9"/>
        <v>1300000</v>
      </c>
    </row>
    <row r="67" spans="1:16">
      <c r="A67" s="253" t="s">
        <v>606</v>
      </c>
      <c r="B67" s="310"/>
      <c r="C67" s="255"/>
      <c r="D67" s="255"/>
      <c r="E67" s="254"/>
      <c r="F67" s="255">
        <f>12*51000000</f>
        <v>612000000</v>
      </c>
      <c r="H67" s="366">
        <v>42857</v>
      </c>
      <c r="I67" s="366">
        <v>42868</v>
      </c>
      <c r="J67" s="367" t="s">
        <v>578</v>
      </c>
      <c r="K67" s="367">
        <f t="shared" si="5"/>
        <v>12</v>
      </c>
      <c r="L67" s="367">
        <f t="shared" si="6"/>
        <v>10</v>
      </c>
      <c r="M67" s="359">
        <f>415+35</f>
        <v>450</v>
      </c>
      <c r="N67" s="360">
        <f t="shared" si="7"/>
        <v>5850</v>
      </c>
      <c r="O67" s="368">
        <f t="shared" si="8"/>
        <v>20000</v>
      </c>
      <c r="P67" s="368">
        <f t="shared" si="9"/>
        <v>1170000</v>
      </c>
    </row>
    <row r="68" spans="1:16">
      <c r="A68" s="253" t="s">
        <v>391</v>
      </c>
      <c r="B68" s="310"/>
      <c r="C68" s="255"/>
      <c r="D68" s="255"/>
      <c r="E68" s="254"/>
      <c r="F68" s="255">
        <f>P81</f>
        <v>14622660</v>
      </c>
      <c r="H68" s="366">
        <v>42857</v>
      </c>
      <c r="I68" s="366">
        <v>42868</v>
      </c>
      <c r="J68" s="367" t="s">
        <v>98</v>
      </c>
      <c r="K68" s="367">
        <f t="shared" si="5"/>
        <v>12</v>
      </c>
      <c r="L68" s="367">
        <f t="shared" si="6"/>
        <v>10</v>
      </c>
      <c r="M68" s="359">
        <v>400</v>
      </c>
      <c r="N68" s="360">
        <f t="shared" si="7"/>
        <v>5200</v>
      </c>
      <c r="O68" s="368">
        <f t="shared" si="8"/>
        <v>20000</v>
      </c>
      <c r="P68" s="368">
        <f t="shared" si="9"/>
        <v>1040000</v>
      </c>
    </row>
    <row r="69" spans="1:16">
      <c r="A69" s="256" t="s">
        <v>394</v>
      </c>
      <c r="B69" s="338"/>
      <c r="C69" s="258"/>
      <c r="D69" s="258"/>
      <c r="E69" s="254">
        <v>2200000</v>
      </c>
      <c r="F69" s="255">
        <v>3162276000</v>
      </c>
      <c r="H69" s="366">
        <v>42857</v>
      </c>
      <c r="I69" s="366">
        <v>42868</v>
      </c>
      <c r="J69" s="367" t="s">
        <v>579</v>
      </c>
      <c r="K69" s="367">
        <f t="shared" si="5"/>
        <v>12</v>
      </c>
      <c r="L69" s="367">
        <f t="shared" si="6"/>
        <v>10</v>
      </c>
      <c r="M69" s="359">
        <v>550</v>
      </c>
      <c r="N69" s="360">
        <f t="shared" si="7"/>
        <v>7150</v>
      </c>
      <c r="O69" s="368">
        <f t="shared" si="8"/>
        <v>20000</v>
      </c>
      <c r="P69" s="368">
        <f t="shared" si="9"/>
        <v>1430000</v>
      </c>
    </row>
    <row r="70" spans="1:16">
      <c r="A70" s="329" t="s">
        <v>401</v>
      </c>
      <c r="B70" s="338"/>
      <c r="C70" s="258"/>
      <c r="D70" s="258"/>
      <c r="E70" s="254">
        <f t="shared" ref="E70:E74" si="10">F70*0.088%</f>
        <v>1207606.3999999999</v>
      </c>
      <c r="F70" s="255">
        <v>1372280000</v>
      </c>
      <c r="H70" s="366">
        <v>42857</v>
      </c>
      <c r="I70" s="366">
        <v>42868</v>
      </c>
      <c r="J70" s="367" t="s">
        <v>580</v>
      </c>
      <c r="K70" s="367">
        <f t="shared" si="5"/>
        <v>12</v>
      </c>
      <c r="L70" s="367">
        <f t="shared" si="6"/>
        <v>10</v>
      </c>
      <c r="M70" s="359">
        <f>400-13</f>
        <v>387</v>
      </c>
      <c r="N70" s="360">
        <f t="shared" si="7"/>
        <v>5031</v>
      </c>
      <c r="O70" s="368">
        <f t="shared" si="8"/>
        <v>20000</v>
      </c>
      <c r="P70" s="368">
        <f t="shared" si="9"/>
        <v>1006200</v>
      </c>
    </row>
    <row r="71" spans="1:16">
      <c r="A71" s="253" t="s">
        <v>400</v>
      </c>
      <c r="B71" s="338"/>
      <c r="C71" s="258"/>
      <c r="D71" s="258"/>
      <c r="E71" s="254">
        <f t="shared" si="10"/>
        <v>1733331.5999999999</v>
      </c>
      <c r="F71" s="255">
        <v>1969695000</v>
      </c>
      <c r="H71" s="366">
        <v>42857</v>
      </c>
      <c r="I71" s="366">
        <v>42869</v>
      </c>
      <c r="J71" s="367" t="s">
        <v>580</v>
      </c>
      <c r="K71" s="367">
        <f t="shared" ref="K71" si="11">IF(I71&lt;&gt;"",I71-H71+1,"")</f>
        <v>13</v>
      </c>
      <c r="L71" s="367">
        <f t="shared" ref="L71:L79" si="12">IF(AND(K71&lt;&gt;"",K71&gt;2),K71-2,"")</f>
        <v>11</v>
      </c>
      <c r="M71" s="382">
        <v>13</v>
      </c>
      <c r="N71" s="383">
        <f t="shared" ref="N71" si="13">M71*13</f>
        <v>169</v>
      </c>
      <c r="O71" s="368">
        <f t="shared" si="8"/>
        <v>20000</v>
      </c>
      <c r="P71" s="368">
        <f t="shared" si="9"/>
        <v>37180</v>
      </c>
    </row>
    <row r="72" spans="1:16">
      <c r="A72" s="253" t="s">
        <v>131</v>
      </c>
      <c r="B72" s="338"/>
      <c r="C72" s="258"/>
      <c r="D72" s="258"/>
      <c r="E72" s="254">
        <f t="shared" si="10"/>
        <v>646731.79999999993</v>
      </c>
      <c r="F72" s="255">
        <v>734922500</v>
      </c>
      <c r="H72" s="366">
        <v>42857</v>
      </c>
      <c r="I72" s="366">
        <v>42869</v>
      </c>
      <c r="J72" s="367" t="s">
        <v>581</v>
      </c>
      <c r="K72" s="367">
        <f t="shared" ref="K72:K79" si="14">IF(I72&lt;&gt;"",I72-H72+1,"")</f>
        <v>13</v>
      </c>
      <c r="L72" s="367">
        <f t="shared" si="12"/>
        <v>11</v>
      </c>
      <c r="M72" s="359">
        <v>636</v>
      </c>
      <c r="N72" s="360">
        <f t="shared" ref="N72:N79" si="15">M72*13</f>
        <v>8268</v>
      </c>
      <c r="O72" s="368">
        <f t="shared" si="8"/>
        <v>20000</v>
      </c>
      <c r="P72" s="368">
        <f t="shared" si="9"/>
        <v>1818960</v>
      </c>
    </row>
    <row r="73" spans="1:16">
      <c r="A73" s="253" t="s">
        <v>395</v>
      </c>
      <c r="B73" s="338"/>
      <c r="C73" s="258"/>
      <c r="D73" s="258"/>
      <c r="E73" s="254">
        <f t="shared" si="10"/>
        <v>858857.99999999988</v>
      </c>
      <c r="F73" s="255">
        <v>975975000</v>
      </c>
      <c r="H73" s="366">
        <v>42865</v>
      </c>
      <c r="I73" s="366">
        <v>42869</v>
      </c>
      <c r="J73" s="367" t="s">
        <v>600</v>
      </c>
      <c r="K73" s="367">
        <f t="shared" si="14"/>
        <v>5</v>
      </c>
      <c r="L73" s="367">
        <f t="shared" si="12"/>
        <v>3</v>
      </c>
      <c r="M73" s="382">
        <v>1000</v>
      </c>
      <c r="N73" s="383">
        <f t="shared" si="15"/>
        <v>13000</v>
      </c>
      <c r="O73" s="368">
        <f t="shared" si="8"/>
        <v>20000</v>
      </c>
      <c r="P73" s="368">
        <f t="shared" si="9"/>
        <v>780000</v>
      </c>
    </row>
    <row r="74" spans="1:16">
      <c r="A74" s="253" t="s">
        <v>56</v>
      </c>
      <c r="B74" s="338"/>
      <c r="C74" s="258"/>
      <c r="D74" s="258"/>
      <c r="E74" s="254">
        <f t="shared" si="10"/>
        <v>1060461.5999999999</v>
      </c>
      <c r="F74" s="258">
        <v>1205070000</v>
      </c>
      <c r="H74" s="366">
        <v>42865</v>
      </c>
      <c r="I74" s="366">
        <v>42869</v>
      </c>
      <c r="J74" s="367" t="s">
        <v>601</v>
      </c>
      <c r="K74" s="367">
        <f t="shared" si="14"/>
        <v>5</v>
      </c>
      <c r="L74" s="367">
        <f t="shared" si="12"/>
        <v>3</v>
      </c>
      <c r="M74" s="382">
        <v>1000</v>
      </c>
      <c r="N74" s="383">
        <f t="shared" si="15"/>
        <v>13000</v>
      </c>
      <c r="O74" s="368">
        <f t="shared" si="8"/>
        <v>20000</v>
      </c>
      <c r="P74" s="368">
        <f t="shared" si="9"/>
        <v>780000</v>
      </c>
    </row>
    <row r="75" spans="1:16">
      <c r="A75" s="329"/>
      <c r="B75" s="338"/>
      <c r="C75" s="258"/>
      <c r="D75" s="258"/>
      <c r="E75" s="339"/>
      <c r="F75" s="258"/>
      <c r="H75" s="366">
        <v>42866</v>
      </c>
      <c r="I75" s="366">
        <v>42869</v>
      </c>
      <c r="J75" s="367" t="s">
        <v>597</v>
      </c>
      <c r="K75" s="367">
        <f t="shared" si="14"/>
        <v>4</v>
      </c>
      <c r="L75" s="367">
        <f t="shared" si="12"/>
        <v>2</v>
      </c>
      <c r="M75" s="382">
        <f>409+225</f>
        <v>634</v>
      </c>
      <c r="N75" s="383">
        <f t="shared" si="15"/>
        <v>8242</v>
      </c>
      <c r="O75" s="368">
        <f t="shared" si="8"/>
        <v>20000</v>
      </c>
      <c r="P75" s="368">
        <f t="shared" si="9"/>
        <v>329680</v>
      </c>
    </row>
    <row r="76" spans="1:16">
      <c r="A76" s="387" t="s">
        <v>57</v>
      </c>
      <c r="B76" s="388"/>
      <c r="C76" s="389"/>
      <c r="D76" s="389">
        <f>SUM(D64:D75)</f>
        <v>10057055788</v>
      </c>
      <c r="E76" s="390">
        <f>SUM(E64:E75)</f>
        <v>10211689.399999999</v>
      </c>
      <c r="F76" s="389">
        <f>SUM(F64:F75)</f>
        <v>10046841160</v>
      </c>
      <c r="H76" s="366">
        <v>42866</v>
      </c>
      <c r="I76" s="366">
        <v>42869</v>
      </c>
      <c r="J76" s="367" t="s">
        <v>182</v>
      </c>
      <c r="K76" s="367">
        <f t="shared" si="14"/>
        <v>4</v>
      </c>
      <c r="L76" s="367">
        <f t="shared" si="12"/>
        <v>2</v>
      </c>
      <c r="M76" s="382">
        <f>143+314</f>
        <v>457</v>
      </c>
      <c r="N76" s="383">
        <f t="shared" si="15"/>
        <v>5941</v>
      </c>
      <c r="O76" s="368">
        <f t="shared" si="8"/>
        <v>20000</v>
      </c>
      <c r="P76" s="368">
        <f t="shared" si="9"/>
        <v>237640</v>
      </c>
    </row>
    <row r="77" spans="1:16">
      <c r="H77" s="366">
        <v>42867</v>
      </c>
      <c r="I77" s="366">
        <v>42869</v>
      </c>
      <c r="J77" s="367" t="s">
        <v>603</v>
      </c>
      <c r="K77" s="367">
        <f t="shared" si="14"/>
        <v>3</v>
      </c>
      <c r="L77" s="367">
        <f t="shared" si="12"/>
        <v>1</v>
      </c>
      <c r="M77" s="382">
        <v>320</v>
      </c>
      <c r="N77" s="383">
        <f t="shared" si="15"/>
        <v>4160</v>
      </c>
      <c r="O77" s="368">
        <f t="shared" si="8"/>
        <v>20000</v>
      </c>
      <c r="P77" s="368">
        <f t="shared" si="9"/>
        <v>83200</v>
      </c>
    </row>
    <row r="78" spans="1:16">
      <c r="H78" s="366">
        <v>42868</v>
      </c>
      <c r="I78" s="366">
        <v>42869</v>
      </c>
      <c r="J78" s="367" t="s">
        <v>598</v>
      </c>
      <c r="K78" s="367">
        <f t="shared" si="14"/>
        <v>2</v>
      </c>
      <c r="L78" s="367" t="str">
        <f t="shared" si="12"/>
        <v/>
      </c>
      <c r="M78" s="382">
        <v>2030</v>
      </c>
      <c r="N78" s="383">
        <f t="shared" si="15"/>
        <v>26390</v>
      </c>
      <c r="O78" s="368">
        <f t="shared" si="8"/>
        <v>0</v>
      </c>
      <c r="P78" s="368" t="str">
        <f t="shared" si="9"/>
        <v/>
      </c>
    </row>
    <row r="79" spans="1:16">
      <c r="F79" s="342">
        <f>D76-E76-F76</f>
        <v>2938.6000003814697</v>
      </c>
      <c r="H79" s="366">
        <v>42868</v>
      </c>
      <c r="I79" s="366">
        <v>42869</v>
      </c>
      <c r="J79" s="367" t="s">
        <v>599</v>
      </c>
      <c r="K79" s="367">
        <f t="shared" si="14"/>
        <v>2</v>
      </c>
      <c r="L79" s="367" t="str">
        <f t="shared" si="12"/>
        <v/>
      </c>
      <c r="M79" s="382">
        <v>2030</v>
      </c>
      <c r="N79" s="383">
        <f t="shared" si="15"/>
        <v>26390</v>
      </c>
      <c r="O79" s="368">
        <f t="shared" si="8"/>
        <v>0</v>
      </c>
      <c r="P79" s="368" t="str">
        <f t="shared" si="9"/>
        <v/>
      </c>
    </row>
    <row r="80" spans="1:16">
      <c r="H80" s="369"/>
      <c r="I80" s="369"/>
      <c r="J80" s="370"/>
      <c r="K80" s="370"/>
      <c r="L80" s="370"/>
      <c r="M80" s="372"/>
      <c r="N80" s="372"/>
      <c r="O80" s="371"/>
      <c r="P80" s="371"/>
    </row>
    <row r="81" spans="1:16">
      <c r="H81" s="373"/>
      <c r="I81" s="373"/>
      <c r="J81" s="373" t="s">
        <v>48</v>
      </c>
      <c r="K81" s="373"/>
      <c r="L81" s="373"/>
      <c r="M81" s="374">
        <f>SUM(M64:M80)</f>
        <v>12180</v>
      </c>
      <c r="N81" s="374">
        <f>SUM(N64:N80)</f>
        <v>158340</v>
      </c>
      <c r="O81" s="374"/>
      <c r="P81" s="375">
        <f>SUM(P64:P80)</f>
        <v>14622660</v>
      </c>
    </row>
    <row r="83" spans="1:16">
      <c r="H83" s="363" t="s">
        <v>29</v>
      </c>
      <c r="I83" s="364"/>
      <c r="J83" s="365"/>
      <c r="K83" s="364"/>
      <c r="L83" s="364"/>
      <c r="M83" s="364"/>
      <c r="N83" s="364"/>
      <c r="O83" s="364"/>
      <c r="P83" s="364"/>
    </row>
    <row r="84" spans="1:16" ht="66" customHeight="1">
      <c r="A84" s="330" t="s">
        <v>21</v>
      </c>
      <c r="B84" s="331" t="s">
        <v>50</v>
      </c>
      <c r="C84" s="332" t="s">
        <v>51</v>
      </c>
      <c r="D84" s="332" t="s">
        <v>9</v>
      </c>
      <c r="E84" s="333" t="s">
        <v>117</v>
      </c>
      <c r="F84" s="332" t="s">
        <v>52</v>
      </c>
      <c r="H84" s="330" t="s">
        <v>30</v>
      </c>
      <c r="I84" s="330" t="s">
        <v>31</v>
      </c>
      <c r="J84" s="330" t="s">
        <v>103</v>
      </c>
      <c r="K84" s="330" t="s">
        <v>32</v>
      </c>
      <c r="L84" s="330" t="s">
        <v>584</v>
      </c>
      <c r="M84" s="330" t="s">
        <v>83</v>
      </c>
      <c r="N84" s="331" t="s">
        <v>33</v>
      </c>
      <c r="O84" s="332" t="s">
        <v>106</v>
      </c>
      <c r="P84" s="332" t="s">
        <v>9</v>
      </c>
    </row>
    <row r="85" spans="1:16">
      <c r="A85" s="253" t="s">
        <v>654</v>
      </c>
      <c r="B85" s="309">
        <v>174747.2</v>
      </c>
      <c r="C85" s="255">
        <v>22610</v>
      </c>
      <c r="D85" s="255">
        <f>B85*C85</f>
        <v>3951034192.0000005</v>
      </c>
      <c r="E85" s="336"/>
      <c r="F85" s="255"/>
      <c r="H85" s="366">
        <v>42807</v>
      </c>
      <c r="I85" s="366"/>
      <c r="J85" s="367" t="s">
        <v>562</v>
      </c>
      <c r="K85" s="367" t="str">
        <f>IF(I85&lt;&gt;"",I85-H85+1,"")</f>
        <v/>
      </c>
      <c r="L85" s="367" t="str">
        <f>IF(AND(K85&lt;&gt;"",K85&gt;2),K85-2,"")</f>
        <v/>
      </c>
      <c r="M85" s="413">
        <v>10</v>
      </c>
      <c r="N85" s="414">
        <f t="shared" ref="N85:N86" si="16">M85*13</f>
        <v>130</v>
      </c>
      <c r="O85" s="368">
        <f>IF(AND(K85&lt;&gt;"",K85&gt;2),20000,0)</f>
        <v>0</v>
      </c>
      <c r="P85" s="368" t="str">
        <f>IF(AND(K85&lt;&gt;"",K85&gt;2),O85*N85*L85/1000,"")</f>
        <v/>
      </c>
    </row>
    <row r="86" spans="1:16">
      <c r="A86" s="253" t="s">
        <v>123</v>
      </c>
      <c r="B86" s="310"/>
      <c r="C86" s="255"/>
      <c r="D86" s="255"/>
      <c r="E86" s="254">
        <v>2183641</v>
      </c>
      <c r="F86" s="255"/>
      <c r="H86" s="366">
        <v>42828</v>
      </c>
      <c r="I86" s="366"/>
      <c r="J86" s="367" t="s">
        <v>562</v>
      </c>
      <c r="K86" s="367" t="str">
        <f t="shared" ref="K86" si="17">IF(I86&lt;&gt;"",I86-H86+1,"")</f>
        <v/>
      </c>
      <c r="L86" s="367" t="str">
        <f>IF(AND(K86&lt;&gt;"",K86&gt;2),K86-2,"")</f>
        <v/>
      </c>
      <c r="M86" s="413">
        <v>10</v>
      </c>
      <c r="N86" s="414">
        <f t="shared" si="16"/>
        <v>130</v>
      </c>
      <c r="O86" s="368">
        <f>IF(AND(K86&lt;&gt;"",K86&gt;2),20000,0)</f>
        <v>0</v>
      </c>
      <c r="P86" s="368" t="str">
        <f>IF(AND(K86&lt;&gt;"",K86&gt;2),O86*N86*L86/1000,"")</f>
        <v/>
      </c>
    </row>
    <row r="87" spans="1:16">
      <c r="A87" s="253" t="s">
        <v>742</v>
      </c>
      <c r="B87" s="310"/>
      <c r="C87" s="255"/>
      <c r="D87" s="255"/>
      <c r="E87" s="254"/>
      <c r="F87" s="255">
        <f>6*51000000</f>
        <v>306000000</v>
      </c>
      <c r="H87" s="366">
        <v>42861</v>
      </c>
      <c r="I87" s="366"/>
      <c r="J87" s="367" t="s">
        <v>562</v>
      </c>
      <c r="K87" s="367" t="str">
        <f>IF(I87&lt;&gt;"",I87-H87+1,"")</f>
        <v/>
      </c>
      <c r="L87" s="367" t="str">
        <f>IF(AND(K87&lt;&gt;"",K87&gt;2),K87-2,"")</f>
        <v/>
      </c>
      <c r="M87" s="413">
        <v>10</v>
      </c>
      <c r="N87" s="414">
        <f>M87*13</f>
        <v>130</v>
      </c>
      <c r="O87" s="368">
        <f>IF(AND(K87&lt;&gt;"",K87&gt;2),20000,0)</f>
        <v>0</v>
      </c>
      <c r="P87" s="368" t="str">
        <f>IF(AND(K87&lt;&gt;"",K87&gt;2),O87*N87*L87/1000,"")</f>
        <v/>
      </c>
    </row>
    <row r="88" spans="1:16">
      <c r="A88" s="253" t="s">
        <v>655</v>
      </c>
      <c r="B88" s="310"/>
      <c r="C88" s="255"/>
      <c r="D88" s="255"/>
      <c r="E88" s="254"/>
      <c r="F88" s="255">
        <v>3500000000</v>
      </c>
      <c r="H88" s="366"/>
      <c r="I88" s="366"/>
      <c r="J88" s="367"/>
      <c r="K88" s="367"/>
      <c r="L88" s="367"/>
      <c r="M88" s="413"/>
      <c r="N88" s="414">
        <f t="shared" ref="N88:N90" si="18">M88*13</f>
        <v>0</v>
      </c>
      <c r="O88" s="368">
        <f t="shared" ref="O88:O90" si="19">IF(AND(K88&lt;&gt;"",K88&gt;2),20000,0)</f>
        <v>0</v>
      </c>
      <c r="P88" s="368" t="str">
        <f t="shared" ref="P88:P90" si="20">IF(AND(K88&lt;&gt;"",K88&gt;2),O88*N88*L88/1000,"")</f>
        <v/>
      </c>
    </row>
    <row r="89" spans="1:16">
      <c r="A89" s="256"/>
      <c r="B89" s="338"/>
      <c r="C89" s="258"/>
      <c r="D89" s="258"/>
      <c r="E89" s="254"/>
      <c r="F89" s="255"/>
      <c r="H89" s="366"/>
      <c r="I89" s="366"/>
      <c r="J89" s="367"/>
      <c r="K89" s="367"/>
      <c r="L89" s="367"/>
      <c r="M89" s="413"/>
      <c r="N89" s="414">
        <f t="shared" si="18"/>
        <v>0</v>
      </c>
      <c r="O89" s="368">
        <f t="shared" si="19"/>
        <v>0</v>
      </c>
      <c r="P89" s="368" t="str">
        <f t="shared" si="20"/>
        <v/>
      </c>
    </row>
    <row r="90" spans="1:16">
      <c r="A90" s="329"/>
      <c r="B90" s="338"/>
      <c r="C90" s="258"/>
      <c r="D90" s="258"/>
      <c r="E90" s="339"/>
      <c r="F90" s="258"/>
      <c r="H90" s="366"/>
      <c r="I90" s="366"/>
      <c r="J90" s="367"/>
      <c r="K90" s="367"/>
      <c r="L90" s="367"/>
      <c r="M90" s="413"/>
      <c r="N90" s="414">
        <f t="shared" si="18"/>
        <v>0</v>
      </c>
      <c r="O90" s="368">
        <f t="shared" si="19"/>
        <v>0</v>
      </c>
      <c r="P90" s="368" t="str">
        <f t="shared" si="20"/>
        <v/>
      </c>
    </row>
    <row r="91" spans="1:16">
      <c r="A91" s="387" t="s">
        <v>57</v>
      </c>
      <c r="B91" s="388"/>
      <c r="C91" s="389"/>
      <c r="D91" s="389">
        <f>SUM(D85:D90)</f>
        <v>3951034192.0000005</v>
      </c>
      <c r="E91" s="390">
        <f>SUM(E85:E90)</f>
        <v>2183641</v>
      </c>
      <c r="F91" s="389">
        <f>SUM(F85:F90)</f>
        <v>3806000000</v>
      </c>
      <c r="H91" s="369"/>
      <c r="I91" s="369"/>
      <c r="J91" s="370"/>
      <c r="K91" s="370"/>
      <c r="L91" s="370"/>
      <c r="M91" s="372"/>
      <c r="N91" s="372"/>
      <c r="O91" s="371"/>
      <c r="P91" s="371"/>
    </row>
    <row r="92" spans="1:16">
      <c r="H92" s="373"/>
      <c r="I92" s="373"/>
      <c r="J92" s="373" t="s">
        <v>48</v>
      </c>
      <c r="K92" s="373"/>
      <c r="L92" s="373"/>
      <c r="M92" s="374">
        <f>SUM(M85:M91)</f>
        <v>30</v>
      </c>
      <c r="N92" s="374">
        <f>SUM(N85:N91)</f>
        <v>390</v>
      </c>
      <c r="O92" s="374"/>
      <c r="P92" s="375">
        <f>SUM(P85:P91)</f>
        <v>0</v>
      </c>
    </row>
    <row r="93" spans="1:16">
      <c r="F93" s="342">
        <f>D91-E91-F91</f>
        <v>142850551.00000048</v>
      </c>
      <c r="H93" s="420"/>
      <c r="I93" s="420"/>
      <c r="J93" s="421"/>
      <c r="K93" s="421"/>
      <c r="L93" s="421"/>
      <c r="M93" s="422"/>
      <c r="N93" s="422"/>
      <c r="O93" s="423"/>
      <c r="P93" s="423"/>
    </row>
    <row r="94" spans="1:16">
      <c r="H94" s="420"/>
      <c r="I94" s="420"/>
      <c r="J94" s="421"/>
      <c r="K94" s="421"/>
      <c r="L94" s="421"/>
      <c r="M94" s="422"/>
      <c r="N94" s="422"/>
      <c r="O94" s="423"/>
      <c r="P94" s="423"/>
    </row>
    <row r="95" spans="1:16">
      <c r="H95" s="363" t="s">
        <v>29</v>
      </c>
      <c r="I95" s="364"/>
      <c r="J95" s="365"/>
      <c r="K95" s="364"/>
      <c r="L95" s="364"/>
      <c r="M95" s="364"/>
      <c r="N95" s="364"/>
      <c r="O95" s="364"/>
      <c r="P95" s="364"/>
    </row>
    <row r="96" spans="1:16" ht="40.5" customHeight="1">
      <c r="A96" s="330" t="s">
        <v>21</v>
      </c>
      <c r="B96" s="331" t="s">
        <v>50</v>
      </c>
      <c r="C96" s="332" t="s">
        <v>51</v>
      </c>
      <c r="D96" s="332" t="s">
        <v>9</v>
      </c>
      <c r="E96" s="333" t="s">
        <v>117</v>
      </c>
      <c r="F96" s="332" t="s">
        <v>52</v>
      </c>
      <c r="H96" s="330" t="s">
        <v>30</v>
      </c>
      <c r="I96" s="330" t="s">
        <v>31</v>
      </c>
      <c r="J96" s="330" t="s">
        <v>103</v>
      </c>
      <c r="K96" s="330" t="s">
        <v>32</v>
      </c>
      <c r="L96" s="330" t="s">
        <v>736</v>
      </c>
      <c r="M96" s="330" t="s">
        <v>83</v>
      </c>
      <c r="N96" s="331" t="s">
        <v>33</v>
      </c>
      <c r="O96" s="332" t="s">
        <v>106</v>
      </c>
      <c r="P96" s="332" t="s">
        <v>9</v>
      </c>
    </row>
    <row r="97" spans="1:16">
      <c r="A97" s="253" t="s">
        <v>691</v>
      </c>
      <c r="B97" s="309">
        <v>369448</v>
      </c>
      <c r="C97" s="255">
        <v>22610</v>
      </c>
      <c r="D97" s="255">
        <f>B97*C97</f>
        <v>8353219280</v>
      </c>
      <c r="E97" s="336"/>
      <c r="F97" s="255"/>
      <c r="H97" s="366">
        <v>42867</v>
      </c>
      <c r="I97" s="366">
        <v>42870</v>
      </c>
      <c r="J97" s="367" t="s">
        <v>603</v>
      </c>
      <c r="K97" s="367">
        <f>IF(I97&lt;&gt;"",I97-H97+1,"")</f>
        <v>4</v>
      </c>
      <c r="L97" s="367">
        <f>IF(AND(K97&lt;&gt;"",K97&gt;2),K97-2,"")</f>
        <v>2</v>
      </c>
      <c r="M97" s="413">
        <v>300</v>
      </c>
      <c r="N97" s="414">
        <f>M97*13</f>
        <v>3900</v>
      </c>
      <c r="O97" s="368">
        <f t="shared" ref="O97:O130" si="21">IF(AND(K97&lt;&gt;"",K97&gt;2),20000,0)</f>
        <v>20000</v>
      </c>
      <c r="P97" s="368">
        <f t="shared" ref="P97:P130" si="22">IF(AND(K97&lt;&gt;"",K97&gt;2),O97*N97*L97/1000,"")</f>
        <v>156000</v>
      </c>
    </row>
    <row r="98" spans="1:16">
      <c r="A98" s="253" t="s">
        <v>123</v>
      </c>
      <c r="B98" s="310"/>
      <c r="C98" s="255"/>
      <c r="D98" s="255"/>
      <c r="E98" s="254">
        <v>2502500</v>
      </c>
      <c r="F98" s="255"/>
      <c r="H98" s="366">
        <v>42867</v>
      </c>
      <c r="I98" s="366">
        <v>42870</v>
      </c>
      <c r="J98" s="367" t="s">
        <v>602</v>
      </c>
      <c r="K98" s="367">
        <f t="shared" ref="K98" si="23">IF(I98&lt;&gt;"",I98-H98+1,"")</f>
        <v>4</v>
      </c>
      <c r="L98" s="367">
        <f t="shared" ref="L98" si="24">IF(AND(K98&lt;&gt;"",K98&gt;2),K98-2,"")</f>
        <v>2</v>
      </c>
      <c r="M98" s="413">
        <f>136+864</f>
        <v>1000</v>
      </c>
      <c r="N98" s="414">
        <f t="shared" ref="N98" si="25">M98*13</f>
        <v>13000</v>
      </c>
      <c r="O98" s="368">
        <f t="shared" si="21"/>
        <v>20000</v>
      </c>
      <c r="P98" s="368">
        <f t="shared" si="22"/>
        <v>520000</v>
      </c>
    </row>
    <row r="99" spans="1:16">
      <c r="A99" s="253" t="s">
        <v>690</v>
      </c>
      <c r="B99" s="310"/>
      <c r="C99" s="255"/>
      <c r="D99" s="255">
        <f>F93</f>
        <v>142850551.00000048</v>
      </c>
      <c r="E99" s="254"/>
      <c r="F99" s="255"/>
      <c r="H99" s="366">
        <v>42867</v>
      </c>
      <c r="I99" s="366">
        <v>42870</v>
      </c>
      <c r="J99" s="367" t="s">
        <v>186</v>
      </c>
      <c r="K99" s="367">
        <f>IF(I99&lt;&gt;"",I99-H99+1,"")</f>
        <v>4</v>
      </c>
      <c r="L99" s="367">
        <f>IF(AND(K99&lt;&gt;"",K99&gt;2),K99-2,"")</f>
        <v>2</v>
      </c>
      <c r="M99" s="413">
        <v>630</v>
      </c>
      <c r="N99" s="414">
        <f>M99*13</f>
        <v>8190</v>
      </c>
      <c r="O99" s="368">
        <f t="shared" si="21"/>
        <v>20000</v>
      </c>
      <c r="P99" s="368">
        <f t="shared" si="22"/>
        <v>327600</v>
      </c>
    </row>
    <row r="100" spans="1:16">
      <c r="A100" s="253" t="s">
        <v>739</v>
      </c>
      <c r="B100" s="310"/>
      <c r="C100" s="255"/>
      <c r="D100" s="255">
        <v>200000000</v>
      </c>
      <c r="E100" s="254"/>
      <c r="F100" s="255"/>
      <c r="H100" s="366">
        <v>42868</v>
      </c>
      <c r="I100" s="366">
        <v>42870</v>
      </c>
      <c r="J100" s="367" t="s">
        <v>577</v>
      </c>
      <c r="K100" s="367">
        <f t="shared" ref="K100:K101" si="26">IF(I100&lt;&gt;"",I100-H100+1,"")</f>
        <v>3</v>
      </c>
      <c r="L100" s="367">
        <f t="shared" ref="L100:L101" si="27">IF(AND(K100&lt;&gt;"",K100&gt;2),K100-2,"")</f>
        <v>1</v>
      </c>
      <c r="M100" s="413">
        <v>900</v>
      </c>
      <c r="N100" s="414">
        <f t="shared" ref="N100:N101" si="28">M100*13</f>
        <v>11700</v>
      </c>
      <c r="O100" s="368">
        <f t="shared" si="21"/>
        <v>20000</v>
      </c>
      <c r="P100" s="368">
        <f t="shared" si="22"/>
        <v>234000</v>
      </c>
    </row>
    <row r="101" spans="1:16">
      <c r="A101" s="253" t="s">
        <v>741</v>
      </c>
      <c r="B101" s="310"/>
      <c r="C101" s="255"/>
      <c r="D101" s="255"/>
      <c r="E101" s="255">
        <f>22*51000000</f>
        <v>1122000000</v>
      </c>
      <c r="F101" s="255"/>
      <c r="H101" s="366">
        <v>42868</v>
      </c>
      <c r="I101" s="366">
        <v>42870</v>
      </c>
      <c r="J101" s="367" t="s">
        <v>604</v>
      </c>
      <c r="K101" s="367">
        <f t="shared" si="26"/>
        <v>3</v>
      </c>
      <c r="L101" s="367">
        <f t="shared" si="27"/>
        <v>1</v>
      </c>
      <c r="M101" s="413">
        <v>523</v>
      </c>
      <c r="N101" s="414">
        <f t="shared" si="28"/>
        <v>6799</v>
      </c>
      <c r="O101" s="368">
        <f t="shared" si="21"/>
        <v>20000</v>
      </c>
      <c r="P101" s="368">
        <f t="shared" si="22"/>
        <v>135980</v>
      </c>
    </row>
    <row r="102" spans="1:16">
      <c r="A102" s="253" t="s">
        <v>391</v>
      </c>
      <c r="B102" s="310"/>
      <c r="C102" s="255"/>
      <c r="D102" s="255"/>
      <c r="E102" s="255">
        <f>P140</f>
        <v>19194240</v>
      </c>
      <c r="F102" s="255"/>
      <c r="H102" s="366">
        <v>42869</v>
      </c>
      <c r="I102" s="366">
        <v>42870</v>
      </c>
      <c r="J102" s="367" t="s">
        <v>600</v>
      </c>
      <c r="K102" s="367">
        <f>IF(I102&lt;&gt;"",I102-H102+1,"")</f>
        <v>2</v>
      </c>
      <c r="L102" s="367" t="str">
        <f>IF(AND(K102&lt;&gt;"",K102&gt;2),K102-2,"")</f>
        <v/>
      </c>
      <c r="M102" s="413">
        <v>616</v>
      </c>
      <c r="N102" s="414">
        <f>M102*13</f>
        <v>8008</v>
      </c>
      <c r="O102" s="368">
        <f t="shared" si="21"/>
        <v>0</v>
      </c>
      <c r="P102" s="368" t="str">
        <f t="shared" si="22"/>
        <v/>
      </c>
    </row>
    <row r="103" spans="1:16">
      <c r="A103" s="253" t="s">
        <v>737</v>
      </c>
      <c r="B103" s="263"/>
      <c r="C103" s="258"/>
      <c r="D103" s="258"/>
      <c r="E103" s="254">
        <f>2000000*3</f>
        <v>6000000</v>
      </c>
      <c r="F103" s="255"/>
      <c r="H103" s="366">
        <v>42869</v>
      </c>
      <c r="I103" s="366">
        <v>42870</v>
      </c>
      <c r="J103" s="367" t="s">
        <v>605</v>
      </c>
      <c r="K103" s="367">
        <f>IF(I103&lt;&gt;"",I103-H103+1,"")</f>
        <v>2</v>
      </c>
      <c r="L103" s="367" t="str">
        <f>IF(AND(K103&lt;&gt;"",K103&gt;2),K103-2,"")</f>
        <v/>
      </c>
      <c r="M103" s="413">
        <v>2030</v>
      </c>
      <c r="N103" s="414">
        <f>M103*13</f>
        <v>26390</v>
      </c>
      <c r="O103" s="368">
        <f t="shared" si="21"/>
        <v>0</v>
      </c>
      <c r="P103" s="368" t="str">
        <f t="shared" si="22"/>
        <v/>
      </c>
    </row>
    <row r="104" spans="1:16">
      <c r="A104" s="253" t="s">
        <v>738</v>
      </c>
      <c r="B104" s="263"/>
      <c r="C104" s="258"/>
      <c r="D104" s="258"/>
      <c r="E104" s="254">
        <v>820000</v>
      </c>
      <c r="F104" s="255"/>
      <c r="H104" s="366">
        <v>42869</v>
      </c>
      <c r="I104" s="366">
        <v>42870</v>
      </c>
      <c r="J104" s="367" t="s">
        <v>572</v>
      </c>
      <c r="K104" s="367">
        <f>IF(I104&lt;&gt;"",I104-H104+1,"")</f>
        <v>2</v>
      </c>
      <c r="L104" s="367" t="str">
        <f>IF(AND(K104&lt;&gt;"",K104&gt;2),K104-2,"")</f>
        <v/>
      </c>
      <c r="M104" s="413">
        <v>2030</v>
      </c>
      <c r="N104" s="414">
        <f>M104*13</f>
        <v>26390</v>
      </c>
      <c r="O104" s="368">
        <f t="shared" si="21"/>
        <v>0</v>
      </c>
      <c r="P104" s="368" t="str">
        <f t="shared" si="22"/>
        <v/>
      </c>
    </row>
    <row r="105" spans="1:16">
      <c r="A105" s="256" t="s">
        <v>557</v>
      </c>
      <c r="B105" s="263"/>
      <c r="C105" s="258"/>
      <c r="D105" s="258"/>
      <c r="E105" s="254">
        <f t="shared" ref="E105" si="29">F105*0.088%</f>
        <v>2508105.5999999996</v>
      </c>
      <c r="F105" s="255">
        <v>2850120000</v>
      </c>
      <c r="H105" s="366">
        <v>42870</v>
      </c>
      <c r="I105" s="366">
        <v>42870</v>
      </c>
      <c r="J105" s="367" t="s">
        <v>692</v>
      </c>
      <c r="K105" s="367">
        <f t="shared" ref="K105" si="30">IF(I105&lt;&gt;"",I105-H105+1,"")</f>
        <v>1</v>
      </c>
      <c r="L105" s="367" t="str">
        <f t="shared" ref="L105" si="31">IF(AND(K105&lt;&gt;"",K105&gt;2),K105-2,"")</f>
        <v/>
      </c>
      <c r="M105" s="413">
        <v>91</v>
      </c>
      <c r="N105" s="414">
        <f t="shared" ref="N105:N130" si="32">M105*13</f>
        <v>1183</v>
      </c>
      <c r="O105" s="368">
        <f t="shared" si="21"/>
        <v>0</v>
      </c>
      <c r="P105" s="368" t="str">
        <f t="shared" si="22"/>
        <v/>
      </c>
    </row>
    <row r="106" spans="1:16">
      <c r="A106" s="253" t="s">
        <v>740</v>
      </c>
      <c r="B106" s="263"/>
      <c r="C106" s="258"/>
      <c r="D106" s="258"/>
      <c r="E106" s="254">
        <v>1100000</v>
      </c>
      <c r="F106" s="255">
        <v>4690000000</v>
      </c>
      <c r="H106" s="366">
        <v>42870</v>
      </c>
      <c r="I106" s="366">
        <v>42874</v>
      </c>
      <c r="J106" s="367" t="s">
        <v>692</v>
      </c>
      <c r="K106" s="367">
        <f t="shared" ref="K106:K108" si="33">IF(I106&lt;&gt;"",I106-H106+1,"")</f>
        <v>5</v>
      </c>
      <c r="L106" s="367">
        <f t="shared" ref="L106:L108" si="34">IF(AND(K106&lt;&gt;"",K106&gt;2),K106-2,"")</f>
        <v>3</v>
      </c>
      <c r="M106" s="413">
        <f>1997-91</f>
        <v>1906</v>
      </c>
      <c r="N106" s="414">
        <f t="shared" si="32"/>
        <v>24778</v>
      </c>
      <c r="O106" s="368">
        <f t="shared" si="21"/>
        <v>20000</v>
      </c>
      <c r="P106" s="368">
        <f t="shared" si="22"/>
        <v>1486680</v>
      </c>
    </row>
    <row r="107" spans="1:16" ht="13.5" customHeight="1">
      <c r="A107" s="253"/>
      <c r="B107" s="263"/>
      <c r="C107" s="258"/>
      <c r="D107" s="258"/>
      <c r="E107" s="254"/>
      <c r="F107" s="255"/>
      <c r="H107" s="366">
        <v>42870</v>
      </c>
      <c r="I107" s="366">
        <v>42874</v>
      </c>
      <c r="J107" s="367" t="s">
        <v>693</v>
      </c>
      <c r="K107" s="367">
        <f t="shared" si="33"/>
        <v>5</v>
      </c>
      <c r="L107" s="367">
        <f t="shared" si="34"/>
        <v>3</v>
      </c>
      <c r="M107" s="413">
        <v>2002</v>
      </c>
      <c r="N107" s="414">
        <f t="shared" si="32"/>
        <v>26026</v>
      </c>
      <c r="O107" s="368">
        <f t="shared" si="21"/>
        <v>20000</v>
      </c>
      <c r="P107" s="368">
        <f t="shared" si="22"/>
        <v>1561560</v>
      </c>
    </row>
    <row r="108" spans="1:16" ht="13.5" customHeight="1">
      <c r="A108" s="256"/>
      <c r="B108" s="338"/>
      <c r="C108" s="258"/>
      <c r="D108" s="258"/>
      <c r="E108" s="254"/>
      <c r="F108" s="255"/>
      <c r="H108" s="366">
        <v>42870</v>
      </c>
      <c r="I108" s="366">
        <v>42874</v>
      </c>
      <c r="J108" s="367" t="s">
        <v>288</v>
      </c>
      <c r="K108" s="367">
        <f t="shared" si="33"/>
        <v>5</v>
      </c>
      <c r="L108" s="367">
        <f t="shared" si="34"/>
        <v>3</v>
      </c>
      <c r="M108" s="413">
        <v>152</v>
      </c>
      <c r="N108" s="414">
        <f t="shared" si="32"/>
        <v>1976</v>
      </c>
      <c r="O108" s="368">
        <f t="shared" si="21"/>
        <v>20000</v>
      </c>
      <c r="P108" s="368">
        <f t="shared" si="22"/>
        <v>118560</v>
      </c>
    </row>
    <row r="109" spans="1:16" ht="13.5" customHeight="1">
      <c r="A109" s="329"/>
      <c r="B109" s="338"/>
      <c r="C109" s="258"/>
      <c r="D109" s="258"/>
      <c r="E109" s="339"/>
      <c r="F109" s="258"/>
      <c r="H109" s="366">
        <v>42870</v>
      </c>
      <c r="I109" s="366">
        <v>42875</v>
      </c>
      <c r="J109" s="367" t="s">
        <v>288</v>
      </c>
      <c r="K109" s="367">
        <f t="shared" ref="K109:K111" si="35">IF(I109&lt;&gt;"",I109-H109+1,"")</f>
        <v>6</v>
      </c>
      <c r="L109" s="367">
        <f t="shared" ref="L109:L111" si="36">IF(AND(K109&lt;&gt;"",K109&gt;2),K109-2,"")</f>
        <v>4</v>
      </c>
      <c r="M109" s="413">
        <f>943-M108</f>
        <v>791</v>
      </c>
      <c r="N109" s="414">
        <f t="shared" si="32"/>
        <v>10283</v>
      </c>
      <c r="O109" s="368">
        <f t="shared" si="21"/>
        <v>20000</v>
      </c>
      <c r="P109" s="368">
        <f t="shared" si="22"/>
        <v>822640</v>
      </c>
    </row>
    <row r="110" spans="1:16" ht="13.5" customHeight="1">
      <c r="A110" s="387" t="s">
        <v>57</v>
      </c>
      <c r="B110" s="388"/>
      <c r="C110" s="389"/>
      <c r="D110" s="389">
        <f>SUM(D97:D109)</f>
        <v>8696069831</v>
      </c>
      <c r="E110" s="390">
        <f>SUM(E97:E109)</f>
        <v>1154124845.5999999</v>
      </c>
      <c r="F110" s="389">
        <f>SUM(F97:F109)</f>
        <v>7540120000</v>
      </c>
      <c r="H110" s="366">
        <v>42871</v>
      </c>
      <c r="I110" s="366">
        <v>42875</v>
      </c>
      <c r="J110" s="367" t="s">
        <v>121</v>
      </c>
      <c r="K110" s="367">
        <f t="shared" si="35"/>
        <v>5</v>
      </c>
      <c r="L110" s="367">
        <f t="shared" si="36"/>
        <v>3</v>
      </c>
      <c r="M110" s="413">
        <f>83+689</f>
        <v>772</v>
      </c>
      <c r="N110" s="414">
        <f t="shared" si="32"/>
        <v>10036</v>
      </c>
      <c r="O110" s="368">
        <f t="shared" si="21"/>
        <v>20000</v>
      </c>
      <c r="P110" s="368">
        <f t="shared" si="22"/>
        <v>602160</v>
      </c>
    </row>
    <row r="111" spans="1:16" ht="13.5" customHeight="1">
      <c r="H111" s="366">
        <v>42873</v>
      </c>
      <c r="I111" s="366">
        <v>42875</v>
      </c>
      <c r="J111" s="367" t="s">
        <v>95</v>
      </c>
      <c r="K111" s="367">
        <f t="shared" si="35"/>
        <v>3</v>
      </c>
      <c r="L111" s="367">
        <f t="shared" si="36"/>
        <v>1</v>
      </c>
      <c r="M111" s="413">
        <v>467</v>
      </c>
      <c r="N111" s="414">
        <f t="shared" si="32"/>
        <v>6071</v>
      </c>
      <c r="O111" s="368">
        <f t="shared" si="21"/>
        <v>20000</v>
      </c>
      <c r="P111" s="368">
        <f t="shared" si="22"/>
        <v>121420</v>
      </c>
    </row>
    <row r="112" spans="1:16" ht="13.5" customHeight="1">
      <c r="H112" s="366">
        <v>42873</v>
      </c>
      <c r="I112" s="366">
        <v>42881</v>
      </c>
      <c r="J112" s="367" t="s">
        <v>95</v>
      </c>
      <c r="K112" s="367">
        <f t="shared" ref="K112:K113" si="37">IF(I112&lt;&gt;"",I112-H112+1,"")</f>
        <v>9</v>
      </c>
      <c r="L112" s="367">
        <f t="shared" ref="L112:L113" si="38">IF(AND(K112&lt;&gt;"",K112&gt;2),K112-2,"")</f>
        <v>7</v>
      </c>
      <c r="M112" s="413">
        <f>892-M111</f>
        <v>425</v>
      </c>
      <c r="N112" s="414">
        <f t="shared" si="32"/>
        <v>5525</v>
      </c>
      <c r="O112" s="368">
        <f t="shared" si="21"/>
        <v>20000</v>
      </c>
      <c r="P112" s="368">
        <f t="shared" si="22"/>
        <v>773500</v>
      </c>
    </row>
    <row r="113" spans="6:16" ht="13.5" customHeight="1">
      <c r="F113" s="342">
        <f>D110-E110-F110</f>
        <v>1824985.3999996185</v>
      </c>
      <c r="H113" s="366">
        <v>42874</v>
      </c>
      <c r="I113" s="366">
        <v>42879</v>
      </c>
      <c r="J113" s="367" t="s">
        <v>698</v>
      </c>
      <c r="K113" s="367">
        <f t="shared" si="37"/>
        <v>6</v>
      </c>
      <c r="L113" s="367">
        <f t="shared" si="38"/>
        <v>4</v>
      </c>
      <c r="M113" s="413">
        <v>28</v>
      </c>
      <c r="N113" s="414">
        <f t="shared" si="32"/>
        <v>364</v>
      </c>
      <c r="O113" s="368">
        <f t="shared" si="21"/>
        <v>20000</v>
      </c>
      <c r="P113" s="368">
        <f t="shared" si="22"/>
        <v>29120</v>
      </c>
    </row>
    <row r="114" spans="6:16" ht="13.5" customHeight="1">
      <c r="H114" s="366">
        <v>42874</v>
      </c>
      <c r="I114" s="366">
        <v>42881</v>
      </c>
      <c r="J114" s="367" t="s">
        <v>186</v>
      </c>
      <c r="K114" s="367">
        <f t="shared" ref="K114:K117" si="39">IF(I114&lt;&gt;"",I114-H114+1,"")</f>
        <v>8</v>
      </c>
      <c r="L114" s="367">
        <f t="shared" ref="L114:L117" si="40">IF(AND(K114&lt;&gt;"",K114&gt;2),K114-2,"")</f>
        <v>6</v>
      </c>
      <c r="M114" s="413">
        <v>248</v>
      </c>
      <c r="N114" s="414">
        <f t="shared" si="32"/>
        <v>3224</v>
      </c>
      <c r="O114" s="368">
        <f t="shared" si="21"/>
        <v>20000</v>
      </c>
      <c r="P114" s="368">
        <f t="shared" si="22"/>
        <v>386880</v>
      </c>
    </row>
    <row r="115" spans="6:16" ht="13.5" customHeight="1">
      <c r="H115" s="366">
        <v>42875</v>
      </c>
      <c r="I115" s="366">
        <v>42881</v>
      </c>
      <c r="J115" s="367" t="s">
        <v>694</v>
      </c>
      <c r="K115" s="367">
        <f t="shared" si="39"/>
        <v>7</v>
      </c>
      <c r="L115" s="367">
        <f t="shared" si="40"/>
        <v>5</v>
      </c>
      <c r="M115" s="413">
        <v>455</v>
      </c>
      <c r="N115" s="414">
        <f t="shared" si="32"/>
        <v>5915</v>
      </c>
      <c r="O115" s="368">
        <f t="shared" si="21"/>
        <v>20000</v>
      </c>
      <c r="P115" s="368">
        <f t="shared" si="22"/>
        <v>591500</v>
      </c>
    </row>
    <row r="116" spans="6:16" ht="13.5" customHeight="1">
      <c r="H116" s="366">
        <v>42875</v>
      </c>
      <c r="I116" s="366">
        <v>42881</v>
      </c>
      <c r="J116" s="367" t="s">
        <v>182</v>
      </c>
      <c r="K116" s="367">
        <f t="shared" si="39"/>
        <v>7</v>
      </c>
      <c r="L116" s="367">
        <f t="shared" si="40"/>
        <v>5</v>
      </c>
      <c r="M116" s="413">
        <v>636</v>
      </c>
      <c r="N116" s="414">
        <f t="shared" ref="N116:N121" si="41">M116*13</f>
        <v>8268</v>
      </c>
      <c r="O116" s="368">
        <f t="shared" ref="O116:O121" si="42">IF(AND(K116&lt;&gt;"",K116&gt;2),20000,0)</f>
        <v>20000</v>
      </c>
      <c r="P116" s="368">
        <f t="shared" ref="P116:P121" si="43">IF(AND(K116&lt;&gt;"",K116&gt;2),O116*N116*L116/1000,"")</f>
        <v>826800</v>
      </c>
    </row>
    <row r="117" spans="6:16" ht="13.5" customHeight="1">
      <c r="H117" s="366">
        <v>42876</v>
      </c>
      <c r="I117" s="366">
        <v>42881</v>
      </c>
      <c r="J117" s="367" t="s">
        <v>695</v>
      </c>
      <c r="K117" s="367">
        <f t="shared" si="39"/>
        <v>6</v>
      </c>
      <c r="L117" s="367">
        <f t="shared" si="40"/>
        <v>4</v>
      </c>
      <c r="M117" s="413">
        <v>266</v>
      </c>
      <c r="N117" s="414">
        <f t="shared" si="41"/>
        <v>3458</v>
      </c>
      <c r="O117" s="368">
        <f t="shared" si="42"/>
        <v>20000</v>
      </c>
      <c r="P117" s="368">
        <f t="shared" si="43"/>
        <v>276640</v>
      </c>
    </row>
    <row r="118" spans="6:16" ht="13.5" customHeight="1">
      <c r="H118" s="366">
        <v>42876</v>
      </c>
      <c r="I118" s="366">
        <v>42882</v>
      </c>
      <c r="J118" s="367" t="s">
        <v>695</v>
      </c>
      <c r="K118" s="367">
        <f t="shared" ref="K118:K126" si="44">IF(I118&lt;&gt;"",I118-H118+1,"")</f>
        <v>7</v>
      </c>
      <c r="L118" s="367">
        <f t="shared" ref="L118:L126" si="45">IF(AND(K118&lt;&gt;"",K118&gt;2),K118-2,"")</f>
        <v>5</v>
      </c>
      <c r="M118" s="413">
        <f>307-M117</f>
        <v>41</v>
      </c>
      <c r="N118" s="414">
        <f t="shared" si="41"/>
        <v>533</v>
      </c>
      <c r="O118" s="368">
        <f t="shared" si="42"/>
        <v>20000</v>
      </c>
      <c r="P118" s="368">
        <f t="shared" si="43"/>
        <v>53300</v>
      </c>
    </row>
    <row r="119" spans="6:16" ht="13.5" customHeight="1">
      <c r="H119" s="366">
        <v>42876</v>
      </c>
      <c r="I119" s="366">
        <v>42882</v>
      </c>
      <c r="J119" s="367" t="s">
        <v>91</v>
      </c>
      <c r="K119" s="367">
        <f t="shared" si="44"/>
        <v>7</v>
      </c>
      <c r="L119" s="367">
        <f t="shared" si="45"/>
        <v>5</v>
      </c>
      <c r="M119" s="413">
        <v>450</v>
      </c>
      <c r="N119" s="414">
        <f t="shared" si="41"/>
        <v>5850</v>
      </c>
      <c r="O119" s="368">
        <f t="shared" si="42"/>
        <v>20000</v>
      </c>
      <c r="P119" s="368">
        <f t="shared" si="43"/>
        <v>585000</v>
      </c>
    </row>
    <row r="120" spans="6:16" ht="13.5" customHeight="1">
      <c r="H120" s="366">
        <v>42876</v>
      </c>
      <c r="I120" s="366">
        <v>42882</v>
      </c>
      <c r="J120" s="367" t="s">
        <v>186</v>
      </c>
      <c r="K120" s="367">
        <f t="shared" si="44"/>
        <v>7</v>
      </c>
      <c r="L120" s="367">
        <f t="shared" si="45"/>
        <v>5</v>
      </c>
      <c r="M120" s="413">
        <v>647</v>
      </c>
      <c r="N120" s="414">
        <f t="shared" si="41"/>
        <v>8411</v>
      </c>
      <c r="O120" s="368">
        <f t="shared" si="42"/>
        <v>20000</v>
      </c>
      <c r="P120" s="368">
        <f t="shared" si="43"/>
        <v>841100</v>
      </c>
    </row>
    <row r="121" spans="6:16" ht="13.5" customHeight="1">
      <c r="H121" s="366">
        <v>42876</v>
      </c>
      <c r="I121" s="366">
        <v>42882</v>
      </c>
      <c r="J121" s="367" t="s">
        <v>121</v>
      </c>
      <c r="K121" s="367">
        <f t="shared" si="44"/>
        <v>7</v>
      </c>
      <c r="L121" s="367">
        <f t="shared" si="45"/>
        <v>5</v>
      </c>
      <c r="M121" s="413">
        <v>603</v>
      </c>
      <c r="N121" s="414">
        <f t="shared" si="41"/>
        <v>7839</v>
      </c>
      <c r="O121" s="368">
        <f t="shared" si="42"/>
        <v>20000</v>
      </c>
      <c r="P121" s="368">
        <f t="shared" si="43"/>
        <v>783900</v>
      </c>
    </row>
    <row r="122" spans="6:16" ht="13.5" customHeight="1">
      <c r="H122" s="366">
        <v>42877</v>
      </c>
      <c r="I122" s="366">
        <v>42882</v>
      </c>
      <c r="J122" s="367" t="s">
        <v>84</v>
      </c>
      <c r="K122" s="367">
        <f t="shared" si="44"/>
        <v>6</v>
      </c>
      <c r="L122" s="367">
        <f t="shared" si="45"/>
        <v>4</v>
      </c>
      <c r="M122" s="413">
        <v>659</v>
      </c>
      <c r="N122" s="414">
        <f t="shared" si="32"/>
        <v>8567</v>
      </c>
      <c r="O122" s="368">
        <f t="shared" si="21"/>
        <v>20000</v>
      </c>
      <c r="P122" s="368">
        <f t="shared" si="22"/>
        <v>685360</v>
      </c>
    </row>
    <row r="123" spans="6:16" ht="13.5" customHeight="1">
      <c r="H123" s="366">
        <v>42877</v>
      </c>
      <c r="I123" s="366">
        <v>42882</v>
      </c>
      <c r="J123" s="367" t="s">
        <v>98</v>
      </c>
      <c r="K123" s="367">
        <f t="shared" si="44"/>
        <v>6</v>
      </c>
      <c r="L123" s="367">
        <f t="shared" si="45"/>
        <v>4</v>
      </c>
      <c r="M123" s="413">
        <v>479</v>
      </c>
      <c r="N123" s="414">
        <f t="shared" si="32"/>
        <v>6227</v>
      </c>
      <c r="O123" s="368">
        <f t="shared" si="21"/>
        <v>20000</v>
      </c>
      <c r="P123" s="368">
        <f t="shared" si="22"/>
        <v>498160</v>
      </c>
    </row>
    <row r="124" spans="6:16" ht="13.5" customHeight="1">
      <c r="H124" s="366">
        <v>42877</v>
      </c>
      <c r="I124" s="366">
        <v>42882</v>
      </c>
      <c r="J124" s="367" t="s">
        <v>120</v>
      </c>
      <c r="K124" s="367">
        <f t="shared" si="44"/>
        <v>6</v>
      </c>
      <c r="L124" s="367">
        <f t="shared" si="45"/>
        <v>4</v>
      </c>
      <c r="M124" s="413">
        <v>343</v>
      </c>
      <c r="N124" s="414">
        <f t="shared" si="32"/>
        <v>4459</v>
      </c>
      <c r="O124" s="368">
        <f t="shared" si="21"/>
        <v>20000</v>
      </c>
      <c r="P124" s="368">
        <f t="shared" si="22"/>
        <v>356720</v>
      </c>
    </row>
    <row r="125" spans="6:16" ht="13.5" customHeight="1">
      <c r="H125" s="366">
        <v>42878</v>
      </c>
      <c r="I125" s="366">
        <v>42882</v>
      </c>
      <c r="J125" s="367" t="s">
        <v>288</v>
      </c>
      <c r="K125" s="367">
        <f t="shared" si="44"/>
        <v>5</v>
      </c>
      <c r="L125" s="367">
        <f t="shared" si="45"/>
        <v>3</v>
      </c>
      <c r="M125" s="413">
        <v>633</v>
      </c>
      <c r="N125" s="414">
        <f t="shared" si="32"/>
        <v>8229</v>
      </c>
      <c r="O125" s="368">
        <f t="shared" si="21"/>
        <v>20000</v>
      </c>
      <c r="P125" s="368">
        <f t="shared" si="22"/>
        <v>493740</v>
      </c>
    </row>
    <row r="126" spans="6:16" ht="13.5" customHeight="1">
      <c r="H126" s="366">
        <v>42879</v>
      </c>
      <c r="I126" s="366">
        <v>42882</v>
      </c>
      <c r="J126" s="367" t="s">
        <v>696</v>
      </c>
      <c r="K126" s="367">
        <f t="shared" si="44"/>
        <v>4</v>
      </c>
      <c r="L126" s="367">
        <f t="shared" si="45"/>
        <v>2</v>
      </c>
      <c r="M126" s="413">
        <v>205</v>
      </c>
      <c r="N126" s="414">
        <f t="shared" si="32"/>
        <v>2665</v>
      </c>
      <c r="O126" s="368">
        <f t="shared" si="21"/>
        <v>20000</v>
      </c>
      <c r="P126" s="368">
        <f t="shared" si="22"/>
        <v>106600</v>
      </c>
    </row>
    <row r="127" spans="6:16" ht="13.5" customHeight="1">
      <c r="H127" s="366">
        <v>42887</v>
      </c>
      <c r="I127" s="366">
        <v>42887</v>
      </c>
      <c r="J127" s="367" t="s">
        <v>705</v>
      </c>
      <c r="K127" s="367">
        <f>IF(I127&lt;&gt;"",I127-H127+1,"")</f>
        <v>1</v>
      </c>
      <c r="L127" s="367" t="str">
        <f>IF(AND(K127&lt;&gt;"",K127&gt;2),K127-2,"")</f>
        <v/>
      </c>
      <c r="M127" s="413">
        <v>2030</v>
      </c>
      <c r="N127" s="414">
        <f>M127*13</f>
        <v>26390</v>
      </c>
      <c r="O127" s="368">
        <f>IF(AND(K127&lt;&gt;"",K127&gt;2),20000,0)</f>
        <v>0</v>
      </c>
      <c r="P127" s="368" t="str">
        <f>IF(AND(K127&lt;&gt;"",K127&gt;2),O127*N127*L127/1000,"")</f>
        <v/>
      </c>
    </row>
    <row r="128" spans="6:16" ht="13.5" customHeight="1">
      <c r="H128" s="366">
        <v>42887</v>
      </c>
      <c r="I128" s="366">
        <v>42887</v>
      </c>
      <c r="J128" s="367" t="s">
        <v>706</v>
      </c>
      <c r="K128" s="367">
        <f>IF(I128&lt;&gt;"",I128-H128+1,"")</f>
        <v>1</v>
      </c>
      <c r="L128" s="367" t="str">
        <f>IF(AND(K128&lt;&gt;"",K128&gt;2),K128-2,"")</f>
        <v/>
      </c>
      <c r="M128" s="413">
        <v>2030</v>
      </c>
      <c r="N128" s="414">
        <f>M128*13</f>
        <v>26390</v>
      </c>
      <c r="O128" s="368">
        <f>IF(AND(K128&lt;&gt;"",K128&gt;2),20000,0)</f>
        <v>0</v>
      </c>
      <c r="P128" s="368" t="str">
        <f>IF(AND(K128&lt;&gt;"",K128&gt;2),O128*N128*L128/1000,"")</f>
        <v/>
      </c>
    </row>
    <row r="129" spans="8:16" ht="13.5" customHeight="1">
      <c r="H129" s="366">
        <v>42888</v>
      </c>
      <c r="I129" s="366">
        <v>42888</v>
      </c>
      <c r="J129" s="367" t="s">
        <v>710</v>
      </c>
      <c r="K129" s="367">
        <f>IF(I129&lt;&gt;"",I129-H129+1,"")</f>
        <v>1</v>
      </c>
      <c r="L129" s="367" t="str">
        <f>IF(AND(K129&lt;&gt;"",K129&gt;2),K129-2,"")</f>
        <v/>
      </c>
      <c r="M129" s="413">
        <v>2019</v>
      </c>
      <c r="N129" s="414">
        <f>M129*13</f>
        <v>26247</v>
      </c>
      <c r="O129" s="368">
        <f>IF(AND(K129&lt;&gt;"",K129&gt;2),20000,0)</f>
        <v>0</v>
      </c>
      <c r="P129" s="368" t="str">
        <f>IF(AND(K129&lt;&gt;"",K129&gt;2),O129*N129*L129/1000,"")</f>
        <v/>
      </c>
    </row>
    <row r="130" spans="8:16" ht="13.5" customHeight="1">
      <c r="H130" s="366">
        <v>42879</v>
      </c>
      <c r="I130" s="366">
        <v>42888</v>
      </c>
      <c r="J130" s="367" t="s">
        <v>696</v>
      </c>
      <c r="K130" s="367">
        <f t="shared" ref="K130:K135" si="46">IF(I130&lt;&gt;"",I130-H130+1,"")</f>
        <v>10</v>
      </c>
      <c r="L130" s="367">
        <f t="shared" ref="L130:L135" si="47">IF(AND(K130&lt;&gt;"",K130&gt;2),K130-2,"")</f>
        <v>8</v>
      </c>
      <c r="M130" s="413">
        <f>450-M126</f>
        <v>245</v>
      </c>
      <c r="N130" s="414">
        <f t="shared" si="32"/>
        <v>3185</v>
      </c>
      <c r="O130" s="368">
        <f t="shared" si="21"/>
        <v>20000</v>
      </c>
      <c r="P130" s="368">
        <f t="shared" si="22"/>
        <v>509600</v>
      </c>
    </row>
    <row r="131" spans="8:16" ht="13.5" customHeight="1">
      <c r="H131" s="366">
        <v>42879</v>
      </c>
      <c r="I131" s="366">
        <v>42888</v>
      </c>
      <c r="J131" s="367" t="s">
        <v>84</v>
      </c>
      <c r="K131" s="367">
        <f t="shared" si="46"/>
        <v>10</v>
      </c>
      <c r="L131" s="367">
        <f t="shared" si="47"/>
        <v>8</v>
      </c>
      <c r="M131" s="413">
        <v>500</v>
      </c>
      <c r="N131" s="414">
        <f t="shared" ref="N131:N138" si="48">M131*13</f>
        <v>6500</v>
      </c>
      <c r="O131" s="368">
        <f t="shared" ref="O131:O138" si="49">IF(AND(K131&lt;&gt;"",K131&gt;2),20000,0)</f>
        <v>20000</v>
      </c>
      <c r="P131" s="368">
        <f t="shared" ref="P131:P138" si="50">IF(AND(K131&lt;&gt;"",K131&gt;2),O131*N131*L131/1000,"")</f>
        <v>1040000</v>
      </c>
    </row>
    <row r="132" spans="8:16" ht="13.5" customHeight="1">
      <c r="H132" s="366">
        <v>42879</v>
      </c>
      <c r="I132" s="366">
        <v>42888</v>
      </c>
      <c r="J132" s="367" t="s">
        <v>282</v>
      </c>
      <c r="K132" s="367">
        <f t="shared" si="46"/>
        <v>10</v>
      </c>
      <c r="L132" s="367">
        <f t="shared" si="47"/>
        <v>8</v>
      </c>
      <c r="M132" s="413">
        <v>413</v>
      </c>
      <c r="N132" s="414">
        <f t="shared" si="48"/>
        <v>5369</v>
      </c>
      <c r="O132" s="368">
        <f t="shared" si="49"/>
        <v>20000</v>
      </c>
      <c r="P132" s="368">
        <f t="shared" si="50"/>
        <v>859040</v>
      </c>
    </row>
    <row r="133" spans="8:16" ht="13.5" customHeight="1">
      <c r="H133" s="366">
        <v>42879</v>
      </c>
      <c r="I133" s="366">
        <v>42888</v>
      </c>
      <c r="J133" s="367" t="s">
        <v>697</v>
      </c>
      <c r="K133" s="367">
        <f t="shared" si="46"/>
        <v>10</v>
      </c>
      <c r="L133" s="367">
        <f t="shared" si="47"/>
        <v>8</v>
      </c>
      <c r="M133" s="413">
        <v>175</v>
      </c>
      <c r="N133" s="414">
        <f t="shared" si="48"/>
        <v>2275</v>
      </c>
      <c r="O133" s="368">
        <f t="shared" si="49"/>
        <v>20000</v>
      </c>
      <c r="P133" s="368">
        <f t="shared" si="50"/>
        <v>364000</v>
      </c>
    </row>
    <row r="134" spans="8:16" ht="13.5" customHeight="1">
      <c r="H134" s="366">
        <v>42880</v>
      </c>
      <c r="I134" s="366">
        <v>42888</v>
      </c>
      <c r="J134" s="367" t="s">
        <v>699</v>
      </c>
      <c r="K134" s="367">
        <f t="shared" si="46"/>
        <v>9</v>
      </c>
      <c r="L134" s="367">
        <f t="shared" si="47"/>
        <v>7</v>
      </c>
      <c r="M134" s="413">
        <f>76+357</f>
        <v>433</v>
      </c>
      <c r="N134" s="414">
        <f t="shared" si="48"/>
        <v>5629</v>
      </c>
      <c r="O134" s="368">
        <f t="shared" si="49"/>
        <v>20000</v>
      </c>
      <c r="P134" s="368">
        <f t="shared" si="50"/>
        <v>788060</v>
      </c>
    </row>
    <row r="135" spans="8:16" ht="13.5" customHeight="1">
      <c r="H135" s="366">
        <v>42880</v>
      </c>
      <c r="I135" s="366">
        <v>42888</v>
      </c>
      <c r="J135" s="367" t="s">
        <v>700</v>
      </c>
      <c r="K135" s="367">
        <f t="shared" si="46"/>
        <v>9</v>
      </c>
      <c r="L135" s="367">
        <f t="shared" si="47"/>
        <v>7</v>
      </c>
      <c r="M135" s="413">
        <v>275</v>
      </c>
      <c r="N135" s="414">
        <f t="shared" si="48"/>
        <v>3575</v>
      </c>
      <c r="O135" s="368">
        <f t="shared" si="49"/>
        <v>20000</v>
      </c>
      <c r="P135" s="368">
        <f t="shared" si="50"/>
        <v>500500</v>
      </c>
    </row>
    <row r="136" spans="8:16" ht="13.5" customHeight="1">
      <c r="H136" s="366">
        <v>42880</v>
      </c>
      <c r="I136" s="366">
        <v>42891</v>
      </c>
      <c r="J136" s="367" t="s">
        <v>715</v>
      </c>
      <c r="K136" s="367">
        <f t="shared" ref="K136" si="51">IF(I136&lt;&gt;"",I136-H136+1,"")</f>
        <v>12</v>
      </c>
      <c r="L136" s="367">
        <f t="shared" ref="L136:L138" si="52">IF(AND(K136&lt;&gt;"",K136&gt;2),K136-2,"")</f>
        <v>10</v>
      </c>
      <c r="M136" s="413">
        <f>286-M135</f>
        <v>11</v>
      </c>
      <c r="N136" s="414">
        <f t="shared" si="48"/>
        <v>143</v>
      </c>
      <c r="O136" s="368">
        <f t="shared" si="49"/>
        <v>20000</v>
      </c>
      <c r="P136" s="368">
        <f t="shared" si="50"/>
        <v>28600</v>
      </c>
    </row>
    <row r="137" spans="8:16" ht="13.5" customHeight="1">
      <c r="H137" s="366">
        <v>42881</v>
      </c>
      <c r="I137" s="366">
        <v>42891</v>
      </c>
      <c r="J137" s="367" t="s">
        <v>716</v>
      </c>
      <c r="K137" s="367">
        <f>IF(I137&lt;&gt;"",I137-H137+1,"")</f>
        <v>11</v>
      </c>
      <c r="L137" s="367">
        <f t="shared" si="52"/>
        <v>9</v>
      </c>
      <c r="M137" s="413">
        <v>470</v>
      </c>
      <c r="N137" s="414">
        <f t="shared" si="48"/>
        <v>6110</v>
      </c>
      <c r="O137" s="368">
        <f t="shared" si="49"/>
        <v>20000</v>
      </c>
      <c r="P137" s="368">
        <f t="shared" si="50"/>
        <v>1099800</v>
      </c>
    </row>
    <row r="138" spans="8:16" ht="13.5" customHeight="1">
      <c r="H138" s="366">
        <v>42883</v>
      </c>
      <c r="I138" s="366">
        <v>42891</v>
      </c>
      <c r="J138" s="367" t="s">
        <v>717</v>
      </c>
      <c r="K138" s="367">
        <f t="shared" ref="K138" si="53">IF(I138&lt;&gt;"",I138-H138+1,"")</f>
        <v>9</v>
      </c>
      <c r="L138" s="367">
        <f t="shared" si="52"/>
        <v>7</v>
      </c>
      <c r="M138" s="413">
        <v>346</v>
      </c>
      <c r="N138" s="414">
        <f t="shared" si="48"/>
        <v>4498</v>
      </c>
      <c r="O138" s="368">
        <f t="shared" si="49"/>
        <v>20000</v>
      </c>
      <c r="P138" s="368">
        <f t="shared" si="50"/>
        <v>629720</v>
      </c>
    </row>
    <row r="139" spans="8:16" ht="13.5" customHeight="1">
      <c r="H139" s="369"/>
      <c r="I139" s="369"/>
      <c r="J139" s="370"/>
      <c r="K139" s="370"/>
      <c r="L139" s="370"/>
      <c r="M139" s="372"/>
      <c r="N139" s="372"/>
      <c r="O139" s="371"/>
      <c r="P139" s="371"/>
    </row>
    <row r="140" spans="8:16" ht="13.5" customHeight="1">
      <c r="H140" s="425"/>
      <c r="I140" s="425"/>
      <c r="J140" s="425" t="s">
        <v>48</v>
      </c>
      <c r="K140" s="425"/>
      <c r="L140" s="425"/>
      <c r="M140" s="424">
        <f>SUM(M97:M139)</f>
        <v>29275</v>
      </c>
      <c r="N140" s="424">
        <f>SUM(N97:N139)</f>
        <v>380575</v>
      </c>
      <c r="O140" s="424"/>
      <c r="P140" s="426">
        <f>SUM(P97:P139)</f>
        <v>19194240</v>
      </c>
    </row>
    <row r="144" spans="8:16">
      <c r="H144" s="363" t="s">
        <v>29</v>
      </c>
      <c r="I144" s="364"/>
      <c r="J144" s="365"/>
      <c r="K144" s="364"/>
      <c r="L144" s="364"/>
      <c r="M144" s="364"/>
      <c r="N144" s="364"/>
      <c r="O144" s="364"/>
      <c r="P144" s="364"/>
    </row>
    <row r="145" spans="1:16" ht="57">
      <c r="A145" s="330" t="s">
        <v>21</v>
      </c>
      <c r="B145" s="331" t="s">
        <v>50</v>
      </c>
      <c r="C145" s="332" t="s">
        <v>51</v>
      </c>
      <c r="D145" s="332" t="s">
        <v>9</v>
      </c>
      <c r="E145" s="333" t="s">
        <v>117</v>
      </c>
      <c r="F145" s="332" t="s">
        <v>52</v>
      </c>
      <c r="H145" s="330" t="s">
        <v>30</v>
      </c>
      <c r="I145" s="330" t="s">
        <v>31</v>
      </c>
      <c r="J145" s="330" t="s">
        <v>103</v>
      </c>
      <c r="K145" s="330" t="s">
        <v>32</v>
      </c>
      <c r="L145" s="330" t="s">
        <v>584</v>
      </c>
      <c r="M145" s="330" t="s">
        <v>83</v>
      </c>
      <c r="N145" s="331" t="s">
        <v>33</v>
      </c>
      <c r="O145" s="332" t="s">
        <v>106</v>
      </c>
      <c r="P145" s="332" t="s">
        <v>9</v>
      </c>
    </row>
    <row r="146" spans="1:16">
      <c r="A146" s="253" t="s">
        <v>749</v>
      </c>
      <c r="B146" s="309">
        <v>444813.4</v>
      </c>
      <c r="C146" s="255">
        <v>22660</v>
      </c>
      <c r="D146" s="255">
        <f>B146*C146</f>
        <v>10079471644</v>
      </c>
      <c r="E146" s="336"/>
      <c r="F146" s="255"/>
      <c r="H146" s="366">
        <v>42883</v>
      </c>
      <c r="I146" s="366">
        <v>42894</v>
      </c>
      <c r="J146" s="367" t="s">
        <v>98</v>
      </c>
      <c r="K146" s="367">
        <f t="shared" ref="K146:K147" si="54">IF(I146&lt;&gt;"",I146-H146+1,"")</f>
        <v>12</v>
      </c>
      <c r="L146" s="367">
        <f t="shared" ref="L146:L147" si="55">IF(AND(K146&lt;&gt;"",K146&gt;2),K146-2,"")</f>
        <v>10</v>
      </c>
      <c r="M146" s="413">
        <v>54</v>
      </c>
      <c r="N146" s="414">
        <f>M146*13</f>
        <v>702</v>
      </c>
      <c r="O146" s="368">
        <f>IF(AND(K146&lt;&gt;"",K146&gt;2),20000,0)</f>
        <v>20000</v>
      </c>
      <c r="P146" s="368">
        <f>IF(AND(K146&lt;&gt;"",K146&gt;2),O146*N146*L146/1000,"")</f>
        <v>140400</v>
      </c>
    </row>
    <row r="147" spans="1:16">
      <c r="A147" s="253" t="s">
        <v>753</v>
      </c>
      <c r="B147" s="310"/>
      <c r="C147" s="255"/>
      <c r="D147" s="255">
        <f>F113</f>
        <v>1824985.3999996185</v>
      </c>
      <c r="E147" s="254"/>
      <c r="F147" s="255"/>
      <c r="H147" s="366">
        <v>42883</v>
      </c>
      <c r="I147" s="366">
        <v>42894</v>
      </c>
      <c r="J147" s="367" t="s">
        <v>701</v>
      </c>
      <c r="K147" s="367">
        <f t="shared" si="54"/>
        <v>12</v>
      </c>
      <c r="L147" s="367">
        <f t="shared" si="55"/>
        <v>10</v>
      </c>
      <c r="M147" s="413">
        <v>600</v>
      </c>
      <c r="N147" s="414">
        <f>M147*13</f>
        <v>7800</v>
      </c>
      <c r="O147" s="368">
        <f>IF(AND(K147&lt;&gt;"",K147&gt;2),20000,0)</f>
        <v>20000</v>
      </c>
      <c r="P147" s="368">
        <f>IF(AND(K147&lt;&gt;"",K147&gt;2),O147*N147*L147/1000,"")</f>
        <v>1560000</v>
      </c>
    </row>
    <row r="148" spans="1:16">
      <c r="A148" s="253" t="s">
        <v>752</v>
      </c>
      <c r="B148" s="310"/>
      <c r="C148" s="255"/>
      <c r="D148" s="255"/>
      <c r="E148" s="255">
        <f>10*51000000</f>
        <v>510000000</v>
      </c>
      <c r="F148" s="255"/>
      <c r="H148" s="366">
        <v>42884</v>
      </c>
      <c r="I148" s="366">
        <v>42894</v>
      </c>
      <c r="J148" s="367" t="s">
        <v>702</v>
      </c>
      <c r="K148" s="367">
        <f>IF(I148&lt;&gt;"",I148-H148+1,"")</f>
        <v>11</v>
      </c>
      <c r="L148" s="367">
        <f>IF(AND(K148&lt;&gt;"",K148&gt;2),K148-2,"")</f>
        <v>9</v>
      </c>
      <c r="M148" s="413">
        <f>567</f>
        <v>567</v>
      </c>
      <c r="N148" s="414">
        <f>M148*13</f>
        <v>7371</v>
      </c>
      <c r="O148" s="368">
        <f>IF(AND(K148&lt;&gt;"",K148&gt;2),20000,0)</f>
        <v>20000</v>
      </c>
      <c r="P148" s="368">
        <f>IF(AND(K148&lt;&gt;"",K148&gt;2),O148*N148*L148/1000,"")</f>
        <v>1326780</v>
      </c>
    </row>
    <row r="149" spans="1:16">
      <c r="A149" s="253" t="s">
        <v>391</v>
      </c>
      <c r="B149" s="310"/>
      <c r="C149" s="255"/>
      <c r="D149" s="255"/>
      <c r="E149" s="255">
        <f>P167</f>
        <v>11238240</v>
      </c>
      <c r="F149" s="255"/>
      <c r="H149" s="366">
        <v>42884</v>
      </c>
      <c r="I149" s="366">
        <v>42894</v>
      </c>
      <c r="J149" s="367" t="s">
        <v>703</v>
      </c>
      <c r="K149" s="367">
        <f>IF(I149&lt;&gt;"",I149-H149+1,"")</f>
        <v>11</v>
      </c>
      <c r="L149" s="367">
        <f>IF(AND(K149&lt;&gt;"",K149&gt;2),K149-2,"")</f>
        <v>9</v>
      </c>
      <c r="M149" s="413">
        <v>315</v>
      </c>
      <c r="N149" s="414">
        <f t="shared" ref="N149:N159" si="56">M149*13</f>
        <v>4095</v>
      </c>
      <c r="O149" s="368">
        <f t="shared" ref="O149:O159" si="57">IF(AND(K149&lt;&gt;"",K149&gt;2),20000,0)</f>
        <v>20000</v>
      </c>
      <c r="P149" s="368">
        <f t="shared" ref="P149:P159" si="58">IF(AND(K149&lt;&gt;"",K149&gt;2),O149*N149*L149/1000,"")</f>
        <v>737100</v>
      </c>
    </row>
    <row r="150" spans="1:16">
      <c r="A150" s="256" t="s">
        <v>754</v>
      </c>
      <c r="B150" s="263"/>
      <c r="C150" s="258"/>
      <c r="D150" s="258"/>
      <c r="E150" s="254">
        <f>10*120*C146</f>
        <v>27192000</v>
      </c>
      <c r="F150" s="255"/>
      <c r="H150" s="366">
        <v>42886</v>
      </c>
      <c r="I150" s="366">
        <v>42894</v>
      </c>
      <c r="J150" s="367" t="s">
        <v>704</v>
      </c>
      <c r="K150" s="367">
        <f>IF(I150&lt;&gt;"",I150-H150+1,"")</f>
        <v>9</v>
      </c>
      <c r="L150" s="367">
        <f>IF(AND(K150&lt;&gt;"",K150&gt;2),K150-2,"")</f>
        <v>7</v>
      </c>
      <c r="M150" s="413">
        <v>290</v>
      </c>
      <c r="N150" s="414">
        <f t="shared" si="56"/>
        <v>3770</v>
      </c>
      <c r="O150" s="368">
        <f t="shared" si="57"/>
        <v>20000</v>
      </c>
      <c r="P150" s="368">
        <f t="shared" si="58"/>
        <v>527800</v>
      </c>
    </row>
    <row r="151" spans="1:16">
      <c r="A151" s="253" t="s">
        <v>755</v>
      </c>
      <c r="B151" s="263"/>
      <c r="C151" s="258"/>
      <c r="D151" s="258"/>
      <c r="E151" s="254">
        <v>1100000</v>
      </c>
      <c r="F151" s="255">
        <v>2000000000</v>
      </c>
      <c r="H151" s="366">
        <v>42888</v>
      </c>
      <c r="I151" s="366">
        <v>42894</v>
      </c>
      <c r="J151" s="367" t="s">
        <v>707</v>
      </c>
      <c r="K151" s="367">
        <f t="shared" ref="K151:K156" si="59">IF(I151&lt;&gt;"",I151-H151+1,"")</f>
        <v>7</v>
      </c>
      <c r="L151" s="367">
        <f t="shared" ref="L151:L156" si="60">IF(AND(K151&lt;&gt;"",K151&gt;2),K151-2,"")</f>
        <v>5</v>
      </c>
      <c r="M151" s="413">
        <v>400</v>
      </c>
      <c r="N151" s="414">
        <f t="shared" si="56"/>
        <v>5200</v>
      </c>
      <c r="O151" s="368">
        <f t="shared" si="57"/>
        <v>20000</v>
      </c>
      <c r="P151" s="368">
        <f t="shared" si="58"/>
        <v>520000</v>
      </c>
    </row>
    <row r="152" spans="1:16">
      <c r="A152" s="253" t="s">
        <v>740</v>
      </c>
      <c r="B152" s="263"/>
      <c r="C152" s="258"/>
      <c r="D152" s="258"/>
      <c r="E152" s="254">
        <v>660000</v>
      </c>
      <c r="F152" s="255">
        <v>2000000000</v>
      </c>
      <c r="H152" s="366">
        <v>42888</v>
      </c>
      <c r="I152" s="366">
        <v>42894</v>
      </c>
      <c r="J152" s="367" t="s">
        <v>708</v>
      </c>
      <c r="K152" s="367">
        <f t="shared" si="59"/>
        <v>7</v>
      </c>
      <c r="L152" s="367">
        <f t="shared" si="60"/>
        <v>5</v>
      </c>
      <c r="M152" s="413">
        <v>460</v>
      </c>
      <c r="N152" s="414">
        <f t="shared" si="56"/>
        <v>5980</v>
      </c>
      <c r="O152" s="368">
        <f t="shared" si="57"/>
        <v>20000</v>
      </c>
      <c r="P152" s="368">
        <f t="shared" si="58"/>
        <v>598000</v>
      </c>
    </row>
    <row r="153" spans="1:16">
      <c r="A153" s="253" t="s">
        <v>583</v>
      </c>
      <c r="B153" s="263"/>
      <c r="C153" s="258"/>
      <c r="D153" s="258"/>
      <c r="E153" s="254">
        <v>660000</v>
      </c>
      <c r="F153" s="255">
        <v>2000000000</v>
      </c>
      <c r="H153" s="366">
        <v>42888</v>
      </c>
      <c r="I153" s="366">
        <v>42894</v>
      </c>
      <c r="J153" s="367" t="s">
        <v>709</v>
      </c>
      <c r="K153" s="367">
        <f t="shared" si="59"/>
        <v>7</v>
      </c>
      <c r="L153" s="367">
        <f t="shared" si="60"/>
        <v>5</v>
      </c>
      <c r="M153" s="413">
        <v>153</v>
      </c>
      <c r="N153" s="414">
        <f t="shared" si="56"/>
        <v>1989</v>
      </c>
      <c r="O153" s="368">
        <f t="shared" si="57"/>
        <v>20000</v>
      </c>
      <c r="P153" s="368">
        <f t="shared" si="58"/>
        <v>198900</v>
      </c>
    </row>
    <row r="154" spans="1:16">
      <c r="A154" s="256" t="s">
        <v>56</v>
      </c>
      <c r="B154" s="338"/>
      <c r="C154" s="258"/>
      <c r="D154" s="258"/>
      <c r="E154" s="254">
        <v>1500000</v>
      </c>
      <c r="F154" s="255">
        <v>3529000000</v>
      </c>
      <c r="H154" s="366">
        <v>42889</v>
      </c>
      <c r="I154" s="366">
        <v>42894</v>
      </c>
      <c r="J154" s="367" t="s">
        <v>711</v>
      </c>
      <c r="K154" s="367">
        <f t="shared" si="59"/>
        <v>6</v>
      </c>
      <c r="L154" s="367">
        <f t="shared" si="60"/>
        <v>4</v>
      </c>
      <c r="M154" s="413">
        <v>312</v>
      </c>
      <c r="N154" s="414">
        <f t="shared" si="56"/>
        <v>4056</v>
      </c>
      <c r="O154" s="368">
        <f t="shared" si="57"/>
        <v>20000</v>
      </c>
      <c r="P154" s="368">
        <f t="shared" si="58"/>
        <v>324480</v>
      </c>
    </row>
    <row r="155" spans="1:16">
      <c r="A155" s="329"/>
      <c r="B155" s="338"/>
      <c r="C155" s="258"/>
      <c r="D155" s="258"/>
      <c r="E155" s="339"/>
      <c r="F155" s="258"/>
      <c r="H155" s="366">
        <v>42891</v>
      </c>
      <c r="I155" s="366">
        <v>42894</v>
      </c>
      <c r="J155" s="367" t="s">
        <v>712</v>
      </c>
      <c r="K155" s="367">
        <f t="shared" si="59"/>
        <v>4</v>
      </c>
      <c r="L155" s="367">
        <f t="shared" si="60"/>
        <v>2</v>
      </c>
      <c r="M155" s="413">
        <v>450</v>
      </c>
      <c r="N155" s="414">
        <f t="shared" si="56"/>
        <v>5850</v>
      </c>
      <c r="O155" s="368">
        <f t="shared" si="57"/>
        <v>20000</v>
      </c>
      <c r="P155" s="368">
        <f t="shared" si="58"/>
        <v>234000</v>
      </c>
    </row>
    <row r="156" spans="1:16">
      <c r="A156" s="387" t="s">
        <v>57</v>
      </c>
      <c r="B156" s="388"/>
      <c r="C156" s="389"/>
      <c r="D156" s="389">
        <f>SUM(D146:D155)</f>
        <v>10081296629.4</v>
      </c>
      <c r="E156" s="390">
        <f>SUM(E146:E155)</f>
        <v>552350240</v>
      </c>
      <c r="F156" s="389">
        <f>SUM(F146:F155)</f>
        <v>9529000000</v>
      </c>
      <c r="H156" s="366">
        <v>42891</v>
      </c>
      <c r="I156" s="366">
        <v>42894</v>
      </c>
      <c r="J156" s="367" t="s">
        <v>702</v>
      </c>
      <c r="K156" s="367">
        <f t="shared" si="59"/>
        <v>4</v>
      </c>
      <c r="L156" s="367">
        <f t="shared" si="60"/>
        <v>2</v>
      </c>
      <c r="M156" s="413">
        <v>459</v>
      </c>
      <c r="N156" s="414">
        <f t="shared" si="56"/>
        <v>5967</v>
      </c>
      <c r="O156" s="368">
        <f t="shared" si="57"/>
        <v>20000</v>
      </c>
      <c r="P156" s="368">
        <f t="shared" si="58"/>
        <v>238680</v>
      </c>
    </row>
    <row r="157" spans="1:16">
      <c r="H157" s="366">
        <v>42891</v>
      </c>
      <c r="I157" s="366">
        <v>42902</v>
      </c>
      <c r="J157" s="367" t="s">
        <v>702</v>
      </c>
      <c r="K157" s="367">
        <f t="shared" ref="K157:K163" si="61">IF(I157&lt;&gt;"",I157-H157+1,"")</f>
        <v>12</v>
      </c>
      <c r="L157" s="367">
        <f t="shared" ref="L157:L163" si="62">IF(AND(K157&lt;&gt;"",K157&gt;2),K157-2,"")</f>
        <v>10</v>
      </c>
      <c r="M157" s="454">
        <f>13+600-M156</f>
        <v>154</v>
      </c>
      <c r="N157" s="414">
        <f t="shared" si="56"/>
        <v>2002</v>
      </c>
      <c r="O157" s="368">
        <f t="shared" si="57"/>
        <v>20000</v>
      </c>
      <c r="P157" s="368">
        <f t="shared" si="58"/>
        <v>400400</v>
      </c>
    </row>
    <row r="158" spans="1:16">
      <c r="H158" s="366">
        <v>42891</v>
      </c>
      <c r="I158" s="366">
        <v>42902</v>
      </c>
      <c r="J158" s="367" t="s">
        <v>713</v>
      </c>
      <c r="K158" s="367">
        <f t="shared" si="61"/>
        <v>12</v>
      </c>
      <c r="L158" s="367">
        <f t="shared" si="62"/>
        <v>10</v>
      </c>
      <c r="M158" s="454">
        <v>436</v>
      </c>
      <c r="N158" s="414">
        <f t="shared" si="56"/>
        <v>5668</v>
      </c>
      <c r="O158" s="368">
        <f t="shared" si="57"/>
        <v>20000</v>
      </c>
      <c r="P158" s="368">
        <f t="shared" si="58"/>
        <v>1133600</v>
      </c>
    </row>
    <row r="159" spans="1:16">
      <c r="F159" s="342">
        <f>D156-E156-F156</f>
        <v>-53610.60000038147</v>
      </c>
      <c r="H159" s="366">
        <v>42891</v>
      </c>
      <c r="I159" s="366">
        <v>42902</v>
      </c>
      <c r="J159" s="367" t="s">
        <v>714</v>
      </c>
      <c r="K159" s="367">
        <f t="shared" si="61"/>
        <v>12</v>
      </c>
      <c r="L159" s="367">
        <f t="shared" si="62"/>
        <v>10</v>
      </c>
      <c r="M159" s="454">
        <v>418</v>
      </c>
      <c r="N159" s="414">
        <f t="shared" si="56"/>
        <v>5434</v>
      </c>
      <c r="O159" s="368">
        <f t="shared" si="57"/>
        <v>20000</v>
      </c>
      <c r="P159" s="368">
        <f t="shared" si="58"/>
        <v>1086800</v>
      </c>
    </row>
    <row r="160" spans="1:16">
      <c r="H160" s="366">
        <v>42892</v>
      </c>
      <c r="I160" s="366">
        <v>42902</v>
      </c>
      <c r="J160" s="367" t="s">
        <v>750</v>
      </c>
      <c r="K160" s="367">
        <f t="shared" si="61"/>
        <v>11</v>
      </c>
      <c r="L160" s="367">
        <f t="shared" si="62"/>
        <v>9</v>
      </c>
      <c r="M160" s="454">
        <v>460</v>
      </c>
      <c r="N160" s="455">
        <f t="shared" ref="N160:N165" si="63">M160*13</f>
        <v>5980</v>
      </c>
      <c r="O160" s="368">
        <f t="shared" ref="O160:O165" si="64">IF(AND(K160&lt;&gt;"",K160&gt;2),20000,0)</f>
        <v>20000</v>
      </c>
      <c r="P160" s="368">
        <f t="shared" ref="P160:P165" si="65">IF(AND(K160&lt;&gt;"",K160&gt;2),O160*N160*L160/1000,"")</f>
        <v>1076400</v>
      </c>
    </row>
    <row r="161" spans="1:16">
      <c r="H161" s="366">
        <v>42892</v>
      </c>
      <c r="I161" s="366">
        <v>42902</v>
      </c>
      <c r="J161" s="367" t="s">
        <v>126</v>
      </c>
      <c r="K161" s="367">
        <f t="shared" si="61"/>
        <v>11</v>
      </c>
      <c r="L161" s="367">
        <f t="shared" si="62"/>
        <v>9</v>
      </c>
      <c r="M161" s="454">
        <v>47</v>
      </c>
      <c r="N161" s="455">
        <f t="shared" si="63"/>
        <v>611</v>
      </c>
      <c r="O161" s="368">
        <f t="shared" si="64"/>
        <v>20000</v>
      </c>
      <c r="P161" s="368">
        <f t="shared" si="65"/>
        <v>109980</v>
      </c>
    </row>
    <row r="162" spans="1:16">
      <c r="H162" s="366">
        <v>42893</v>
      </c>
      <c r="I162" s="366">
        <v>42902</v>
      </c>
      <c r="J162" s="367" t="s">
        <v>751</v>
      </c>
      <c r="K162" s="367">
        <f t="shared" si="61"/>
        <v>10</v>
      </c>
      <c r="L162" s="367">
        <f t="shared" si="62"/>
        <v>8</v>
      </c>
      <c r="M162" s="454">
        <v>426</v>
      </c>
      <c r="N162" s="455">
        <f t="shared" si="63"/>
        <v>5538</v>
      </c>
      <c r="O162" s="368">
        <f t="shared" si="64"/>
        <v>20000</v>
      </c>
      <c r="P162" s="368">
        <f t="shared" si="65"/>
        <v>886080</v>
      </c>
    </row>
    <row r="163" spans="1:16">
      <c r="H163" s="366">
        <v>42895</v>
      </c>
      <c r="I163" s="366">
        <v>42902</v>
      </c>
      <c r="J163" s="367" t="s">
        <v>697</v>
      </c>
      <c r="K163" s="367">
        <f t="shared" si="61"/>
        <v>8</v>
      </c>
      <c r="L163" s="367">
        <f t="shared" si="62"/>
        <v>6</v>
      </c>
      <c r="M163" s="454">
        <v>89</v>
      </c>
      <c r="N163" s="455">
        <f t="shared" si="63"/>
        <v>1157</v>
      </c>
      <c r="O163" s="368">
        <f t="shared" si="64"/>
        <v>20000</v>
      </c>
      <c r="P163" s="368">
        <f t="shared" si="65"/>
        <v>138840</v>
      </c>
    </row>
    <row r="164" spans="1:16">
      <c r="H164" s="366">
        <v>42895</v>
      </c>
      <c r="I164" s="366"/>
      <c r="J164" s="367" t="s">
        <v>697</v>
      </c>
      <c r="K164" s="367" t="str">
        <f t="shared" ref="K164:K165" si="66">IF(I164&lt;&gt;"",I164-H164+1,"")</f>
        <v/>
      </c>
      <c r="L164" s="367" t="str">
        <f t="shared" ref="L164:L165" si="67">IF(AND(K164&lt;&gt;"",K164&gt;2),K164-2,"")</f>
        <v/>
      </c>
      <c r="M164" s="454">
        <f>240-M163</f>
        <v>151</v>
      </c>
      <c r="N164" s="455">
        <f t="shared" si="63"/>
        <v>1963</v>
      </c>
      <c r="O164" s="368">
        <f t="shared" si="64"/>
        <v>0</v>
      </c>
      <c r="P164" s="368" t="str">
        <f t="shared" si="65"/>
        <v/>
      </c>
    </row>
    <row r="165" spans="1:16">
      <c r="H165" s="366">
        <v>42897</v>
      </c>
      <c r="I165" s="366"/>
      <c r="J165" s="367" t="s">
        <v>578</v>
      </c>
      <c r="K165" s="367" t="str">
        <f t="shared" si="66"/>
        <v/>
      </c>
      <c r="L165" s="367" t="str">
        <f t="shared" si="67"/>
        <v/>
      </c>
      <c r="M165" s="454">
        <v>450</v>
      </c>
      <c r="N165" s="455">
        <f t="shared" si="63"/>
        <v>5850</v>
      </c>
      <c r="O165" s="368">
        <f t="shared" si="64"/>
        <v>0</v>
      </c>
      <c r="P165" s="368" t="str">
        <f t="shared" si="65"/>
        <v/>
      </c>
    </row>
    <row r="166" spans="1:16">
      <c r="H166" s="369"/>
      <c r="I166" s="369"/>
      <c r="J166" s="370"/>
      <c r="K166" s="370"/>
      <c r="L166" s="370"/>
      <c r="M166" s="372"/>
      <c r="N166" s="372"/>
      <c r="O166" s="371"/>
      <c r="P166" s="371"/>
    </row>
    <row r="167" spans="1:16">
      <c r="H167" s="425"/>
      <c r="I167" s="425"/>
      <c r="J167" s="425" t="s">
        <v>48</v>
      </c>
      <c r="K167" s="425"/>
      <c r="L167" s="425"/>
      <c r="M167" s="424">
        <f>SUM(M146:M166)</f>
        <v>6691</v>
      </c>
      <c r="N167" s="424">
        <f>SUM(N146:N166)</f>
        <v>86983</v>
      </c>
      <c r="O167" s="424"/>
      <c r="P167" s="426">
        <f>SUM(P146:P166)</f>
        <v>11238240</v>
      </c>
    </row>
    <row r="172" spans="1:16" ht="42.75">
      <c r="A172" s="330" t="s">
        <v>21</v>
      </c>
      <c r="B172" s="331" t="s">
        <v>50</v>
      </c>
      <c r="C172" s="332" t="s">
        <v>51</v>
      </c>
      <c r="D172" s="332" t="s">
        <v>9</v>
      </c>
      <c r="E172" s="333" t="s">
        <v>117</v>
      </c>
      <c r="F172" s="332" t="s">
        <v>52</v>
      </c>
    </row>
    <row r="173" spans="1:16">
      <c r="A173" s="253" t="s">
        <v>757</v>
      </c>
      <c r="B173" s="309">
        <v>443340</v>
      </c>
      <c r="C173" s="255">
        <v>22660</v>
      </c>
      <c r="D173" s="255">
        <f>B173*C173</f>
        <v>10046084400</v>
      </c>
      <c r="E173" s="336"/>
      <c r="F173" s="255"/>
    </row>
    <row r="174" spans="1:16">
      <c r="A174" s="253" t="s">
        <v>123</v>
      </c>
      <c r="B174" s="310"/>
      <c r="C174" s="255"/>
      <c r="D174" s="255"/>
      <c r="E174" s="254">
        <v>2505800</v>
      </c>
      <c r="F174" s="255"/>
    </row>
    <row r="175" spans="1:16">
      <c r="A175" s="253" t="s">
        <v>406</v>
      </c>
      <c r="B175" s="310"/>
      <c r="C175" s="255"/>
      <c r="D175" s="255"/>
      <c r="E175" s="255"/>
      <c r="F175" s="255">
        <v>1041040000</v>
      </c>
    </row>
    <row r="176" spans="1:16">
      <c r="A176" s="256" t="s">
        <v>557</v>
      </c>
      <c r="B176" s="310"/>
      <c r="C176" s="255"/>
      <c r="D176" s="255"/>
      <c r="E176" s="255"/>
      <c r="F176" s="255">
        <v>2789618000</v>
      </c>
    </row>
    <row r="177" spans="1:6">
      <c r="A177" s="253" t="s">
        <v>583</v>
      </c>
      <c r="B177" s="263"/>
      <c r="C177" s="258"/>
      <c r="D177" s="258"/>
      <c r="E177" s="254"/>
      <c r="F177" s="255">
        <v>2000000000</v>
      </c>
    </row>
    <row r="178" spans="1:6">
      <c r="A178" s="253" t="s">
        <v>755</v>
      </c>
      <c r="B178" s="263"/>
      <c r="C178" s="258"/>
      <c r="D178" s="258"/>
      <c r="E178" s="254"/>
      <c r="F178" s="255">
        <v>3000000000</v>
      </c>
    </row>
    <row r="179" spans="1:6">
      <c r="A179" s="256" t="s">
        <v>56</v>
      </c>
      <c r="B179" s="263"/>
      <c r="C179" s="258"/>
      <c r="D179" s="258"/>
      <c r="E179" s="254"/>
      <c r="F179" s="255"/>
    </row>
    <row r="180" spans="1:6">
      <c r="A180" s="253"/>
      <c r="B180" s="263"/>
      <c r="C180" s="258"/>
      <c r="D180" s="258"/>
      <c r="E180" s="254"/>
      <c r="F180" s="255"/>
    </row>
    <row r="181" spans="1:6">
      <c r="A181" s="256"/>
      <c r="B181" s="338"/>
      <c r="C181" s="258"/>
      <c r="D181" s="258"/>
      <c r="E181" s="254"/>
      <c r="F181" s="255"/>
    </row>
    <row r="182" spans="1:6">
      <c r="A182" s="329"/>
      <c r="B182" s="338"/>
      <c r="C182" s="258"/>
      <c r="D182" s="258"/>
      <c r="E182" s="339"/>
      <c r="F182" s="258"/>
    </row>
    <row r="183" spans="1:6">
      <c r="A183" s="387" t="s">
        <v>57</v>
      </c>
      <c r="B183" s="388"/>
      <c r="C183" s="389"/>
      <c r="D183" s="389">
        <f>SUM(D173:D182)</f>
        <v>10046084400</v>
      </c>
      <c r="E183" s="390">
        <f>SUM(E173:E182)</f>
        <v>2505800</v>
      </c>
      <c r="F183" s="389">
        <f>SUM(F173:F182)</f>
        <v>8830658000</v>
      </c>
    </row>
    <row r="186" spans="1:6">
      <c r="F186" s="342">
        <f>D183-E183-F183</f>
        <v>1212920600</v>
      </c>
    </row>
  </sheetData>
  <pageMargins left="0.16" right="0" top="0.19" bottom="0.25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91"/>
  <sheetViews>
    <sheetView topLeftCell="A63" workbookViewId="0">
      <selection activeCell="A67" sqref="A67:J92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9.85546875" style="146" customWidth="1"/>
    <col min="6" max="6" width="10.5703125" style="146" customWidth="1"/>
    <col min="7" max="7" width="13.7109375" style="146" customWidth="1"/>
    <col min="8" max="9" width="12.140625" style="146" customWidth="1"/>
    <col min="10" max="10" width="9.140625" style="146"/>
    <col min="11" max="11" width="11.28515625" style="146" bestFit="1" customWidth="1"/>
    <col min="12" max="16384" width="9.140625" style="146"/>
  </cols>
  <sheetData>
    <row r="2" spans="1:11" s="141" customFormat="1" ht="28.5" customHeight="1">
      <c r="A2" s="530" t="s">
        <v>518</v>
      </c>
      <c r="B2" s="530"/>
      <c r="C2" s="530"/>
      <c r="D2" s="530"/>
      <c r="E2" s="530"/>
      <c r="F2" s="530"/>
      <c r="G2" s="530"/>
      <c r="H2" s="530"/>
      <c r="I2" s="530"/>
      <c r="J2" s="530"/>
    </row>
    <row r="3" spans="1:11" s="143" customFormat="1" ht="33.75" customHeight="1">
      <c r="A3" s="302" t="s">
        <v>0</v>
      </c>
      <c r="B3" s="302" t="s">
        <v>205</v>
      </c>
      <c r="C3" s="302" t="s">
        <v>206</v>
      </c>
      <c r="D3" s="302" t="s">
        <v>207</v>
      </c>
      <c r="E3" s="302" t="s">
        <v>7</v>
      </c>
      <c r="F3" s="302" t="s">
        <v>8</v>
      </c>
      <c r="G3" s="302" t="s">
        <v>9</v>
      </c>
      <c r="H3" s="302" t="s">
        <v>208</v>
      </c>
      <c r="I3" s="317" t="s">
        <v>465</v>
      </c>
      <c r="J3" s="302" t="s">
        <v>82</v>
      </c>
    </row>
    <row r="4" spans="1:11" ht="22.5" customHeight="1">
      <c r="A4" s="144">
        <v>1</v>
      </c>
      <c r="B4" s="303">
        <v>42738</v>
      </c>
      <c r="C4" s="152" t="s">
        <v>466</v>
      </c>
      <c r="D4" s="145" t="s">
        <v>218</v>
      </c>
      <c r="E4" s="326">
        <v>2026</v>
      </c>
      <c r="F4" s="138">
        <v>8500</v>
      </c>
      <c r="G4" s="138">
        <f t="shared" ref="G4:G13" si="0">E4*F4</f>
        <v>17221000</v>
      </c>
      <c r="H4" s="138">
        <f t="shared" ref="H4:H13" si="1">G4*10%</f>
        <v>1722100</v>
      </c>
      <c r="I4" s="138">
        <f>G4+H4</f>
        <v>18943100</v>
      </c>
      <c r="J4" s="147"/>
      <c r="K4" s="157"/>
    </row>
    <row r="5" spans="1:11" ht="22.5" customHeight="1">
      <c r="A5" s="144">
        <v>2</v>
      </c>
      <c r="B5" s="303">
        <v>42739</v>
      </c>
      <c r="C5" s="152" t="s">
        <v>467</v>
      </c>
      <c r="D5" s="145" t="s">
        <v>218</v>
      </c>
      <c r="E5" s="326">
        <v>2027</v>
      </c>
      <c r="F5" s="138">
        <v>8500</v>
      </c>
      <c r="G5" s="138">
        <f t="shared" si="0"/>
        <v>17229500</v>
      </c>
      <c r="H5" s="138">
        <f t="shared" si="1"/>
        <v>1722950</v>
      </c>
      <c r="I5" s="138">
        <f t="shared" ref="I5:I13" si="2">G5+H5</f>
        <v>18952450</v>
      </c>
      <c r="J5" s="147"/>
      <c r="K5" s="157"/>
    </row>
    <row r="6" spans="1:11" ht="22.5" customHeight="1">
      <c r="A6" s="144">
        <v>3</v>
      </c>
      <c r="B6" s="303">
        <v>42740</v>
      </c>
      <c r="C6" s="156" t="s">
        <v>468</v>
      </c>
      <c r="D6" s="145" t="s">
        <v>218</v>
      </c>
      <c r="E6" s="326">
        <v>2027</v>
      </c>
      <c r="F6" s="138">
        <v>8500</v>
      </c>
      <c r="G6" s="138">
        <f t="shared" si="0"/>
        <v>17229500</v>
      </c>
      <c r="H6" s="138">
        <f t="shared" si="1"/>
        <v>1722950</v>
      </c>
      <c r="I6" s="138">
        <f t="shared" si="2"/>
        <v>18952450</v>
      </c>
      <c r="J6" s="147"/>
      <c r="K6" s="157"/>
    </row>
    <row r="7" spans="1:11" ht="22.5" customHeight="1">
      <c r="A7" s="144">
        <v>4</v>
      </c>
      <c r="B7" s="303">
        <v>42744</v>
      </c>
      <c r="C7" s="156" t="s">
        <v>469</v>
      </c>
      <c r="D7" s="145" t="s">
        <v>218</v>
      </c>
      <c r="E7" s="326">
        <v>2027</v>
      </c>
      <c r="F7" s="138">
        <v>8500</v>
      </c>
      <c r="G7" s="138">
        <f t="shared" si="0"/>
        <v>17229500</v>
      </c>
      <c r="H7" s="138">
        <f t="shared" si="1"/>
        <v>1722950</v>
      </c>
      <c r="I7" s="138">
        <f t="shared" si="2"/>
        <v>18952450</v>
      </c>
      <c r="J7" s="147"/>
      <c r="K7" s="157"/>
    </row>
    <row r="8" spans="1:11" ht="22.5" customHeight="1">
      <c r="A8" s="144">
        <v>5</v>
      </c>
      <c r="B8" s="303">
        <v>42749</v>
      </c>
      <c r="C8" s="156" t="s">
        <v>470</v>
      </c>
      <c r="D8" s="145" t="s">
        <v>218</v>
      </c>
      <c r="E8" s="326">
        <v>2027</v>
      </c>
      <c r="F8" s="138">
        <v>8500</v>
      </c>
      <c r="G8" s="138">
        <f t="shared" si="0"/>
        <v>17229500</v>
      </c>
      <c r="H8" s="138">
        <f t="shared" si="1"/>
        <v>1722950</v>
      </c>
      <c r="I8" s="138">
        <f t="shared" si="2"/>
        <v>18952450</v>
      </c>
      <c r="J8" s="147"/>
      <c r="K8" s="157"/>
    </row>
    <row r="9" spans="1:11" ht="22.5" customHeight="1">
      <c r="A9" s="144">
        <v>6</v>
      </c>
      <c r="B9" s="303">
        <v>42751</v>
      </c>
      <c r="C9" s="156" t="s">
        <v>471</v>
      </c>
      <c r="D9" s="145" t="s">
        <v>218</v>
      </c>
      <c r="E9" s="326">
        <v>2027</v>
      </c>
      <c r="F9" s="138">
        <v>8500</v>
      </c>
      <c r="G9" s="138">
        <f t="shared" si="0"/>
        <v>17229500</v>
      </c>
      <c r="H9" s="138">
        <f t="shared" si="1"/>
        <v>1722950</v>
      </c>
      <c r="I9" s="138">
        <f t="shared" si="2"/>
        <v>18952450</v>
      </c>
      <c r="J9" s="147"/>
      <c r="K9" s="157"/>
    </row>
    <row r="10" spans="1:11" ht="22.5" customHeight="1">
      <c r="A10" s="144">
        <v>7</v>
      </c>
      <c r="B10" s="303">
        <v>42753</v>
      </c>
      <c r="C10" s="156" t="s">
        <v>472</v>
      </c>
      <c r="D10" s="145" t="s">
        <v>218</v>
      </c>
      <c r="E10" s="326">
        <v>2022</v>
      </c>
      <c r="F10" s="138">
        <v>8500</v>
      </c>
      <c r="G10" s="138">
        <f t="shared" si="0"/>
        <v>17187000</v>
      </c>
      <c r="H10" s="138">
        <f t="shared" si="1"/>
        <v>1718700</v>
      </c>
      <c r="I10" s="138">
        <f t="shared" si="2"/>
        <v>18905700</v>
      </c>
      <c r="J10" s="147"/>
      <c r="K10" s="157"/>
    </row>
    <row r="11" spans="1:11" ht="22.5" customHeight="1">
      <c r="A11" s="144">
        <v>8</v>
      </c>
      <c r="B11" s="303">
        <v>42767</v>
      </c>
      <c r="C11" s="156" t="s">
        <v>473</v>
      </c>
      <c r="D11" s="145" t="s">
        <v>218</v>
      </c>
      <c r="E11" s="326">
        <v>2022</v>
      </c>
      <c r="F11" s="138">
        <v>8500</v>
      </c>
      <c r="G11" s="138">
        <f t="shared" si="0"/>
        <v>17187000</v>
      </c>
      <c r="H11" s="138">
        <f t="shared" si="1"/>
        <v>1718700</v>
      </c>
      <c r="I11" s="138">
        <f t="shared" si="2"/>
        <v>18905700</v>
      </c>
      <c r="J11" s="147"/>
      <c r="K11" s="157"/>
    </row>
    <row r="12" spans="1:11" ht="22.5" customHeight="1">
      <c r="A12" s="144">
        <v>9</v>
      </c>
      <c r="B12" s="303">
        <v>42784</v>
      </c>
      <c r="C12" s="156" t="s">
        <v>474</v>
      </c>
      <c r="D12" s="145" t="s">
        <v>218</v>
      </c>
      <c r="E12" s="326">
        <v>2022</v>
      </c>
      <c r="F12" s="138">
        <v>8500</v>
      </c>
      <c r="G12" s="138">
        <f t="shared" si="0"/>
        <v>17187000</v>
      </c>
      <c r="H12" s="138">
        <f t="shared" si="1"/>
        <v>1718700</v>
      </c>
      <c r="I12" s="138">
        <f t="shared" si="2"/>
        <v>18905700</v>
      </c>
      <c r="J12" s="147"/>
      <c r="K12" s="157"/>
    </row>
    <row r="13" spans="1:11" ht="22.5" customHeight="1">
      <c r="A13" s="144">
        <v>10</v>
      </c>
      <c r="B13" s="303">
        <v>42787</v>
      </c>
      <c r="C13" s="156" t="s">
        <v>475</v>
      </c>
      <c r="D13" s="145" t="s">
        <v>218</v>
      </c>
      <c r="E13" s="326">
        <v>2022</v>
      </c>
      <c r="F13" s="138">
        <v>8500</v>
      </c>
      <c r="G13" s="138">
        <f t="shared" si="0"/>
        <v>17187000</v>
      </c>
      <c r="H13" s="138">
        <f t="shared" si="1"/>
        <v>1718700</v>
      </c>
      <c r="I13" s="138">
        <f t="shared" si="2"/>
        <v>18905700</v>
      </c>
      <c r="J13" s="147"/>
      <c r="K13" s="157"/>
    </row>
    <row r="14" spans="1:11" ht="22.5" customHeight="1">
      <c r="A14" s="144">
        <v>11</v>
      </c>
      <c r="B14" s="318">
        <v>42790</v>
      </c>
      <c r="C14" s="156" t="s">
        <v>476</v>
      </c>
      <c r="D14" s="145" t="s">
        <v>218</v>
      </c>
      <c r="E14" s="326">
        <v>2021</v>
      </c>
      <c r="F14" s="138">
        <v>8500</v>
      </c>
      <c r="G14" s="138">
        <f t="shared" ref="G14:G21" si="3">E14*F14</f>
        <v>17178500</v>
      </c>
      <c r="H14" s="138">
        <f t="shared" ref="H14:H21" si="4">G14*10%</f>
        <v>1717850</v>
      </c>
      <c r="I14" s="138">
        <f t="shared" ref="I14:I21" si="5">G14+H14</f>
        <v>18896350</v>
      </c>
      <c r="J14" s="147"/>
      <c r="K14" s="157"/>
    </row>
    <row r="15" spans="1:11" ht="22.5" customHeight="1">
      <c r="A15" s="144">
        <v>12</v>
      </c>
      <c r="B15" s="318">
        <v>42795</v>
      </c>
      <c r="C15" s="156" t="s">
        <v>477</v>
      </c>
      <c r="D15" s="145" t="s">
        <v>218</v>
      </c>
      <c r="E15" s="326">
        <v>2030</v>
      </c>
      <c r="F15" s="138">
        <v>8500</v>
      </c>
      <c r="G15" s="138">
        <f t="shared" si="3"/>
        <v>17255000</v>
      </c>
      <c r="H15" s="138">
        <f t="shared" si="4"/>
        <v>1725500</v>
      </c>
      <c r="I15" s="138">
        <f t="shared" si="5"/>
        <v>18980500</v>
      </c>
      <c r="J15" s="147"/>
      <c r="K15" s="157"/>
    </row>
    <row r="16" spans="1:11" ht="22.5" customHeight="1">
      <c r="A16" s="144">
        <v>13</v>
      </c>
      <c r="B16" s="318">
        <v>42801</v>
      </c>
      <c r="C16" s="156" t="s">
        <v>478</v>
      </c>
      <c r="D16" s="145" t="s">
        <v>218</v>
      </c>
      <c r="E16" s="326">
        <v>2030</v>
      </c>
      <c r="F16" s="138">
        <v>8500</v>
      </c>
      <c r="G16" s="138">
        <f t="shared" si="3"/>
        <v>17255000</v>
      </c>
      <c r="H16" s="138">
        <f t="shared" si="4"/>
        <v>1725500</v>
      </c>
      <c r="I16" s="138">
        <f t="shared" si="5"/>
        <v>18980500</v>
      </c>
      <c r="J16" s="147"/>
      <c r="K16" s="157"/>
    </row>
    <row r="17" spans="1:11" ht="22.5" customHeight="1">
      <c r="A17" s="144">
        <v>14</v>
      </c>
      <c r="B17" s="318">
        <v>42804</v>
      </c>
      <c r="C17" s="156" t="s">
        <v>479</v>
      </c>
      <c r="D17" s="145" t="s">
        <v>218</v>
      </c>
      <c r="E17" s="326">
        <v>2030</v>
      </c>
      <c r="F17" s="138">
        <v>8500</v>
      </c>
      <c r="G17" s="138">
        <f t="shared" si="3"/>
        <v>17255000</v>
      </c>
      <c r="H17" s="138">
        <f t="shared" si="4"/>
        <v>1725500</v>
      </c>
      <c r="I17" s="138">
        <f t="shared" si="5"/>
        <v>18980500</v>
      </c>
      <c r="J17" s="147"/>
      <c r="K17" s="157"/>
    </row>
    <row r="18" spans="1:11" ht="22.5" customHeight="1">
      <c r="A18" s="144">
        <v>15</v>
      </c>
      <c r="B18" s="318">
        <v>42807</v>
      </c>
      <c r="C18" s="156" t="s">
        <v>480</v>
      </c>
      <c r="D18" s="145" t="s">
        <v>218</v>
      </c>
      <c r="E18" s="326">
        <v>2030</v>
      </c>
      <c r="F18" s="138">
        <v>8500</v>
      </c>
      <c r="G18" s="138">
        <f t="shared" si="3"/>
        <v>17255000</v>
      </c>
      <c r="H18" s="138">
        <f t="shared" si="4"/>
        <v>1725500</v>
      </c>
      <c r="I18" s="138">
        <f t="shared" si="5"/>
        <v>18980500</v>
      </c>
      <c r="J18" s="147"/>
      <c r="K18" s="157"/>
    </row>
    <row r="19" spans="1:11" ht="22.5" customHeight="1">
      <c r="A19" s="144">
        <v>16</v>
      </c>
      <c r="B19" s="318">
        <v>42809</v>
      </c>
      <c r="C19" s="156" t="s">
        <v>481</v>
      </c>
      <c r="D19" s="145" t="s">
        <v>218</v>
      </c>
      <c r="E19" s="326">
        <v>2030</v>
      </c>
      <c r="F19" s="138">
        <v>8500</v>
      </c>
      <c r="G19" s="138">
        <f t="shared" si="3"/>
        <v>17255000</v>
      </c>
      <c r="H19" s="138">
        <f t="shared" si="4"/>
        <v>1725500</v>
      </c>
      <c r="I19" s="138">
        <f t="shared" si="5"/>
        <v>18980500</v>
      </c>
      <c r="J19" s="147"/>
      <c r="K19" s="157"/>
    </row>
    <row r="20" spans="1:11" ht="22.5" customHeight="1">
      <c r="A20" s="144">
        <v>17</v>
      </c>
      <c r="B20" s="318">
        <v>42810</v>
      </c>
      <c r="C20" s="156" t="s">
        <v>482</v>
      </c>
      <c r="D20" s="145" t="s">
        <v>218</v>
      </c>
      <c r="E20" s="326">
        <v>2030</v>
      </c>
      <c r="F20" s="138">
        <v>8500</v>
      </c>
      <c r="G20" s="138">
        <f t="shared" si="3"/>
        <v>17255000</v>
      </c>
      <c r="H20" s="138">
        <f t="shared" si="4"/>
        <v>1725500</v>
      </c>
      <c r="I20" s="138">
        <f t="shared" si="5"/>
        <v>18980500</v>
      </c>
      <c r="J20" s="147"/>
      <c r="K20" s="157"/>
    </row>
    <row r="21" spans="1:11" ht="22.5" customHeight="1">
      <c r="A21" s="144">
        <v>18</v>
      </c>
      <c r="B21" s="318">
        <v>42812</v>
      </c>
      <c r="C21" s="156" t="s">
        <v>512</v>
      </c>
      <c r="D21" s="145" t="s">
        <v>218</v>
      </c>
      <c r="E21" s="326">
        <v>2030</v>
      </c>
      <c r="F21" s="138">
        <v>8500</v>
      </c>
      <c r="G21" s="138">
        <f t="shared" si="3"/>
        <v>17255000</v>
      </c>
      <c r="H21" s="138">
        <f t="shared" si="4"/>
        <v>1725500</v>
      </c>
      <c r="I21" s="138">
        <f t="shared" si="5"/>
        <v>18980500</v>
      </c>
      <c r="J21" s="147"/>
      <c r="K21" s="157"/>
    </row>
    <row r="22" spans="1:11" ht="22.5" customHeight="1">
      <c r="A22" s="144">
        <v>19</v>
      </c>
      <c r="B22" s="318">
        <v>42816</v>
      </c>
      <c r="C22" s="156" t="s">
        <v>513</v>
      </c>
      <c r="D22" s="145" t="s">
        <v>218</v>
      </c>
      <c r="E22" s="326">
        <v>2030</v>
      </c>
      <c r="F22" s="138">
        <v>8500</v>
      </c>
      <c r="G22" s="138">
        <f t="shared" ref="G22:G26" si="6">E22*F22</f>
        <v>17255000</v>
      </c>
      <c r="H22" s="138">
        <f t="shared" ref="H22:H26" si="7">G22*10%</f>
        <v>1725500</v>
      </c>
      <c r="I22" s="138">
        <f t="shared" ref="I22:I26" si="8">G22+H22</f>
        <v>18980500</v>
      </c>
      <c r="J22" s="147"/>
      <c r="K22" s="157"/>
    </row>
    <row r="23" spans="1:11" ht="22.5" customHeight="1">
      <c r="A23" s="144">
        <v>20</v>
      </c>
      <c r="B23" s="318">
        <v>42818</v>
      </c>
      <c r="C23" s="156" t="s">
        <v>514</v>
      </c>
      <c r="D23" s="145" t="s">
        <v>218</v>
      </c>
      <c r="E23" s="326">
        <v>2030</v>
      </c>
      <c r="F23" s="138">
        <v>8500</v>
      </c>
      <c r="G23" s="138">
        <f t="shared" si="6"/>
        <v>17255000</v>
      </c>
      <c r="H23" s="138">
        <f t="shared" si="7"/>
        <v>1725500</v>
      </c>
      <c r="I23" s="138">
        <f t="shared" si="8"/>
        <v>18980500</v>
      </c>
      <c r="J23" s="147"/>
      <c r="K23" s="157"/>
    </row>
    <row r="24" spans="1:11" ht="22.5" customHeight="1">
      <c r="A24" s="144">
        <v>21</v>
      </c>
      <c r="B24" s="318">
        <v>42822</v>
      </c>
      <c r="C24" s="156" t="s">
        <v>515</v>
      </c>
      <c r="D24" s="145" t="s">
        <v>218</v>
      </c>
      <c r="E24" s="326">
        <v>2030</v>
      </c>
      <c r="F24" s="138">
        <v>8500</v>
      </c>
      <c r="G24" s="138">
        <f t="shared" si="6"/>
        <v>17255000</v>
      </c>
      <c r="H24" s="138">
        <f t="shared" si="7"/>
        <v>1725500</v>
      </c>
      <c r="I24" s="138">
        <f t="shared" si="8"/>
        <v>18980500</v>
      </c>
      <c r="J24" s="147"/>
      <c r="K24" s="157"/>
    </row>
    <row r="25" spans="1:11" ht="22.5" customHeight="1">
      <c r="A25" s="144">
        <v>22</v>
      </c>
      <c r="B25" s="318">
        <v>42825</v>
      </c>
      <c r="C25" s="156" t="s">
        <v>516</v>
      </c>
      <c r="D25" s="145" t="s">
        <v>218</v>
      </c>
      <c r="E25" s="326">
        <v>2030</v>
      </c>
      <c r="F25" s="138">
        <v>8500</v>
      </c>
      <c r="G25" s="138">
        <f t="shared" si="6"/>
        <v>17255000</v>
      </c>
      <c r="H25" s="138">
        <f t="shared" si="7"/>
        <v>1725500</v>
      </c>
      <c r="I25" s="138">
        <f t="shared" si="8"/>
        <v>18980500</v>
      </c>
      <c r="J25" s="147"/>
      <c r="K25" s="157"/>
    </row>
    <row r="26" spans="1:11" ht="22.5" customHeight="1">
      <c r="A26" s="144">
        <v>23</v>
      </c>
      <c r="B26" s="318">
        <v>42826</v>
      </c>
      <c r="C26" s="156" t="s">
        <v>517</v>
      </c>
      <c r="D26" s="145" t="s">
        <v>218</v>
      </c>
      <c r="E26" s="326">
        <v>2030</v>
      </c>
      <c r="F26" s="138">
        <v>8500</v>
      </c>
      <c r="G26" s="138">
        <f t="shared" si="6"/>
        <v>17255000</v>
      </c>
      <c r="H26" s="138">
        <f t="shared" si="7"/>
        <v>1725500</v>
      </c>
      <c r="I26" s="138">
        <f t="shared" si="8"/>
        <v>18980500</v>
      </c>
      <c r="J26" s="147"/>
      <c r="K26" s="157"/>
    </row>
    <row r="27" spans="1:11" ht="22.5" customHeight="1">
      <c r="A27" s="148"/>
      <c r="B27" s="149"/>
      <c r="C27" s="149"/>
      <c r="D27" s="149"/>
      <c r="E27" s="140"/>
      <c r="F27" s="140"/>
      <c r="G27" s="140"/>
      <c r="H27" s="140"/>
      <c r="I27" s="140"/>
      <c r="J27" s="149"/>
    </row>
    <row r="28" spans="1:11" s="155" customFormat="1" ht="21" customHeight="1">
      <c r="A28" s="531" t="s">
        <v>19</v>
      </c>
      <c r="B28" s="531"/>
      <c r="C28" s="531"/>
      <c r="D28" s="531"/>
      <c r="E28" s="153"/>
      <c r="F28" s="153"/>
      <c r="G28" s="153">
        <f>SUM(G4:G27)</f>
        <v>396355000</v>
      </c>
      <c r="H28" s="153">
        <f>SUM(H4:H27)</f>
        <v>39635500</v>
      </c>
      <c r="I28" s="153"/>
      <c r="J28" s="154"/>
    </row>
    <row r="30" spans="1:11" s="141" customFormat="1" ht="14.25">
      <c r="A30" s="141" t="s">
        <v>221</v>
      </c>
    </row>
    <row r="31" spans="1:11" s="141" customFormat="1" ht="14.25">
      <c r="A31" s="141" t="s">
        <v>222</v>
      </c>
    </row>
    <row r="32" spans="1:11" s="141" customFormat="1" ht="14.25">
      <c r="A32" s="141" t="s">
        <v>223</v>
      </c>
    </row>
    <row r="35" spans="1:11" s="141" customFormat="1" ht="28.5" customHeight="1">
      <c r="A35" s="530" t="s">
        <v>585</v>
      </c>
      <c r="B35" s="530"/>
      <c r="C35" s="530"/>
      <c r="D35" s="530"/>
      <c r="E35" s="530"/>
      <c r="F35" s="530"/>
      <c r="G35" s="530"/>
      <c r="H35" s="530"/>
      <c r="I35" s="530"/>
      <c r="J35" s="530"/>
    </row>
    <row r="36" spans="1:11" s="143" customFormat="1" ht="33.75" customHeight="1">
      <c r="A36" s="377" t="s">
        <v>0</v>
      </c>
      <c r="B36" s="377" t="s">
        <v>205</v>
      </c>
      <c r="C36" s="377" t="s">
        <v>206</v>
      </c>
      <c r="D36" s="377" t="s">
        <v>207</v>
      </c>
      <c r="E36" s="377" t="s">
        <v>7</v>
      </c>
      <c r="F36" s="377" t="s">
        <v>8</v>
      </c>
      <c r="G36" s="377" t="s">
        <v>9</v>
      </c>
      <c r="H36" s="377" t="s">
        <v>208</v>
      </c>
      <c r="I36" s="377" t="s">
        <v>465</v>
      </c>
      <c r="J36" s="377" t="s">
        <v>82</v>
      </c>
    </row>
    <row r="37" spans="1:11" ht="22.5" customHeight="1">
      <c r="A37" s="144">
        <v>1</v>
      </c>
      <c r="B37" s="401">
        <v>42840</v>
      </c>
      <c r="C37" s="156" t="s">
        <v>586</v>
      </c>
      <c r="D37" s="145" t="s">
        <v>218</v>
      </c>
      <c r="E37" s="400">
        <v>2030</v>
      </c>
      <c r="F37" s="138">
        <v>8500</v>
      </c>
      <c r="G37" s="138">
        <f t="shared" ref="G37:G46" si="9">E37*F37</f>
        <v>17255000</v>
      </c>
      <c r="H37" s="138">
        <f t="shared" ref="H37:H46" si="10">G37*10%</f>
        <v>1725500</v>
      </c>
      <c r="I37" s="138">
        <f t="shared" ref="I37:I46" si="11">G37+H37</f>
        <v>18980500</v>
      </c>
      <c r="J37" s="147"/>
      <c r="K37" s="157"/>
    </row>
    <row r="38" spans="1:11" ht="22.5" customHeight="1">
      <c r="A38" s="144">
        <v>2</v>
      </c>
      <c r="B38" s="401">
        <v>42841</v>
      </c>
      <c r="C38" s="156" t="s">
        <v>587</v>
      </c>
      <c r="D38" s="145" t="s">
        <v>218</v>
      </c>
      <c r="E38" s="400">
        <v>2030</v>
      </c>
      <c r="F38" s="138">
        <v>8500</v>
      </c>
      <c r="G38" s="138">
        <f t="shared" si="9"/>
        <v>17255000</v>
      </c>
      <c r="H38" s="138">
        <f t="shared" si="10"/>
        <v>1725500</v>
      </c>
      <c r="I38" s="138">
        <f t="shared" si="11"/>
        <v>18980500</v>
      </c>
      <c r="J38" s="147"/>
      <c r="K38" s="157"/>
    </row>
    <row r="39" spans="1:11" ht="22.5" customHeight="1">
      <c r="A39" s="144">
        <v>3</v>
      </c>
      <c r="B39" s="401">
        <v>42853</v>
      </c>
      <c r="C39" s="156" t="s">
        <v>588</v>
      </c>
      <c r="D39" s="145" t="s">
        <v>218</v>
      </c>
      <c r="E39" s="400">
        <v>2030</v>
      </c>
      <c r="F39" s="138">
        <v>8500</v>
      </c>
      <c r="G39" s="138">
        <f t="shared" si="9"/>
        <v>17255000</v>
      </c>
      <c r="H39" s="138">
        <f t="shared" si="10"/>
        <v>1725500</v>
      </c>
      <c r="I39" s="138">
        <f t="shared" si="11"/>
        <v>18980500</v>
      </c>
      <c r="J39" s="147"/>
      <c r="K39" s="157"/>
    </row>
    <row r="40" spans="1:11" ht="22.5" customHeight="1">
      <c r="A40" s="144">
        <v>4</v>
      </c>
      <c r="B40" s="401">
        <v>42859</v>
      </c>
      <c r="C40" s="152" t="s">
        <v>589</v>
      </c>
      <c r="D40" s="145" t="s">
        <v>218</v>
      </c>
      <c r="E40" s="400">
        <v>2030</v>
      </c>
      <c r="F40" s="138">
        <v>8500</v>
      </c>
      <c r="G40" s="138">
        <f t="shared" si="9"/>
        <v>17255000</v>
      </c>
      <c r="H40" s="138">
        <f t="shared" si="10"/>
        <v>1725500</v>
      </c>
      <c r="I40" s="138">
        <f t="shared" si="11"/>
        <v>18980500</v>
      </c>
      <c r="J40" s="147"/>
      <c r="K40" s="157"/>
    </row>
    <row r="41" spans="1:11" ht="22.5" customHeight="1">
      <c r="A41" s="144">
        <v>5</v>
      </c>
      <c r="B41" s="401">
        <v>42860</v>
      </c>
      <c r="C41" s="156" t="s">
        <v>590</v>
      </c>
      <c r="D41" s="145" t="s">
        <v>218</v>
      </c>
      <c r="E41" s="400">
        <v>2030</v>
      </c>
      <c r="F41" s="138">
        <v>8500</v>
      </c>
      <c r="G41" s="138">
        <f t="shared" si="9"/>
        <v>17255000</v>
      </c>
      <c r="H41" s="138">
        <f t="shared" si="10"/>
        <v>1725500</v>
      </c>
      <c r="I41" s="138">
        <f t="shared" si="11"/>
        <v>18980500</v>
      </c>
      <c r="J41" s="147"/>
      <c r="K41" s="157"/>
    </row>
    <row r="42" spans="1:11" ht="22.5" customHeight="1">
      <c r="A42" s="144">
        <v>6</v>
      </c>
      <c r="B42" s="401">
        <v>42863</v>
      </c>
      <c r="C42" s="156" t="s">
        <v>643</v>
      </c>
      <c r="D42" s="145" t="s">
        <v>218</v>
      </c>
      <c r="E42" s="400">
        <v>2030</v>
      </c>
      <c r="F42" s="138">
        <v>8500</v>
      </c>
      <c r="G42" s="138">
        <f t="shared" si="9"/>
        <v>17255000</v>
      </c>
      <c r="H42" s="138">
        <f t="shared" si="10"/>
        <v>1725500</v>
      </c>
      <c r="I42" s="138">
        <f t="shared" si="11"/>
        <v>18980500</v>
      </c>
      <c r="J42" s="147"/>
      <c r="K42" s="157"/>
    </row>
    <row r="43" spans="1:11" ht="22.5" customHeight="1">
      <c r="A43" s="144">
        <v>7</v>
      </c>
      <c r="B43" s="401">
        <v>42864</v>
      </c>
      <c r="C43" s="156" t="s">
        <v>644</v>
      </c>
      <c r="D43" s="145" t="s">
        <v>218</v>
      </c>
      <c r="E43" s="400">
        <v>2030</v>
      </c>
      <c r="F43" s="138">
        <v>8500</v>
      </c>
      <c r="G43" s="138">
        <f t="shared" si="9"/>
        <v>17255000</v>
      </c>
      <c r="H43" s="138">
        <f t="shared" si="10"/>
        <v>1725500</v>
      </c>
      <c r="I43" s="138">
        <f t="shared" si="11"/>
        <v>18980500</v>
      </c>
      <c r="J43" s="147"/>
      <c r="K43" s="157"/>
    </row>
    <row r="44" spans="1:11" ht="22.5" customHeight="1">
      <c r="A44" s="144">
        <v>8</v>
      </c>
      <c r="B44" s="401">
        <v>42866</v>
      </c>
      <c r="C44" s="156" t="s">
        <v>645</v>
      </c>
      <c r="D44" s="145" t="s">
        <v>218</v>
      </c>
      <c r="E44" s="400">
        <v>2030</v>
      </c>
      <c r="F44" s="138">
        <v>8500</v>
      </c>
      <c r="G44" s="138">
        <f t="shared" si="9"/>
        <v>17255000</v>
      </c>
      <c r="H44" s="138">
        <f t="shared" si="10"/>
        <v>1725500</v>
      </c>
      <c r="I44" s="138">
        <f t="shared" si="11"/>
        <v>18980500</v>
      </c>
      <c r="J44" s="147"/>
      <c r="K44" s="157"/>
    </row>
    <row r="45" spans="1:11" ht="22.5" customHeight="1">
      <c r="A45" s="144">
        <v>9</v>
      </c>
      <c r="B45" s="401">
        <v>42870</v>
      </c>
      <c r="C45" s="156" t="s">
        <v>646</v>
      </c>
      <c r="D45" s="145" t="s">
        <v>218</v>
      </c>
      <c r="E45" s="400">
        <v>2030</v>
      </c>
      <c r="F45" s="138">
        <v>8500</v>
      </c>
      <c r="G45" s="138">
        <f t="shared" si="9"/>
        <v>17255000</v>
      </c>
      <c r="H45" s="138">
        <f t="shared" si="10"/>
        <v>1725500</v>
      </c>
      <c r="I45" s="138">
        <f t="shared" si="11"/>
        <v>18980500</v>
      </c>
      <c r="J45" s="147"/>
      <c r="K45" s="157"/>
    </row>
    <row r="46" spans="1:11" ht="22.5" customHeight="1">
      <c r="A46" s="144">
        <v>10</v>
      </c>
      <c r="B46" s="401">
        <v>42871</v>
      </c>
      <c r="C46" s="156" t="s">
        <v>653</v>
      </c>
      <c r="D46" s="145" t="s">
        <v>218</v>
      </c>
      <c r="E46" s="397">
        <v>2030</v>
      </c>
      <c r="F46" s="138">
        <v>8500</v>
      </c>
      <c r="G46" s="138">
        <f t="shared" si="9"/>
        <v>17255000</v>
      </c>
      <c r="H46" s="138">
        <f t="shared" si="10"/>
        <v>1725500</v>
      </c>
      <c r="I46" s="138">
        <f t="shared" si="11"/>
        <v>18980500</v>
      </c>
      <c r="J46" s="147"/>
      <c r="K46" s="157"/>
    </row>
    <row r="47" spans="1:11" ht="22.5" customHeight="1">
      <c r="A47" s="144">
        <v>11</v>
      </c>
      <c r="B47" s="398">
        <v>42810</v>
      </c>
      <c r="C47" s="156" t="s">
        <v>649</v>
      </c>
      <c r="D47" s="147" t="s">
        <v>218</v>
      </c>
      <c r="E47" s="397">
        <v>2030</v>
      </c>
      <c r="F47" s="138">
        <v>8500</v>
      </c>
      <c r="G47" s="139">
        <f t="shared" ref="G47:G55" si="12">E47*F47</f>
        <v>17255000</v>
      </c>
      <c r="H47" s="139">
        <f t="shared" ref="H47:H55" si="13">G47*10%</f>
        <v>1725500</v>
      </c>
      <c r="I47" s="139">
        <f t="shared" ref="I47:I55" si="14">G47+H47</f>
        <v>18980500</v>
      </c>
      <c r="J47" s="147"/>
      <c r="K47" s="157"/>
    </row>
    <row r="48" spans="1:11" ht="22.5" customHeight="1">
      <c r="A48" s="144">
        <v>12</v>
      </c>
      <c r="B48" s="398">
        <v>42811</v>
      </c>
      <c r="C48" s="156" t="s">
        <v>650</v>
      </c>
      <c r="D48" s="147" t="s">
        <v>218</v>
      </c>
      <c r="E48" s="397">
        <v>2030</v>
      </c>
      <c r="F48" s="138">
        <v>8500</v>
      </c>
      <c r="G48" s="139">
        <f t="shared" si="12"/>
        <v>17255000</v>
      </c>
      <c r="H48" s="139">
        <f t="shared" si="13"/>
        <v>1725500</v>
      </c>
      <c r="I48" s="139">
        <f t="shared" si="14"/>
        <v>18980500</v>
      </c>
      <c r="J48" s="147"/>
      <c r="K48" s="157"/>
    </row>
    <row r="49" spans="1:11" ht="22.5" customHeight="1">
      <c r="A49" s="144">
        <v>13</v>
      </c>
      <c r="B49" s="398">
        <v>42821</v>
      </c>
      <c r="C49" s="156" t="s">
        <v>651</v>
      </c>
      <c r="D49" s="147" t="s">
        <v>218</v>
      </c>
      <c r="E49" s="397">
        <v>2030</v>
      </c>
      <c r="F49" s="138">
        <v>8500</v>
      </c>
      <c r="G49" s="139">
        <f t="shared" si="12"/>
        <v>17255000</v>
      </c>
      <c r="H49" s="139">
        <f t="shared" si="13"/>
        <v>1725500</v>
      </c>
      <c r="I49" s="139">
        <f t="shared" si="14"/>
        <v>18980500</v>
      </c>
      <c r="J49" s="147"/>
      <c r="K49" s="157"/>
    </row>
    <row r="50" spans="1:11" ht="22.5" customHeight="1">
      <c r="A50" s="144">
        <v>14</v>
      </c>
      <c r="B50" s="399">
        <v>42822</v>
      </c>
      <c r="C50" s="384" t="s">
        <v>652</v>
      </c>
      <c r="D50" s="147" t="s">
        <v>218</v>
      </c>
      <c r="E50" s="397">
        <v>2030</v>
      </c>
      <c r="F50" s="138">
        <v>8500</v>
      </c>
      <c r="G50" s="139">
        <f t="shared" ref="G50:G54" si="15">E50*F50</f>
        <v>17255000</v>
      </c>
      <c r="H50" s="139">
        <f t="shared" ref="H50:H54" si="16">G50*10%</f>
        <v>1725500</v>
      </c>
      <c r="I50" s="139">
        <f t="shared" ref="I50:I54" si="17">G50+H50</f>
        <v>18980500</v>
      </c>
      <c r="J50" s="147"/>
      <c r="K50" s="157"/>
    </row>
    <row r="51" spans="1:11" ht="22.5" customHeight="1">
      <c r="A51" s="144">
        <v>15</v>
      </c>
      <c r="B51" s="399">
        <v>42825</v>
      </c>
      <c r="C51" s="384" t="s">
        <v>594</v>
      </c>
      <c r="D51" s="147" t="s">
        <v>218</v>
      </c>
      <c r="E51" s="397">
        <v>1907</v>
      </c>
      <c r="F51" s="138">
        <v>8500</v>
      </c>
      <c r="G51" s="139">
        <f t="shared" si="15"/>
        <v>16209500</v>
      </c>
      <c r="H51" s="139">
        <f t="shared" si="16"/>
        <v>1620950</v>
      </c>
      <c r="I51" s="139">
        <f t="shared" si="17"/>
        <v>17830450</v>
      </c>
      <c r="J51" s="147"/>
      <c r="K51" s="157"/>
    </row>
    <row r="52" spans="1:11" ht="22.5" customHeight="1">
      <c r="A52" s="144">
        <v>16</v>
      </c>
      <c r="B52" s="399">
        <v>42826</v>
      </c>
      <c r="C52" s="384" t="s">
        <v>591</v>
      </c>
      <c r="D52" s="147" t="s">
        <v>218</v>
      </c>
      <c r="E52" s="397">
        <v>2030</v>
      </c>
      <c r="F52" s="138">
        <v>8500</v>
      </c>
      <c r="G52" s="139">
        <f t="shared" si="15"/>
        <v>17255000</v>
      </c>
      <c r="H52" s="139">
        <f t="shared" si="16"/>
        <v>1725500</v>
      </c>
      <c r="I52" s="139">
        <f t="shared" si="17"/>
        <v>18980500</v>
      </c>
      <c r="J52" s="147"/>
      <c r="K52" s="157"/>
    </row>
    <row r="53" spans="1:11" ht="22.5" customHeight="1">
      <c r="A53" s="144">
        <v>17</v>
      </c>
      <c r="B53" s="399">
        <v>42828</v>
      </c>
      <c r="C53" s="384" t="s">
        <v>592</v>
      </c>
      <c r="D53" s="147" t="s">
        <v>218</v>
      </c>
      <c r="E53" s="397">
        <v>2030</v>
      </c>
      <c r="F53" s="138">
        <v>8500</v>
      </c>
      <c r="G53" s="139">
        <f t="shared" si="15"/>
        <v>17255000</v>
      </c>
      <c r="H53" s="139">
        <f t="shared" si="16"/>
        <v>1725500</v>
      </c>
      <c r="I53" s="139">
        <f t="shared" si="17"/>
        <v>18980500</v>
      </c>
      <c r="J53" s="147"/>
      <c r="K53" s="157"/>
    </row>
    <row r="54" spans="1:11" ht="22.5" customHeight="1">
      <c r="A54" s="144">
        <v>18</v>
      </c>
      <c r="B54" s="399">
        <v>42852</v>
      </c>
      <c r="C54" s="384" t="s">
        <v>593</v>
      </c>
      <c r="D54" s="147" t="s">
        <v>218</v>
      </c>
      <c r="E54" s="397">
        <v>2030</v>
      </c>
      <c r="F54" s="138">
        <v>8500</v>
      </c>
      <c r="G54" s="139">
        <f t="shared" si="15"/>
        <v>17255000</v>
      </c>
      <c r="H54" s="139">
        <f t="shared" si="16"/>
        <v>1725500</v>
      </c>
      <c r="I54" s="139">
        <f t="shared" si="17"/>
        <v>18980500</v>
      </c>
      <c r="J54" s="147"/>
      <c r="K54" s="157"/>
    </row>
    <row r="55" spans="1:11" ht="22.5" customHeight="1">
      <c r="A55" s="144">
        <v>19</v>
      </c>
      <c r="B55" s="399">
        <v>42869</v>
      </c>
      <c r="C55" s="384" t="s">
        <v>647</v>
      </c>
      <c r="D55" s="147" t="s">
        <v>218</v>
      </c>
      <c r="E55" s="372">
        <v>2030</v>
      </c>
      <c r="F55" s="138">
        <v>8500</v>
      </c>
      <c r="G55" s="139">
        <f t="shared" si="12"/>
        <v>17255000</v>
      </c>
      <c r="H55" s="139">
        <f t="shared" si="13"/>
        <v>1725500</v>
      </c>
      <c r="I55" s="139">
        <f t="shared" si="14"/>
        <v>18980500</v>
      </c>
      <c r="J55" s="147"/>
      <c r="K55" s="157"/>
    </row>
    <row r="56" spans="1:11" ht="22.5" customHeight="1">
      <c r="A56" s="144">
        <v>20</v>
      </c>
      <c r="B56" s="378">
        <v>42870</v>
      </c>
      <c r="C56" s="152" t="s">
        <v>648</v>
      </c>
      <c r="D56" s="145" t="s">
        <v>218</v>
      </c>
      <c r="E56" s="376">
        <v>2030</v>
      </c>
      <c r="F56" s="138">
        <v>8500</v>
      </c>
      <c r="G56" s="138">
        <f t="shared" ref="G56" si="18">E56*F56</f>
        <v>17255000</v>
      </c>
      <c r="H56" s="138">
        <f t="shared" ref="H56" si="19">G56*10%</f>
        <v>1725500</v>
      </c>
      <c r="I56" s="138">
        <f t="shared" ref="I56" si="20">G56+H56</f>
        <v>18980500</v>
      </c>
      <c r="J56" s="147"/>
      <c r="K56" s="157"/>
    </row>
    <row r="57" spans="1:11" ht="22.5" customHeight="1">
      <c r="A57" s="379"/>
      <c r="B57" s="380"/>
      <c r="C57" s="380"/>
      <c r="D57" s="380"/>
      <c r="E57" s="381"/>
      <c r="F57" s="381"/>
      <c r="G57" s="381"/>
      <c r="H57" s="381"/>
      <c r="I57" s="381"/>
      <c r="J57" s="380"/>
    </row>
    <row r="58" spans="1:11" s="155" customFormat="1" ht="21" customHeight="1">
      <c r="A58" s="531" t="s">
        <v>19</v>
      </c>
      <c r="B58" s="531"/>
      <c r="C58" s="531"/>
      <c r="D58" s="531"/>
      <c r="E58" s="153">
        <f>SUM(E37:E57)</f>
        <v>40477</v>
      </c>
      <c r="F58" s="153"/>
      <c r="G58" s="153">
        <f>SUM(G37:G57)</f>
        <v>344054500</v>
      </c>
      <c r="H58" s="153">
        <f>SUM(H37:H57)</f>
        <v>34405450</v>
      </c>
      <c r="I58" s="153"/>
      <c r="J58" s="154"/>
    </row>
    <row r="60" spans="1:11" s="141" customFormat="1" ht="14.25">
      <c r="A60" s="141" t="s">
        <v>221</v>
      </c>
    </row>
    <row r="61" spans="1:11" s="141" customFormat="1" ht="14.25">
      <c r="A61" s="141" t="s">
        <v>222</v>
      </c>
    </row>
    <row r="62" spans="1:11" s="141" customFormat="1" ht="14.25">
      <c r="A62" s="141" t="s">
        <v>223</v>
      </c>
    </row>
    <row r="67" spans="1:11" s="141" customFormat="1" ht="28.5" customHeight="1">
      <c r="A67" s="530" t="s">
        <v>718</v>
      </c>
      <c r="B67" s="530"/>
      <c r="C67" s="530"/>
      <c r="D67" s="530"/>
      <c r="E67" s="530"/>
      <c r="F67" s="530"/>
      <c r="G67" s="530"/>
      <c r="H67" s="530"/>
      <c r="I67" s="530"/>
      <c r="J67" s="530"/>
    </row>
    <row r="68" spans="1:11" s="143" customFormat="1" ht="33.75" customHeight="1">
      <c r="A68" s="416" t="s">
        <v>0</v>
      </c>
      <c r="B68" s="416" t="s">
        <v>205</v>
      </c>
      <c r="C68" s="416" t="s">
        <v>206</v>
      </c>
      <c r="D68" s="416" t="s">
        <v>207</v>
      </c>
      <c r="E68" s="416" t="s">
        <v>7</v>
      </c>
      <c r="F68" s="416" t="s">
        <v>8</v>
      </c>
      <c r="G68" s="416" t="s">
        <v>9</v>
      </c>
      <c r="H68" s="416" t="s">
        <v>208</v>
      </c>
      <c r="I68" s="416" t="s">
        <v>465</v>
      </c>
      <c r="J68" s="416" t="s">
        <v>82</v>
      </c>
    </row>
    <row r="69" spans="1:11" ht="22.5" customHeight="1">
      <c r="A69" s="144">
        <v>1</v>
      </c>
      <c r="B69" s="417">
        <v>42873</v>
      </c>
      <c r="C69" s="156" t="s">
        <v>719</v>
      </c>
      <c r="D69" s="145" t="s">
        <v>218</v>
      </c>
      <c r="E69" s="415">
        <v>2030</v>
      </c>
      <c r="F69" s="138">
        <v>8800</v>
      </c>
      <c r="G69" s="138">
        <f t="shared" ref="G69:G85" si="21">E69*F69</f>
        <v>17864000</v>
      </c>
      <c r="H69" s="138">
        <f t="shared" ref="H69:H85" si="22">G69*10%</f>
        <v>1786400</v>
      </c>
      <c r="I69" s="138">
        <f t="shared" ref="I69:I85" si="23">G69+H69</f>
        <v>19650400</v>
      </c>
      <c r="J69" s="147"/>
      <c r="K69" s="157"/>
    </row>
    <row r="70" spans="1:11" ht="22.5" customHeight="1">
      <c r="A70" s="144">
        <v>2</v>
      </c>
      <c r="B70" s="417">
        <v>42875</v>
      </c>
      <c r="C70" s="156" t="s">
        <v>720</v>
      </c>
      <c r="D70" s="145" t="s">
        <v>218</v>
      </c>
      <c r="E70" s="415">
        <v>2030</v>
      </c>
      <c r="F70" s="138">
        <v>8800</v>
      </c>
      <c r="G70" s="138">
        <f t="shared" si="21"/>
        <v>17864000</v>
      </c>
      <c r="H70" s="138">
        <f t="shared" si="22"/>
        <v>1786400</v>
      </c>
      <c r="I70" s="138">
        <f t="shared" si="23"/>
        <v>19650400</v>
      </c>
      <c r="J70" s="147"/>
      <c r="K70" s="157"/>
    </row>
    <row r="71" spans="1:11" ht="22.5" customHeight="1">
      <c r="A71" s="144">
        <v>3</v>
      </c>
      <c r="B71" s="417">
        <v>42876</v>
      </c>
      <c r="C71" s="156" t="s">
        <v>721</v>
      </c>
      <c r="D71" s="145" t="s">
        <v>218</v>
      </c>
      <c r="E71" s="415">
        <v>2030</v>
      </c>
      <c r="F71" s="138">
        <v>8800</v>
      </c>
      <c r="G71" s="138">
        <f t="shared" si="21"/>
        <v>17864000</v>
      </c>
      <c r="H71" s="138">
        <f t="shared" si="22"/>
        <v>1786400</v>
      </c>
      <c r="I71" s="138">
        <f t="shared" si="23"/>
        <v>19650400</v>
      </c>
      <c r="J71" s="147"/>
      <c r="K71" s="157"/>
    </row>
    <row r="72" spans="1:11" ht="22.5" customHeight="1">
      <c r="A72" s="144">
        <v>4</v>
      </c>
      <c r="B72" s="417">
        <v>42877</v>
      </c>
      <c r="C72" s="152" t="s">
        <v>722</v>
      </c>
      <c r="D72" s="145" t="s">
        <v>218</v>
      </c>
      <c r="E72" s="415">
        <v>2030</v>
      </c>
      <c r="F72" s="138">
        <v>8800</v>
      </c>
      <c r="G72" s="138">
        <f t="shared" si="21"/>
        <v>17864000</v>
      </c>
      <c r="H72" s="138">
        <f t="shared" si="22"/>
        <v>1786400</v>
      </c>
      <c r="I72" s="138">
        <f t="shared" si="23"/>
        <v>19650400</v>
      </c>
      <c r="J72" s="147"/>
      <c r="K72" s="157"/>
    </row>
    <row r="73" spans="1:11" ht="22.5" customHeight="1">
      <c r="A73" s="144">
        <v>5</v>
      </c>
      <c r="B73" s="417">
        <v>42878</v>
      </c>
      <c r="C73" s="156" t="s">
        <v>723</v>
      </c>
      <c r="D73" s="145" t="s">
        <v>218</v>
      </c>
      <c r="E73" s="415">
        <v>2030</v>
      </c>
      <c r="F73" s="138">
        <v>8800</v>
      </c>
      <c r="G73" s="138">
        <f t="shared" si="21"/>
        <v>17864000</v>
      </c>
      <c r="H73" s="138">
        <f t="shared" si="22"/>
        <v>1786400</v>
      </c>
      <c r="I73" s="138">
        <f t="shared" si="23"/>
        <v>19650400</v>
      </c>
      <c r="J73" s="147"/>
      <c r="K73" s="157"/>
    </row>
    <row r="74" spans="1:11" ht="22.5" customHeight="1">
      <c r="A74" s="144">
        <v>6</v>
      </c>
      <c r="B74" s="417">
        <v>42879</v>
      </c>
      <c r="C74" s="156" t="s">
        <v>724</v>
      </c>
      <c r="D74" s="145" t="s">
        <v>218</v>
      </c>
      <c r="E74" s="415">
        <v>2030</v>
      </c>
      <c r="F74" s="138">
        <v>8800</v>
      </c>
      <c r="G74" s="138">
        <f t="shared" si="21"/>
        <v>17864000</v>
      </c>
      <c r="H74" s="138">
        <f t="shared" si="22"/>
        <v>1786400</v>
      </c>
      <c r="I74" s="138">
        <f t="shared" si="23"/>
        <v>19650400</v>
      </c>
      <c r="J74" s="147"/>
      <c r="K74" s="157"/>
    </row>
    <row r="75" spans="1:11" ht="22.5" customHeight="1">
      <c r="A75" s="144">
        <v>7</v>
      </c>
      <c r="B75" s="417">
        <v>42880</v>
      </c>
      <c r="C75" s="156" t="s">
        <v>725</v>
      </c>
      <c r="D75" s="145" t="s">
        <v>218</v>
      </c>
      <c r="E75" s="415">
        <v>2030</v>
      </c>
      <c r="F75" s="138">
        <v>8800</v>
      </c>
      <c r="G75" s="138">
        <f t="shared" si="21"/>
        <v>17864000</v>
      </c>
      <c r="H75" s="138">
        <f t="shared" si="22"/>
        <v>1786400</v>
      </c>
      <c r="I75" s="138">
        <f t="shared" si="23"/>
        <v>19650400</v>
      </c>
      <c r="J75" s="147"/>
      <c r="K75" s="157"/>
    </row>
    <row r="76" spans="1:11" ht="22.5" customHeight="1">
      <c r="A76" s="144">
        <v>8</v>
      </c>
      <c r="B76" s="417">
        <v>42881</v>
      </c>
      <c r="C76" s="156" t="s">
        <v>726</v>
      </c>
      <c r="D76" s="145" t="s">
        <v>218</v>
      </c>
      <c r="E76" s="415">
        <v>2030</v>
      </c>
      <c r="F76" s="138">
        <v>8800</v>
      </c>
      <c r="G76" s="138">
        <f t="shared" si="21"/>
        <v>17864000</v>
      </c>
      <c r="H76" s="138">
        <f t="shared" si="22"/>
        <v>1786400</v>
      </c>
      <c r="I76" s="138">
        <f t="shared" si="23"/>
        <v>19650400</v>
      </c>
      <c r="J76" s="147"/>
      <c r="K76" s="157"/>
    </row>
    <row r="77" spans="1:11" ht="22.5" customHeight="1">
      <c r="A77" s="144">
        <v>9</v>
      </c>
      <c r="B77" s="417">
        <v>42882</v>
      </c>
      <c r="C77" s="156" t="s">
        <v>727</v>
      </c>
      <c r="D77" s="145" t="s">
        <v>218</v>
      </c>
      <c r="E77" s="415">
        <v>2030</v>
      </c>
      <c r="F77" s="138">
        <v>8800</v>
      </c>
      <c r="G77" s="138">
        <f t="shared" si="21"/>
        <v>17864000</v>
      </c>
      <c r="H77" s="138">
        <f t="shared" si="22"/>
        <v>1786400</v>
      </c>
      <c r="I77" s="138">
        <f t="shared" si="23"/>
        <v>19650400</v>
      </c>
      <c r="J77" s="147"/>
      <c r="K77" s="157"/>
    </row>
    <row r="78" spans="1:11" ht="22.5" customHeight="1">
      <c r="A78" s="144">
        <v>10</v>
      </c>
      <c r="B78" s="417">
        <v>42883</v>
      </c>
      <c r="C78" s="156" t="s">
        <v>728</v>
      </c>
      <c r="D78" s="145" t="s">
        <v>218</v>
      </c>
      <c r="E78" s="415">
        <v>2030</v>
      </c>
      <c r="F78" s="138">
        <v>8800</v>
      </c>
      <c r="G78" s="138">
        <f t="shared" si="21"/>
        <v>17864000</v>
      </c>
      <c r="H78" s="138">
        <f t="shared" si="22"/>
        <v>1786400</v>
      </c>
      <c r="I78" s="138">
        <f t="shared" si="23"/>
        <v>19650400</v>
      </c>
      <c r="J78" s="147"/>
      <c r="K78" s="157"/>
    </row>
    <row r="79" spans="1:11" ht="22.5" customHeight="1">
      <c r="A79" s="144">
        <v>11</v>
      </c>
      <c r="B79" s="418">
        <v>42884</v>
      </c>
      <c r="C79" s="156" t="s">
        <v>729</v>
      </c>
      <c r="D79" s="147" t="s">
        <v>218</v>
      </c>
      <c r="E79" s="415">
        <v>2030</v>
      </c>
      <c r="F79" s="138">
        <v>8800</v>
      </c>
      <c r="G79" s="139">
        <f t="shared" si="21"/>
        <v>17864000</v>
      </c>
      <c r="H79" s="139">
        <f t="shared" si="22"/>
        <v>1786400</v>
      </c>
      <c r="I79" s="139">
        <f t="shared" si="23"/>
        <v>19650400</v>
      </c>
      <c r="J79" s="147"/>
      <c r="K79" s="157"/>
    </row>
    <row r="80" spans="1:11" ht="22.5" customHeight="1">
      <c r="A80" s="144">
        <v>12</v>
      </c>
      <c r="B80" s="418">
        <v>42885</v>
      </c>
      <c r="C80" s="156" t="s">
        <v>730</v>
      </c>
      <c r="D80" s="147" t="s">
        <v>218</v>
      </c>
      <c r="E80" s="415">
        <v>2030</v>
      </c>
      <c r="F80" s="138">
        <v>8800</v>
      </c>
      <c r="G80" s="139">
        <f t="shared" si="21"/>
        <v>17864000</v>
      </c>
      <c r="H80" s="139">
        <f t="shared" si="22"/>
        <v>1786400</v>
      </c>
      <c r="I80" s="139">
        <f t="shared" si="23"/>
        <v>19650400</v>
      </c>
      <c r="J80" s="147"/>
      <c r="K80" s="157"/>
    </row>
    <row r="81" spans="1:11" ht="22.5" customHeight="1">
      <c r="A81" s="144">
        <v>13</v>
      </c>
      <c r="B81" s="418">
        <v>42886</v>
      </c>
      <c r="C81" s="156" t="s">
        <v>731</v>
      </c>
      <c r="D81" s="147" t="s">
        <v>218</v>
      </c>
      <c r="E81" s="415">
        <v>2030</v>
      </c>
      <c r="F81" s="138">
        <v>8800</v>
      </c>
      <c r="G81" s="139">
        <f t="shared" si="21"/>
        <v>17864000</v>
      </c>
      <c r="H81" s="139">
        <f t="shared" si="22"/>
        <v>1786400</v>
      </c>
      <c r="I81" s="139">
        <f t="shared" si="23"/>
        <v>19650400</v>
      </c>
      <c r="J81" s="147"/>
      <c r="K81" s="157"/>
    </row>
    <row r="82" spans="1:11" ht="22.5" customHeight="1">
      <c r="A82" s="144">
        <v>14</v>
      </c>
      <c r="B82" s="419">
        <v>42887</v>
      </c>
      <c r="C82" s="384" t="s">
        <v>732</v>
      </c>
      <c r="D82" s="147" t="s">
        <v>218</v>
      </c>
      <c r="E82" s="415">
        <v>2030</v>
      </c>
      <c r="F82" s="138">
        <v>8800</v>
      </c>
      <c r="G82" s="139">
        <f t="shared" si="21"/>
        <v>17864000</v>
      </c>
      <c r="H82" s="139">
        <f t="shared" si="22"/>
        <v>1786400</v>
      </c>
      <c r="I82" s="139">
        <f t="shared" si="23"/>
        <v>19650400</v>
      </c>
      <c r="J82" s="147"/>
      <c r="K82" s="157"/>
    </row>
    <row r="83" spans="1:11" ht="22.5" customHeight="1">
      <c r="A83" s="144">
        <v>15</v>
      </c>
      <c r="B83" s="419">
        <v>42888</v>
      </c>
      <c r="C83" s="384" t="s">
        <v>733</v>
      </c>
      <c r="D83" s="147" t="s">
        <v>218</v>
      </c>
      <c r="E83" s="415">
        <v>2030</v>
      </c>
      <c r="F83" s="138">
        <v>8800</v>
      </c>
      <c r="G83" s="139">
        <f t="shared" si="21"/>
        <v>17864000</v>
      </c>
      <c r="H83" s="139">
        <f t="shared" si="22"/>
        <v>1786400</v>
      </c>
      <c r="I83" s="139">
        <f t="shared" si="23"/>
        <v>19650400</v>
      </c>
      <c r="J83" s="147"/>
      <c r="K83" s="157"/>
    </row>
    <row r="84" spans="1:11" ht="22.5" customHeight="1">
      <c r="A84" s="144">
        <v>16</v>
      </c>
      <c r="B84" s="419">
        <v>42889</v>
      </c>
      <c r="C84" s="384" t="s">
        <v>734</v>
      </c>
      <c r="D84" s="147" t="s">
        <v>218</v>
      </c>
      <c r="E84" s="415">
        <v>2030</v>
      </c>
      <c r="F84" s="138">
        <v>8800</v>
      </c>
      <c r="G84" s="139">
        <f t="shared" si="21"/>
        <v>17864000</v>
      </c>
      <c r="H84" s="139">
        <f t="shared" si="22"/>
        <v>1786400</v>
      </c>
      <c r="I84" s="139">
        <f t="shared" si="23"/>
        <v>19650400</v>
      </c>
      <c r="J84" s="147"/>
      <c r="K84" s="157"/>
    </row>
    <row r="85" spans="1:11" ht="22.5" customHeight="1">
      <c r="A85" s="144">
        <v>17</v>
      </c>
      <c r="B85" s="419">
        <v>42892</v>
      </c>
      <c r="C85" s="384" t="s">
        <v>735</v>
      </c>
      <c r="D85" s="147" t="s">
        <v>218</v>
      </c>
      <c r="E85" s="415">
        <v>2030</v>
      </c>
      <c r="F85" s="138">
        <v>8800</v>
      </c>
      <c r="G85" s="139">
        <f t="shared" si="21"/>
        <v>17864000</v>
      </c>
      <c r="H85" s="139">
        <f t="shared" si="22"/>
        <v>1786400</v>
      </c>
      <c r="I85" s="139">
        <f t="shared" si="23"/>
        <v>19650400</v>
      </c>
      <c r="J85" s="147"/>
      <c r="K85" s="157"/>
    </row>
    <row r="86" spans="1:11" ht="22.5" customHeight="1">
      <c r="A86" s="379"/>
      <c r="B86" s="380"/>
      <c r="C86" s="380"/>
      <c r="D86" s="380"/>
      <c r="E86" s="381"/>
      <c r="F86" s="381"/>
      <c r="G86" s="381"/>
      <c r="H86" s="381"/>
      <c r="I86" s="381"/>
      <c r="J86" s="380"/>
    </row>
    <row r="87" spans="1:11" s="155" customFormat="1" ht="21" customHeight="1">
      <c r="A87" s="531" t="s">
        <v>19</v>
      </c>
      <c r="B87" s="531"/>
      <c r="C87" s="531"/>
      <c r="D87" s="531"/>
      <c r="E87" s="153">
        <f>SUM(E69:E86)</f>
        <v>34510</v>
      </c>
      <c r="F87" s="153"/>
      <c r="G87" s="153">
        <f>SUM(G69:G86)</f>
        <v>303688000</v>
      </c>
      <c r="H87" s="153">
        <f>SUM(H69:H86)</f>
        <v>30368800</v>
      </c>
      <c r="I87" s="153"/>
      <c r="J87" s="154"/>
    </row>
    <row r="89" spans="1:11" s="141" customFormat="1" ht="14.25">
      <c r="A89" s="141" t="s">
        <v>221</v>
      </c>
    </row>
    <row r="90" spans="1:11" s="141" customFormat="1" ht="14.25">
      <c r="A90" s="141" t="s">
        <v>222</v>
      </c>
    </row>
    <row r="91" spans="1:11" s="141" customFormat="1" ht="14.25">
      <c r="A91" s="141" t="s">
        <v>223</v>
      </c>
    </row>
  </sheetData>
  <sortState ref="A37:K46">
    <sortCondition ref="B37:B46"/>
  </sortState>
  <mergeCells count="6">
    <mergeCell ref="A87:D87"/>
    <mergeCell ref="A2:J2"/>
    <mergeCell ref="A28:D28"/>
    <mergeCell ref="A35:J35"/>
    <mergeCell ref="A58:D58"/>
    <mergeCell ref="A67:J67"/>
  </mergeCells>
  <pageMargins left="0.16" right="0.13" top="0.16" bottom="0.16" header="0.3" footer="0.3"/>
  <pageSetup scale="9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1"/>
  <sheetViews>
    <sheetView workbookViewId="0">
      <selection activeCell="D19" sqref="D19"/>
    </sheetView>
  </sheetViews>
  <sheetFormatPr defaultColWidth="19.42578125" defaultRowHeight="21" customHeight="1"/>
  <cols>
    <col min="1" max="1" width="34.7109375" style="281" customWidth="1"/>
    <col min="2" max="2" width="11.140625" style="285" customWidth="1"/>
    <col min="3" max="3" width="9.42578125" style="285" customWidth="1"/>
    <col min="4" max="4" width="19.42578125" style="285"/>
    <col min="5" max="16384" width="19.42578125" style="281"/>
  </cols>
  <sheetData>
    <row r="4" spans="1:6" ht="21" customHeight="1">
      <c r="A4" s="345"/>
    </row>
    <row r="5" spans="1:6" s="282" customFormat="1" ht="21" customHeight="1">
      <c r="A5" s="347" t="s">
        <v>549</v>
      </c>
      <c r="B5" s="348"/>
      <c r="C5" s="348"/>
      <c r="D5" s="348">
        <f>SUM(D6:D11)</f>
        <v>311596280</v>
      </c>
      <c r="F5" s="357"/>
    </row>
    <row r="6" spans="1:6" ht="21" customHeight="1">
      <c r="A6" s="351" t="s">
        <v>547</v>
      </c>
      <c r="B6" s="97"/>
      <c r="C6" s="97"/>
      <c r="D6" s="97">
        <v>150000000</v>
      </c>
    </row>
    <row r="7" spans="1:6" ht="21" customHeight="1">
      <c r="A7" s="351" t="s">
        <v>548</v>
      </c>
      <c r="B7" s="97"/>
      <c r="C7" s="97"/>
      <c r="D7" s="97">
        <v>100000000</v>
      </c>
    </row>
    <row r="8" spans="1:6" ht="21" customHeight="1">
      <c r="A8" s="351" t="s">
        <v>550</v>
      </c>
      <c r="B8" s="97"/>
      <c r="C8" s="97"/>
      <c r="D8" s="97">
        <v>1500000</v>
      </c>
    </row>
    <row r="9" spans="1:6" ht="21" customHeight="1">
      <c r="A9" s="351" t="s">
        <v>551</v>
      </c>
      <c r="B9" s="97"/>
      <c r="C9" s="97"/>
      <c r="D9" s="97">
        <v>10140000</v>
      </c>
    </row>
    <row r="10" spans="1:6" ht="21" customHeight="1">
      <c r="A10" s="351" t="s">
        <v>559</v>
      </c>
      <c r="B10" s="97"/>
      <c r="C10" s="97"/>
      <c r="D10" s="97">
        <v>49956280</v>
      </c>
    </row>
    <row r="11" spans="1:6" ht="21" customHeight="1">
      <c r="A11" s="351"/>
      <c r="B11" s="97"/>
      <c r="C11" s="97"/>
      <c r="D11" s="97"/>
    </row>
    <row r="12" spans="1:6" s="282" customFormat="1" ht="21" customHeight="1">
      <c r="A12" s="352" t="s">
        <v>552</v>
      </c>
      <c r="B12" s="353"/>
      <c r="C12" s="353"/>
      <c r="D12" s="353">
        <f>SUM(D13:D17)</f>
        <v>287627568</v>
      </c>
    </row>
    <row r="13" spans="1:6" ht="21" customHeight="1">
      <c r="A13" s="351" t="s">
        <v>553</v>
      </c>
      <c r="B13" s="97"/>
      <c r="C13" s="97"/>
      <c r="D13" s="97">
        <v>98187720</v>
      </c>
    </row>
    <row r="14" spans="1:6" ht="21" customHeight="1">
      <c r="A14" s="351" t="s">
        <v>555</v>
      </c>
      <c r="B14" s="97"/>
      <c r="C14" s="97"/>
      <c r="D14" s="97">
        <v>70840000</v>
      </c>
    </row>
    <row r="15" spans="1:6" ht="21" customHeight="1">
      <c r="A15" s="351" t="s">
        <v>559</v>
      </c>
      <c r="B15" s="97"/>
      <c r="C15" s="97"/>
      <c r="D15" s="358">
        <f>46438480+41345810</f>
        <v>87784290</v>
      </c>
    </row>
    <row r="16" spans="1:6" ht="21" customHeight="1">
      <c r="A16" s="351" t="s">
        <v>554</v>
      </c>
      <c r="B16" s="97"/>
      <c r="C16" s="97"/>
      <c r="D16" s="97">
        <v>30815558</v>
      </c>
    </row>
    <row r="17" spans="1:4" ht="21" customHeight="1">
      <c r="A17" s="349"/>
      <c r="B17" s="350"/>
      <c r="C17" s="350"/>
      <c r="D17" s="350"/>
    </row>
    <row r="18" spans="1:4" s="282" customFormat="1" ht="21" customHeight="1">
      <c r="A18" s="346" t="s">
        <v>57</v>
      </c>
      <c r="B18" s="98"/>
      <c r="C18" s="98"/>
      <c r="D18" s="98">
        <f>D5+D12</f>
        <v>599223848</v>
      </c>
    </row>
    <row r="21" spans="1:4" s="282" customFormat="1" ht="21" customHeight="1">
      <c r="B21" s="94" t="s">
        <v>546</v>
      </c>
      <c r="C21" s="94"/>
      <c r="D21" s="9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TD-TQ 2016</vt:lpstr>
      <vt:lpstr>CT-2016</vt:lpstr>
      <vt:lpstr>GC - TQ 2016</vt:lpstr>
      <vt:lpstr>BSHĐ - 2016</vt:lpstr>
      <vt:lpstr>TQ 2017</vt:lpstr>
      <vt:lpstr>CT-2017</vt:lpstr>
      <vt:lpstr>BSHĐ - 2017</vt:lpstr>
      <vt:lpstr>Sheet2</vt:lpstr>
      <vt:lpstr>'BSHĐ - 2016'!Print_Area</vt:lpstr>
      <vt:lpstr>'BSHĐ - 2017'!Print_Area</vt:lpstr>
      <vt:lpstr>'CT-2016'!Print_Area</vt:lpstr>
      <vt:lpstr>'CT-2017'!Print_Area</vt:lpstr>
      <vt:lpstr>Sheet2!Print_Area</vt:lpstr>
      <vt:lpstr>'TD-TQ 2016'!Print_Titles</vt:lpstr>
      <vt:lpstr>'TQ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2017-06-27T02:28:48Z</cp:lastPrinted>
  <dcterms:created xsi:type="dcterms:W3CDTF">2016-10-31T06:49:38Z</dcterms:created>
  <dcterms:modified xsi:type="dcterms:W3CDTF">2017-06-28T05:56:33Z</dcterms:modified>
</cp:coreProperties>
</file>