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/>
  </bookViews>
  <sheets>
    <sheet name="TH" sheetId="15" r:id="rId1"/>
    <sheet name="CC - 01" sheetId="50" r:id="rId2"/>
    <sheet name="L - 01" sheetId="51" r:id="rId3"/>
    <sheet name="CC - 02" sheetId="17" r:id="rId4"/>
    <sheet name="L - 02" sheetId="18" r:id="rId5"/>
    <sheet name="CC - 03" sheetId="52" r:id="rId6"/>
    <sheet name="L - 03" sheetId="53" r:id="rId7"/>
    <sheet name="CC - 04" sheetId="58" r:id="rId8"/>
    <sheet name="L - 04" sheetId="59" r:id="rId9"/>
    <sheet name="CC - 05" sheetId="62" r:id="rId10"/>
    <sheet name="L - 05" sheetId="63" r:id="rId11"/>
    <sheet name="CC - 06 " sheetId="65" r:id="rId12"/>
    <sheet name="L - 06" sheetId="66" r:id="rId13"/>
    <sheet name="Sheet2" sheetId="61" r:id="rId14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0" hidden="1">{"'Sheet1'!$L$16"}</definedName>
    <definedName name="_a1" hidden="1">{"'Sheet1'!$L$16"}</definedName>
    <definedName name="_Fill" localSheetId="1" hidden="1">#REF!</definedName>
    <definedName name="_Fill" localSheetId="5" hidden="1">#REF!</definedName>
    <definedName name="_Fill" localSheetId="7" hidden="1">#REF!</definedName>
    <definedName name="_Fill" localSheetId="9" hidden="1">#REF!</definedName>
    <definedName name="_Fill" localSheetId="11" hidden="1">#REF!</definedName>
    <definedName name="_Fill" localSheetId="2" hidden="1">#REF!</definedName>
    <definedName name="_Fill" localSheetId="6" hidden="1">#REF!</definedName>
    <definedName name="_Fill" localSheetId="8" hidden="1">#REF!</definedName>
    <definedName name="_Fill" localSheetId="10" hidden="1">#REF!</definedName>
    <definedName name="_Fill" localSheetId="12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 '!$A$7:$AS$7</definedName>
    <definedName name="_xlnm._FilterDatabase" localSheetId="2" hidden="1">'L - 01'!$A$7:$AE$10</definedName>
    <definedName name="_xlnm._FilterDatabase" localSheetId="4" hidden="1">'L - 02'!$A$7:$AE$28</definedName>
    <definedName name="_xlnm._FilterDatabase" localSheetId="6" hidden="1">'L - 03'!$A$7:$AE$29</definedName>
    <definedName name="_xlnm._FilterDatabase" localSheetId="8" hidden="1">'L - 04'!$A$7:$AE$30</definedName>
    <definedName name="_xlnm._FilterDatabase" localSheetId="10" hidden="1">'L - 05'!$A$7:$AE$30</definedName>
    <definedName name="_xlnm._FilterDatabase" localSheetId="12" hidden="1">'L - 06'!$A$7:$AE$30</definedName>
    <definedName name="_xlnm._FilterDatabase" localSheetId="0" hidden="1">TH!$A$10:$AA$62</definedName>
    <definedName name="_Key1" localSheetId="1" hidden="1">#REF!</definedName>
    <definedName name="_Key1" localSheetId="5" hidden="1">#REF!</definedName>
    <definedName name="_Key1" localSheetId="7" hidden="1">#REF!</definedName>
    <definedName name="_Key1" localSheetId="9" hidden="1">#REF!</definedName>
    <definedName name="_Key1" localSheetId="11" hidden="1">#REF!</definedName>
    <definedName name="_Key1" localSheetId="2" hidden="1">#REF!</definedName>
    <definedName name="_Key1" localSheetId="6" hidden="1">#REF!</definedName>
    <definedName name="_Key1" localSheetId="8" hidden="1">#REF!</definedName>
    <definedName name="_Key1" localSheetId="10" hidden="1">#REF!</definedName>
    <definedName name="_Key1" localSheetId="12" hidden="1">#REF!</definedName>
    <definedName name="_Key1" hidden="1">#REF!</definedName>
    <definedName name="_Key2" localSheetId="1" hidden="1">#REF!</definedName>
    <definedName name="_Key2" localSheetId="5" hidden="1">#REF!</definedName>
    <definedName name="_Key2" localSheetId="7" hidden="1">#REF!</definedName>
    <definedName name="_Key2" localSheetId="9" hidden="1">#REF!</definedName>
    <definedName name="_Key2" localSheetId="11" hidden="1">#REF!</definedName>
    <definedName name="_Key2" localSheetId="2" hidden="1">#REF!</definedName>
    <definedName name="_Key2" localSheetId="6" hidden="1">#REF!</definedName>
    <definedName name="_Key2" localSheetId="8" hidden="1">#REF!</definedName>
    <definedName name="_Key2" localSheetId="10" hidden="1">#REF!</definedName>
    <definedName name="_Key2" localSheetId="12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5" hidden="1">#REF!</definedName>
    <definedName name="_Sort" localSheetId="7" hidden="1">#REF!</definedName>
    <definedName name="_Sort" localSheetId="9" hidden="1">#REF!</definedName>
    <definedName name="_Sort" localSheetId="11" hidden="1">#REF!</definedName>
    <definedName name="_Sort" localSheetId="2" hidden="1">#REF!</definedName>
    <definedName name="_Sort" localSheetId="6" hidden="1">#REF!</definedName>
    <definedName name="_Sort" localSheetId="8" hidden="1">#REF!</definedName>
    <definedName name="_Sort" localSheetId="10" hidden="1">#REF!</definedName>
    <definedName name="_Sort" localSheetId="12" hidden="1">#REF!</definedName>
    <definedName name="_Sort" hidden="1">#REF!</definedName>
    <definedName name="CP" localSheetId="1" hidden="1">#REF!</definedName>
    <definedName name="CP" localSheetId="5" hidden="1">#REF!</definedName>
    <definedName name="CP" localSheetId="7" hidden="1">#REF!</definedName>
    <definedName name="CP" localSheetId="9" hidden="1">#REF!</definedName>
    <definedName name="CP" localSheetId="11" hidden="1">#REF!</definedName>
    <definedName name="CP" localSheetId="2" hidden="1">#REF!</definedName>
    <definedName name="CP" localSheetId="6" hidden="1">#REF!</definedName>
    <definedName name="CP" localSheetId="8" hidden="1">#REF!</definedName>
    <definedName name="CP" localSheetId="10" hidden="1">#REF!</definedName>
    <definedName name="CP" localSheetId="12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0" hidden="1">{#N/A,#N/A,FALSE,"Chi tiÆt"}</definedName>
    <definedName name="dh" hidden="1">{#N/A,#N/A,FALSE,"Chi tiÆt"}</definedName>
    <definedName name="DS">TH!$B$11:$Y$59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- 01'!$A$65:$AS$90</definedName>
    <definedName name="_xlnm.Print_Area" localSheetId="3">'CC - 02'!$A$72:$AS$99</definedName>
    <definedName name="_xlnm.Print_Area" localSheetId="5">'CC - 03'!$A$1:$AS$47</definedName>
    <definedName name="_xlnm.Print_Area" localSheetId="7">'CC - 04'!$A$71:$AS$99</definedName>
    <definedName name="_xlnm.Print_Area" localSheetId="9">'CC - 05'!$A$1:$AS$49</definedName>
    <definedName name="_xlnm.Print_Area" localSheetId="11">'CC - 06 '!$A$1:$AS$49</definedName>
    <definedName name="_xlnm.Print_Area" localSheetId="2">'L - 01'!$A$41:$T$62</definedName>
    <definedName name="_xlnm.Print_Area" localSheetId="4">'L - 02'!$A$42:$T$62</definedName>
    <definedName name="_xlnm.Print_Area" localSheetId="6">'L - 03'!$A$1:$T$33</definedName>
    <definedName name="_xlnm.Print_Area" localSheetId="8">'L - 04'!$A$44:$T$64</definedName>
    <definedName name="_xlnm.Print_Area" localSheetId="10">'L - 05'!$A$44:$T$65</definedName>
    <definedName name="_xlnm.Print_Area" localSheetId="12">'L - 06'!$A$44:$T$65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5725" iterate="1"/>
</workbook>
</file>

<file path=xl/calcChain.xml><?xml version="1.0" encoding="utf-8"?>
<calcChain xmlns="http://schemas.openxmlformats.org/spreadsheetml/2006/main">
  <c r="F12" i="66"/>
  <c r="F26"/>
  <c r="E4"/>
  <c r="S33" s="1"/>
  <c r="S63" s="1"/>
  <c r="R60"/>
  <c r="E60"/>
  <c r="O60" s="1"/>
  <c r="D60"/>
  <c r="R59"/>
  <c r="E59"/>
  <c r="O59" s="1"/>
  <c r="D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R61" s="1"/>
  <c r="E52"/>
  <c r="O52" s="1"/>
  <c r="D52"/>
  <c r="C52"/>
  <c r="A46"/>
  <c r="A45"/>
  <c r="R30"/>
  <c r="E30"/>
  <c r="P30" s="1"/>
  <c r="D30"/>
  <c r="C30"/>
  <c r="R29"/>
  <c r="E29"/>
  <c r="P29" s="1"/>
  <c r="D29"/>
  <c r="C29"/>
  <c r="R28"/>
  <c r="E28"/>
  <c r="P28" s="1"/>
  <c r="D28"/>
  <c r="C28"/>
  <c r="R27"/>
  <c r="E27"/>
  <c r="P27" s="1"/>
  <c r="D27"/>
  <c r="C27"/>
  <c r="A27"/>
  <c r="A28" s="1"/>
  <c r="A29" s="1"/>
  <c r="A30" s="1"/>
  <c r="R25"/>
  <c r="E25"/>
  <c r="D25"/>
  <c r="C25"/>
  <c r="R24"/>
  <c r="E24"/>
  <c r="D24"/>
  <c r="C24"/>
  <c r="R23"/>
  <c r="N23"/>
  <c r="E23"/>
  <c r="O23" s="1"/>
  <c r="D23"/>
  <c r="C23"/>
  <c r="R22"/>
  <c r="E22"/>
  <c r="P22" s="1"/>
  <c r="D22"/>
  <c r="R21"/>
  <c r="E21"/>
  <c r="O21" s="1"/>
  <c r="D21"/>
  <c r="C21"/>
  <c r="R20"/>
  <c r="P20"/>
  <c r="O20"/>
  <c r="N20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E10"/>
  <c r="D10"/>
  <c r="C10"/>
  <c r="A3"/>
  <c r="A2"/>
  <c r="AL94" i="65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E74"/>
  <c r="F75" s="1"/>
  <c r="AL47"/>
  <c r="D47"/>
  <c r="C47"/>
  <c r="AL45"/>
  <c r="D45"/>
  <c r="C45"/>
  <c r="AL43"/>
  <c r="D43"/>
  <c r="C43"/>
  <c r="AL41"/>
  <c r="D41"/>
  <c r="AL39"/>
  <c r="D39"/>
  <c r="C39"/>
  <c r="A39"/>
  <c r="A41" s="1"/>
  <c r="A43" s="1"/>
  <c r="A45" s="1"/>
  <c r="A47" s="1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E4" i="63"/>
  <c r="D1"/>
  <c r="D44" s="1"/>
  <c r="F12"/>
  <c r="F26"/>
  <c r="R60"/>
  <c r="E60"/>
  <c r="O60" s="1"/>
  <c r="D60"/>
  <c r="R59"/>
  <c r="E59"/>
  <c r="O59" s="1"/>
  <c r="D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A46"/>
  <c r="A45"/>
  <c r="R30"/>
  <c r="E30"/>
  <c r="P30" s="1"/>
  <c r="D30"/>
  <c r="C30"/>
  <c r="R29"/>
  <c r="E29"/>
  <c r="P29" s="1"/>
  <c r="D29"/>
  <c r="C29"/>
  <c r="R28"/>
  <c r="E28"/>
  <c r="P28" s="1"/>
  <c r="D28"/>
  <c r="C28"/>
  <c r="R27"/>
  <c r="E27"/>
  <c r="P27" s="1"/>
  <c r="D27"/>
  <c r="C27"/>
  <c r="A27"/>
  <c r="A28" s="1"/>
  <c r="A29" s="1"/>
  <c r="A30" s="1"/>
  <c r="R25"/>
  <c r="E25"/>
  <c r="D25"/>
  <c r="C25"/>
  <c r="R24"/>
  <c r="E24"/>
  <c r="D24"/>
  <c r="C24"/>
  <c r="R23"/>
  <c r="E23"/>
  <c r="O23" s="1"/>
  <c r="D23"/>
  <c r="C23"/>
  <c r="R22"/>
  <c r="E22"/>
  <c r="P22" s="1"/>
  <c r="D22"/>
  <c r="R21"/>
  <c r="E21"/>
  <c r="P21" s="1"/>
  <c r="D21"/>
  <c r="C21"/>
  <c r="R20"/>
  <c r="P20"/>
  <c r="O20"/>
  <c r="N20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E10"/>
  <c r="D10"/>
  <c r="C10"/>
  <c r="S33"/>
  <c r="S63" s="1"/>
  <c r="A3"/>
  <c r="A2"/>
  <c r="AL94" i="62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F75"/>
  <c r="F76" s="1"/>
  <c r="E74"/>
  <c r="AL47"/>
  <c r="D47"/>
  <c r="C47"/>
  <c r="AL45"/>
  <c r="D45"/>
  <c r="C45"/>
  <c r="AL43"/>
  <c r="D43"/>
  <c r="C43"/>
  <c r="AL41"/>
  <c r="D41"/>
  <c r="AL39"/>
  <c r="D39"/>
  <c r="C39"/>
  <c r="A39"/>
  <c r="A41" s="1"/>
  <c r="A43" s="1"/>
  <c r="A45" s="1"/>
  <c r="A47" s="1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A28" i="59"/>
  <c r="A29" s="1"/>
  <c r="A30" s="1"/>
  <c r="A27"/>
  <c r="E4"/>
  <c r="C24"/>
  <c r="D24"/>
  <c r="E24"/>
  <c r="R24"/>
  <c r="F12"/>
  <c r="F26"/>
  <c r="A39" i="58"/>
  <c r="AL36"/>
  <c r="D36"/>
  <c r="C36"/>
  <c r="N57" i="15"/>
  <c r="N59" s="1"/>
  <c r="O57"/>
  <c r="O59" s="1"/>
  <c r="A53"/>
  <c r="A54"/>
  <c r="A55"/>
  <c r="A56"/>
  <c r="N58" a="1"/>
  <c r="N58" s="1"/>
  <c r="O58" a="1"/>
  <c r="O58" s="1"/>
  <c r="P58" a="1"/>
  <c r="P58" s="1"/>
  <c r="L58" a="1"/>
  <c r="L58" s="1"/>
  <c r="M58" a="1"/>
  <c r="M58" s="1"/>
  <c r="P57"/>
  <c r="P59" s="1"/>
  <c r="P63" s="1"/>
  <c r="Q57"/>
  <c r="Q59" s="1"/>
  <c r="R57"/>
  <c r="S57"/>
  <c r="T57"/>
  <c r="U57"/>
  <c r="Q58" a="1"/>
  <c r="Q58" s="1"/>
  <c r="R58" a="1"/>
  <c r="R58" s="1"/>
  <c r="S58" a="1"/>
  <c r="S58" s="1"/>
  <c r="T58" a="1"/>
  <c r="T58" s="1"/>
  <c r="U58" a="1"/>
  <c r="U58" s="1"/>
  <c r="E57"/>
  <c r="R60" i="59"/>
  <c r="E60"/>
  <c r="O60" s="1"/>
  <c r="D60"/>
  <c r="R59"/>
  <c r="E59"/>
  <c r="O59" s="1"/>
  <c r="D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A46"/>
  <c r="A45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5"/>
  <c r="E25"/>
  <c r="D25"/>
  <c r="C25"/>
  <c r="R23"/>
  <c r="E23"/>
  <c r="P23" s="1"/>
  <c r="D23"/>
  <c r="C23"/>
  <c r="R22"/>
  <c r="E22"/>
  <c r="O22" s="1"/>
  <c r="D22"/>
  <c r="R21"/>
  <c r="E21"/>
  <c r="O21" s="1"/>
  <c r="D21"/>
  <c r="C21"/>
  <c r="R20"/>
  <c r="P20"/>
  <c r="O20"/>
  <c r="N20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P11" s="1"/>
  <c r="D11"/>
  <c r="C11"/>
  <c r="R10"/>
  <c r="E10"/>
  <c r="N10" s="1"/>
  <c r="D10"/>
  <c r="C10"/>
  <c r="S33"/>
  <c r="S63" s="1"/>
  <c r="A3"/>
  <c r="A2"/>
  <c r="AL94" i="58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E74"/>
  <c r="F75" s="1"/>
  <c r="F76" s="1"/>
  <c r="AL47"/>
  <c r="D47"/>
  <c r="C47"/>
  <c r="AL45"/>
  <c r="D45"/>
  <c r="C45"/>
  <c r="AL43"/>
  <c r="D43"/>
  <c r="C43"/>
  <c r="AL41"/>
  <c r="D41"/>
  <c r="A41"/>
  <c r="A43" s="1"/>
  <c r="A45" s="1"/>
  <c r="A47" s="1"/>
  <c r="AL39"/>
  <c r="D39"/>
  <c r="C39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E24" i="53"/>
  <c r="P24" s="1"/>
  <c r="R24"/>
  <c r="D24"/>
  <c r="C24"/>
  <c r="D34" i="52"/>
  <c r="AL34"/>
  <c r="C34"/>
  <c r="D22" i="53"/>
  <c r="E22"/>
  <c r="O22" s="1"/>
  <c r="R22"/>
  <c r="E58"/>
  <c r="P58" s="1"/>
  <c r="E59"/>
  <c r="P59" s="1"/>
  <c r="D92" i="52"/>
  <c r="D90"/>
  <c r="R58" i="53"/>
  <c r="R59"/>
  <c r="D59"/>
  <c r="D58"/>
  <c r="F12"/>
  <c r="F25"/>
  <c r="E4"/>
  <c r="D1" s="1"/>
  <c r="D43" s="1"/>
  <c r="AL92" i="52"/>
  <c r="AL90"/>
  <c r="M57" i="15"/>
  <c r="M59" s="1"/>
  <c r="A52"/>
  <c r="R57" i="53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E51"/>
  <c r="D51"/>
  <c r="C51"/>
  <c r="A45"/>
  <c r="A44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3"/>
  <c r="E23"/>
  <c r="O23" s="1"/>
  <c r="D23"/>
  <c r="C23"/>
  <c r="R21"/>
  <c r="E21"/>
  <c r="P21" s="1"/>
  <c r="D21"/>
  <c r="C21"/>
  <c r="R20"/>
  <c r="P20"/>
  <c r="O20"/>
  <c r="N20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A3"/>
  <c r="A2"/>
  <c r="AL88" i="52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G73" s="1"/>
  <c r="AL45"/>
  <c r="D45"/>
  <c r="C45"/>
  <c r="AL43"/>
  <c r="D43"/>
  <c r="C43"/>
  <c r="AL41"/>
  <c r="D41"/>
  <c r="C41"/>
  <c r="AL39"/>
  <c r="D39"/>
  <c r="A39"/>
  <c r="AL37"/>
  <c r="D37"/>
  <c r="C37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1" s="1"/>
  <c r="A2"/>
  <c r="A70" s="1"/>
  <c r="S1"/>
  <c r="S69" s="1"/>
  <c r="N19" i="66" l="1"/>
  <c r="N59"/>
  <c r="E31"/>
  <c r="R31"/>
  <c r="N11"/>
  <c r="N17"/>
  <c r="N21"/>
  <c r="P23"/>
  <c r="N52"/>
  <c r="N54"/>
  <c r="N56"/>
  <c r="N58"/>
  <c r="P59"/>
  <c r="P11"/>
  <c r="P21"/>
  <c r="P52"/>
  <c r="P54"/>
  <c r="P56"/>
  <c r="P58"/>
  <c r="D1"/>
  <c r="D44" s="1"/>
  <c r="G5" i="65"/>
  <c r="G6" s="1"/>
  <c r="O10" i="66"/>
  <c r="N13"/>
  <c r="P13"/>
  <c r="O14"/>
  <c r="N15"/>
  <c r="P15"/>
  <c r="O16"/>
  <c r="P17"/>
  <c r="O18"/>
  <c r="P19"/>
  <c r="O22"/>
  <c r="O27"/>
  <c r="O28"/>
  <c r="O29"/>
  <c r="O30"/>
  <c r="O53"/>
  <c r="O55"/>
  <c r="O57"/>
  <c r="N60"/>
  <c r="P60"/>
  <c r="P61" s="1"/>
  <c r="E61"/>
  <c r="N10"/>
  <c r="P10"/>
  <c r="P31" s="1"/>
  <c r="N14"/>
  <c r="N16"/>
  <c r="N18"/>
  <c r="N22"/>
  <c r="N27"/>
  <c r="N28"/>
  <c r="N29"/>
  <c r="N30"/>
  <c r="N53"/>
  <c r="N55"/>
  <c r="N57"/>
  <c r="F76" i="65"/>
  <c r="G75"/>
  <c r="E31" i="63"/>
  <c r="N21"/>
  <c r="N23"/>
  <c r="P58"/>
  <c r="P52"/>
  <c r="P59"/>
  <c r="R31"/>
  <c r="N19"/>
  <c r="P11"/>
  <c r="P13"/>
  <c r="P15"/>
  <c r="P17"/>
  <c r="P19"/>
  <c r="P23"/>
  <c r="N52"/>
  <c r="R61"/>
  <c r="N54"/>
  <c r="N56"/>
  <c r="N58"/>
  <c r="N59"/>
  <c r="N11"/>
  <c r="N13"/>
  <c r="N15"/>
  <c r="N17"/>
  <c r="P54"/>
  <c r="P56"/>
  <c r="O10"/>
  <c r="O14"/>
  <c r="O16"/>
  <c r="O18"/>
  <c r="O21"/>
  <c r="O22"/>
  <c r="O27"/>
  <c r="O28"/>
  <c r="O29"/>
  <c r="O30"/>
  <c r="O53"/>
  <c r="O55"/>
  <c r="O57"/>
  <c r="N60"/>
  <c r="P60"/>
  <c r="P61" s="1"/>
  <c r="E61"/>
  <c r="N10"/>
  <c r="P10"/>
  <c r="P31" s="1"/>
  <c r="N14"/>
  <c r="N16"/>
  <c r="N18"/>
  <c r="N22"/>
  <c r="N27"/>
  <c r="N28"/>
  <c r="N29"/>
  <c r="N30"/>
  <c r="N53"/>
  <c r="N55"/>
  <c r="N57"/>
  <c r="G5" i="62"/>
  <c r="G75"/>
  <c r="R61" i="59"/>
  <c r="R31"/>
  <c r="N22"/>
  <c r="E31"/>
  <c r="P10"/>
  <c r="N14"/>
  <c r="N16"/>
  <c r="N18"/>
  <c r="N21"/>
  <c r="P22"/>
  <c r="N27"/>
  <c r="N29"/>
  <c r="N52"/>
  <c r="N54"/>
  <c r="N56"/>
  <c r="N58"/>
  <c r="P59"/>
  <c r="P14"/>
  <c r="P16"/>
  <c r="P18"/>
  <c r="P21"/>
  <c r="P27"/>
  <c r="P29"/>
  <c r="P52"/>
  <c r="P54"/>
  <c r="P56"/>
  <c r="P58"/>
  <c r="N59"/>
  <c r="O11"/>
  <c r="O13"/>
  <c r="O15"/>
  <c r="O17"/>
  <c r="O19"/>
  <c r="O23"/>
  <c r="O28"/>
  <c r="O30"/>
  <c r="O53"/>
  <c r="O55"/>
  <c r="O57"/>
  <c r="N60"/>
  <c r="P60"/>
  <c r="E61"/>
  <c r="D1"/>
  <c r="D44" s="1"/>
  <c r="O10"/>
  <c r="N11"/>
  <c r="N13"/>
  <c r="N15"/>
  <c r="N17"/>
  <c r="N19"/>
  <c r="N23"/>
  <c r="N28"/>
  <c r="N30"/>
  <c r="N53"/>
  <c r="N55"/>
  <c r="N57"/>
  <c r="G5" i="58"/>
  <c r="G75"/>
  <c r="O24" i="53"/>
  <c r="N24"/>
  <c r="E60"/>
  <c r="N59"/>
  <c r="O59"/>
  <c r="N58"/>
  <c r="O58"/>
  <c r="R60"/>
  <c r="N22"/>
  <c r="P22"/>
  <c r="E30"/>
  <c r="G5" i="52"/>
  <c r="H5" s="1"/>
  <c r="H6" s="1"/>
  <c r="P10" i="53"/>
  <c r="P13"/>
  <c r="P15"/>
  <c r="P17"/>
  <c r="P19"/>
  <c r="N10"/>
  <c r="R30"/>
  <c r="N13"/>
  <c r="N15"/>
  <c r="N17"/>
  <c r="N19"/>
  <c r="N23"/>
  <c r="O11"/>
  <c r="O14"/>
  <c r="O16"/>
  <c r="O18"/>
  <c r="O21"/>
  <c r="P23"/>
  <c r="O26"/>
  <c r="N27"/>
  <c r="P27"/>
  <c r="O28"/>
  <c r="N29"/>
  <c r="P29"/>
  <c r="S32"/>
  <c r="S62" s="1"/>
  <c r="O51"/>
  <c r="N52"/>
  <c r="P52"/>
  <c r="O53"/>
  <c r="N54"/>
  <c r="P54"/>
  <c r="O55"/>
  <c r="N56"/>
  <c r="P56"/>
  <c r="O57"/>
  <c r="N11"/>
  <c r="N14"/>
  <c r="N16"/>
  <c r="N18"/>
  <c r="N21"/>
  <c r="N26"/>
  <c r="N28"/>
  <c r="N51"/>
  <c r="P51"/>
  <c r="N53"/>
  <c r="N55"/>
  <c r="N57"/>
  <c r="I5" i="52"/>
  <c r="G74"/>
  <c r="H73"/>
  <c r="F74"/>
  <c r="N61" i="66" l="1"/>
  <c r="O61"/>
  <c r="H5" i="65"/>
  <c r="I5" s="1"/>
  <c r="N31" i="66"/>
  <c r="O31"/>
  <c r="H6" i="65"/>
  <c r="G76"/>
  <c r="H75"/>
  <c r="O61" i="63"/>
  <c r="N61"/>
  <c r="O31"/>
  <c r="N31"/>
  <c r="H5" i="62"/>
  <c r="G6"/>
  <c r="H75"/>
  <c r="G76"/>
  <c r="O31" i="59"/>
  <c r="P61"/>
  <c r="P31"/>
  <c r="N61"/>
  <c r="N31"/>
  <c r="O61"/>
  <c r="H5" i="58"/>
  <c r="G6"/>
  <c r="H75"/>
  <c r="G76"/>
  <c r="G6" i="52"/>
  <c r="N60" i="53"/>
  <c r="N30"/>
  <c r="P30"/>
  <c r="O30"/>
  <c r="P60"/>
  <c r="O60"/>
  <c r="I73" i="52"/>
  <c r="H74"/>
  <c r="J5"/>
  <c r="I6"/>
  <c r="I6" i="65" l="1"/>
  <c r="J5"/>
  <c r="H76"/>
  <c r="I75"/>
  <c r="H76" i="62"/>
  <c r="I75"/>
  <c r="H6"/>
  <c r="I5"/>
  <c r="H76" i="58"/>
  <c r="I75"/>
  <c r="H6"/>
  <c r="I5"/>
  <c r="J6" i="52"/>
  <c r="K5"/>
  <c r="I74"/>
  <c r="J73"/>
  <c r="I76" i="65" l="1"/>
  <c r="J75"/>
  <c r="K5"/>
  <c r="J6"/>
  <c r="J5" i="62"/>
  <c r="I6"/>
  <c r="J75"/>
  <c r="I76"/>
  <c r="J5" i="58"/>
  <c r="I6"/>
  <c r="J75"/>
  <c r="I76"/>
  <c r="K73" i="52"/>
  <c r="J74"/>
  <c r="L5"/>
  <c r="K6"/>
  <c r="A24" i="50"/>
  <c r="A16" i="17"/>
  <c r="A18" s="1"/>
  <c r="A20" s="1"/>
  <c r="A22" s="1"/>
  <c r="A24" s="1"/>
  <c r="A26" s="1"/>
  <c r="A28" s="1"/>
  <c r="A30" s="1"/>
  <c r="A32" s="1"/>
  <c r="A11"/>
  <c r="N21" i="18"/>
  <c r="O21"/>
  <c r="P21"/>
  <c r="C21"/>
  <c r="D21"/>
  <c r="R21"/>
  <c r="C32" i="17"/>
  <c r="D32"/>
  <c r="AL32"/>
  <c r="S30" i="51"/>
  <c r="S59" s="1"/>
  <c r="C27"/>
  <c r="D27"/>
  <c r="N27"/>
  <c r="O27"/>
  <c r="P27"/>
  <c r="R27"/>
  <c r="AL32" i="50"/>
  <c r="D32"/>
  <c r="C91" i="17"/>
  <c r="E57" i="18"/>
  <c r="C57"/>
  <c r="D57"/>
  <c r="R57"/>
  <c r="L57" i="15"/>
  <c r="L59" s="1"/>
  <c r="M62" s="1"/>
  <c r="K57"/>
  <c r="D56" i="51"/>
  <c r="E56"/>
  <c r="O56" s="1"/>
  <c r="R56"/>
  <c r="C56"/>
  <c r="F12"/>
  <c r="F22"/>
  <c r="D1"/>
  <c r="R55"/>
  <c r="E55"/>
  <c r="O55" s="1"/>
  <c r="D55"/>
  <c r="C55"/>
  <c r="R54"/>
  <c r="E54"/>
  <c r="O54" s="1"/>
  <c r="D54"/>
  <c r="C54"/>
  <c r="R53"/>
  <c r="E53"/>
  <c r="O53" s="1"/>
  <c r="D53"/>
  <c r="C53"/>
  <c r="R52"/>
  <c r="E52"/>
  <c r="O52" s="1"/>
  <c r="D52"/>
  <c r="C52"/>
  <c r="R51"/>
  <c r="E51"/>
  <c r="O51" s="1"/>
  <c r="D51"/>
  <c r="C51"/>
  <c r="R50"/>
  <c r="E50"/>
  <c r="O50" s="1"/>
  <c r="D50"/>
  <c r="C50"/>
  <c r="R49"/>
  <c r="E49"/>
  <c r="D49"/>
  <c r="C49"/>
  <c r="A43"/>
  <c r="A42"/>
  <c r="R26"/>
  <c r="E26"/>
  <c r="O26" s="1"/>
  <c r="D26"/>
  <c r="C26"/>
  <c r="R25"/>
  <c r="E25"/>
  <c r="O25" s="1"/>
  <c r="D25"/>
  <c r="C25"/>
  <c r="R24"/>
  <c r="E24"/>
  <c r="O24" s="1"/>
  <c r="D24"/>
  <c r="C24"/>
  <c r="R23"/>
  <c r="E23"/>
  <c r="O23" s="1"/>
  <c r="D23"/>
  <c r="C23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N10" s="1"/>
  <c r="D10"/>
  <c r="C10"/>
  <c r="A3"/>
  <c r="A2"/>
  <c r="AL86" i="50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74"/>
  <c r="A76" s="1"/>
  <c r="A78" s="1"/>
  <c r="A80" s="1"/>
  <c r="A82" s="1"/>
  <c r="AL72"/>
  <c r="D72"/>
  <c r="C72"/>
  <c r="E68"/>
  <c r="F69" s="1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7" s="1"/>
  <c r="A2"/>
  <c r="A66" s="1"/>
  <c r="S1"/>
  <c r="S65" s="1"/>
  <c r="AL91" i="17"/>
  <c r="D91"/>
  <c r="J76" i="65" l="1"/>
  <c r="K75"/>
  <c r="K6"/>
  <c r="L5"/>
  <c r="J76" i="62"/>
  <c r="K75"/>
  <c r="J6"/>
  <c r="K5"/>
  <c r="J76" i="58"/>
  <c r="K75"/>
  <c r="J6"/>
  <c r="K5"/>
  <c r="L6" i="52"/>
  <c r="M5"/>
  <c r="K74"/>
  <c r="L73"/>
  <c r="P56" i="51"/>
  <c r="N56"/>
  <c r="R57"/>
  <c r="G5" i="50"/>
  <c r="H5" s="1"/>
  <c r="I5" s="1"/>
  <c r="E57" i="51"/>
  <c r="N15"/>
  <c r="R28"/>
  <c r="N13"/>
  <c r="E28"/>
  <c r="P10"/>
  <c r="P13"/>
  <c r="P15"/>
  <c r="N18"/>
  <c r="N20"/>
  <c r="N23"/>
  <c r="N25"/>
  <c r="N49"/>
  <c r="N51"/>
  <c r="N53"/>
  <c r="N55"/>
  <c r="P18"/>
  <c r="P20"/>
  <c r="P23"/>
  <c r="P25"/>
  <c r="P49"/>
  <c r="P51"/>
  <c r="P53"/>
  <c r="P55"/>
  <c r="D41"/>
  <c r="O10"/>
  <c r="O28" s="1"/>
  <c r="N11"/>
  <c r="P11"/>
  <c r="N14"/>
  <c r="P14"/>
  <c r="N16"/>
  <c r="P16"/>
  <c r="N17"/>
  <c r="P17"/>
  <c r="N19"/>
  <c r="P19"/>
  <c r="N21"/>
  <c r="P21"/>
  <c r="N24"/>
  <c r="P24"/>
  <c r="N26"/>
  <c r="P26"/>
  <c r="O49"/>
  <c r="O57" s="1"/>
  <c r="N50"/>
  <c r="P50"/>
  <c r="N52"/>
  <c r="P52"/>
  <c r="N54"/>
  <c r="P54"/>
  <c r="G69" i="50"/>
  <c r="F70"/>
  <c r="H6"/>
  <c r="E51" i="18"/>
  <c r="E52"/>
  <c r="E53"/>
  <c r="E54"/>
  <c r="E55"/>
  <c r="E56"/>
  <c r="E50"/>
  <c r="M5" i="65" l="1"/>
  <c r="L6"/>
  <c r="K76"/>
  <c r="L75"/>
  <c r="L5" i="62"/>
  <c r="K6"/>
  <c r="L75"/>
  <c r="K76"/>
  <c r="L5" i="58"/>
  <c r="K6"/>
  <c r="L75"/>
  <c r="K76"/>
  <c r="M73" i="52"/>
  <c r="L74"/>
  <c r="N5"/>
  <c r="M6"/>
  <c r="G6" i="50"/>
  <c r="E58" i="18"/>
  <c r="N57" i="51"/>
  <c r="P28"/>
  <c r="P57"/>
  <c r="N28"/>
  <c r="J5" i="50"/>
  <c r="I6"/>
  <c r="G70"/>
  <c r="H69"/>
  <c r="L76" i="65" l="1"/>
  <c r="M75"/>
  <c r="M6"/>
  <c r="N5"/>
  <c r="L76" i="62"/>
  <c r="M75"/>
  <c r="L6"/>
  <c r="M5"/>
  <c r="L76" i="58"/>
  <c r="M75"/>
  <c r="L6"/>
  <c r="M5"/>
  <c r="N6" i="52"/>
  <c r="O5"/>
  <c r="M74"/>
  <c r="N73"/>
  <c r="I69" i="50"/>
  <c r="H70"/>
  <c r="J6"/>
  <c r="K5"/>
  <c r="O5" i="65" l="1"/>
  <c r="N6"/>
  <c r="M76"/>
  <c r="N75"/>
  <c r="N5" i="62"/>
  <c r="M6"/>
  <c r="N75"/>
  <c r="M76"/>
  <c r="N5" i="58"/>
  <c r="M6"/>
  <c r="N75"/>
  <c r="M76"/>
  <c r="O73" i="52"/>
  <c r="N74"/>
  <c r="P5"/>
  <c r="O6"/>
  <c r="I70" i="50"/>
  <c r="J69"/>
  <c r="L5"/>
  <c r="K6"/>
  <c r="N76" i="65" l="1"/>
  <c r="O75"/>
  <c r="O6"/>
  <c r="P5"/>
  <c r="N76" i="62"/>
  <c r="O75"/>
  <c r="N6"/>
  <c r="O5"/>
  <c r="N76" i="58"/>
  <c r="O75"/>
  <c r="N6"/>
  <c r="O5"/>
  <c r="P6" i="52"/>
  <c r="Q5"/>
  <c r="O74"/>
  <c r="P73"/>
  <c r="K69" i="50"/>
  <c r="J70"/>
  <c r="L6"/>
  <c r="M5"/>
  <c r="Q5" i="65" l="1"/>
  <c r="P6"/>
  <c r="O76"/>
  <c r="P75"/>
  <c r="P5" i="62"/>
  <c r="O6"/>
  <c r="P75"/>
  <c r="O76"/>
  <c r="P5" i="58"/>
  <c r="O6"/>
  <c r="P75"/>
  <c r="O76"/>
  <c r="Q73" i="52"/>
  <c r="P74"/>
  <c r="R5"/>
  <c r="Q6"/>
  <c r="N5" i="50"/>
  <c r="M6"/>
  <c r="K70"/>
  <c r="L69"/>
  <c r="Q6" i="65" l="1"/>
  <c r="R5"/>
  <c r="P76"/>
  <c r="Q75"/>
  <c r="P76" i="62"/>
  <c r="Q75"/>
  <c r="P6"/>
  <c r="Q5"/>
  <c r="P76" i="58"/>
  <c r="Q75"/>
  <c r="P6"/>
  <c r="Q5"/>
  <c r="R6" i="52"/>
  <c r="S5"/>
  <c r="Q74"/>
  <c r="R73"/>
  <c r="M69" i="50"/>
  <c r="L70"/>
  <c r="N6"/>
  <c r="O5"/>
  <c r="Q76" i="65" l="1"/>
  <c r="R75"/>
  <c r="S5"/>
  <c r="R6"/>
  <c r="R5" i="62"/>
  <c r="Q6"/>
  <c r="R75"/>
  <c r="Q76"/>
  <c r="R5" i="58"/>
  <c r="Q6"/>
  <c r="R75"/>
  <c r="Q76"/>
  <c r="S73" i="52"/>
  <c r="R74"/>
  <c r="T5"/>
  <c r="S6"/>
  <c r="P5" i="50"/>
  <c r="O6"/>
  <c r="M70"/>
  <c r="N69"/>
  <c r="S6" i="65" l="1"/>
  <c r="T5"/>
  <c r="R76"/>
  <c r="S75"/>
  <c r="R76" i="62"/>
  <c r="S75"/>
  <c r="R6"/>
  <c r="S5"/>
  <c r="R76" i="58"/>
  <c r="S75"/>
  <c r="R6"/>
  <c r="S5"/>
  <c r="T6" i="52"/>
  <c r="U5"/>
  <c r="S74"/>
  <c r="T73"/>
  <c r="P6" i="50"/>
  <c r="Q5"/>
  <c r="O69"/>
  <c r="N70"/>
  <c r="S76" i="65" l="1"/>
  <c r="T75"/>
  <c r="U5"/>
  <c r="T6"/>
  <c r="T5" i="62"/>
  <c r="S6"/>
  <c r="T75"/>
  <c r="S76"/>
  <c r="T5" i="58"/>
  <c r="S6"/>
  <c r="T75"/>
  <c r="U75" s="1"/>
  <c r="U76" s="1"/>
  <c r="S76"/>
  <c r="U73" i="52"/>
  <c r="T74"/>
  <c r="V5"/>
  <c r="U6"/>
  <c r="O70" i="50"/>
  <c r="P69"/>
  <c r="R5"/>
  <c r="Q6"/>
  <c r="T76" i="65" l="1"/>
  <c r="U75"/>
  <c r="U6"/>
  <c r="V5"/>
  <c r="T76" i="62"/>
  <c r="U75"/>
  <c r="T6"/>
  <c r="U5"/>
  <c r="T76" i="58"/>
  <c r="T6"/>
  <c r="U5"/>
  <c r="V6" i="52"/>
  <c r="W5"/>
  <c r="U74"/>
  <c r="V73"/>
  <c r="R6" i="50"/>
  <c r="S5"/>
  <c r="Q69"/>
  <c r="P70"/>
  <c r="W5" i="65" l="1"/>
  <c r="V6"/>
  <c r="U76"/>
  <c r="V75"/>
  <c r="V5" i="62"/>
  <c r="U6"/>
  <c r="V75"/>
  <c r="U76"/>
  <c r="V5" i="58"/>
  <c r="U6"/>
  <c r="V75"/>
  <c r="W73" i="52"/>
  <c r="V74"/>
  <c r="X5"/>
  <c r="W6"/>
  <c r="Q70" i="50"/>
  <c r="R69"/>
  <c r="T5"/>
  <c r="S6"/>
  <c r="V76" i="65" l="1"/>
  <c r="W75"/>
  <c r="W6"/>
  <c r="X5"/>
  <c r="V76" i="62"/>
  <c r="W75"/>
  <c r="V6"/>
  <c r="W5"/>
  <c r="V76" i="58"/>
  <c r="W75"/>
  <c r="V6"/>
  <c r="W5"/>
  <c r="X6" i="52"/>
  <c r="Y5"/>
  <c r="W74"/>
  <c r="X73"/>
  <c r="T6" i="50"/>
  <c r="U5"/>
  <c r="S69"/>
  <c r="R70"/>
  <c r="Y5" i="65" l="1"/>
  <c r="X6"/>
  <c r="W76"/>
  <c r="X75"/>
  <c r="X5" i="62"/>
  <c r="W6"/>
  <c r="X75"/>
  <c r="W76"/>
  <c r="X5" i="58"/>
  <c r="W6"/>
  <c r="X75"/>
  <c r="W76"/>
  <c r="Y73" i="52"/>
  <c r="X74"/>
  <c r="Z5"/>
  <c r="Y6"/>
  <c r="S70" i="50"/>
  <c r="T69"/>
  <c r="V5"/>
  <c r="U6"/>
  <c r="X76" i="65" l="1"/>
  <c r="Y75"/>
  <c r="Y6"/>
  <c r="Z5"/>
  <c r="X76" i="62"/>
  <c r="Y75"/>
  <c r="X6"/>
  <c r="Y5"/>
  <c r="X76" i="58"/>
  <c r="Y75"/>
  <c r="X6"/>
  <c r="Y5"/>
  <c r="Z6" i="52"/>
  <c r="AA5"/>
  <c r="Y74"/>
  <c r="Z73"/>
  <c r="V6" i="50"/>
  <c r="W5"/>
  <c r="U69"/>
  <c r="T70"/>
  <c r="AA5" i="65" l="1"/>
  <c r="Z6"/>
  <c r="Y76"/>
  <c r="Z75"/>
  <c r="Z5" i="62"/>
  <c r="Y6"/>
  <c r="Z75"/>
  <c r="Y76"/>
  <c r="Z5" i="58"/>
  <c r="Y6"/>
  <c r="Z75"/>
  <c r="Y76"/>
  <c r="AA73" i="52"/>
  <c r="Z74"/>
  <c r="AB5"/>
  <c r="AA6"/>
  <c r="U70" i="50"/>
  <c r="V69"/>
  <c r="X5"/>
  <c r="W6"/>
  <c r="AA6" i="65" l="1"/>
  <c r="AB5"/>
  <c r="Z76"/>
  <c r="AA75"/>
  <c r="Z76" i="62"/>
  <c r="AA75"/>
  <c r="Z6"/>
  <c r="AA5"/>
  <c r="Z76" i="58"/>
  <c r="AA75"/>
  <c r="Z6"/>
  <c r="AA5"/>
  <c r="AB6" i="52"/>
  <c r="AC5"/>
  <c r="AA74"/>
  <c r="AB73"/>
  <c r="X6" i="50"/>
  <c r="Y5"/>
  <c r="W69"/>
  <c r="V70"/>
  <c r="AA76" i="65" l="1"/>
  <c r="AB75"/>
  <c r="AC5"/>
  <c r="AB6"/>
  <c r="AB5" i="62"/>
  <c r="AA6"/>
  <c r="AB75"/>
  <c r="AA76"/>
  <c r="AB5" i="58"/>
  <c r="AA6"/>
  <c r="AB75"/>
  <c r="AA76"/>
  <c r="AC73" i="52"/>
  <c r="AB74"/>
  <c r="AD5"/>
  <c r="AC6"/>
  <c r="W70" i="50"/>
  <c r="X69"/>
  <c r="Z5"/>
  <c r="Y6"/>
  <c r="AC6" i="65" l="1"/>
  <c r="AD5"/>
  <c r="AB76"/>
  <c r="AC75"/>
  <c r="AB76" i="62"/>
  <c r="AC75"/>
  <c r="AB6"/>
  <c r="AC5"/>
  <c r="AB76" i="58"/>
  <c r="AC75"/>
  <c r="AB6"/>
  <c r="AC5"/>
  <c r="AD6" i="52"/>
  <c r="AE5"/>
  <c r="AC74"/>
  <c r="AD73"/>
  <c r="Z6" i="50"/>
  <c r="AA5"/>
  <c r="Y69"/>
  <c r="X70"/>
  <c r="AC76" i="65" l="1"/>
  <c r="AD75"/>
  <c r="AE5"/>
  <c r="AD6"/>
  <c r="AD5" i="62"/>
  <c r="AC6"/>
  <c r="AD75"/>
  <c r="AC76"/>
  <c r="AD5" i="58"/>
  <c r="AC6"/>
  <c r="AD75"/>
  <c r="AC76"/>
  <c r="AE73" i="52"/>
  <c r="AD74"/>
  <c r="AF5"/>
  <c r="AE6"/>
  <c r="Y70" i="50"/>
  <c r="Z69"/>
  <c r="AB5"/>
  <c r="AA6"/>
  <c r="AE6" i="65" l="1"/>
  <c r="AF5"/>
  <c r="AD76"/>
  <c r="AE75"/>
  <c r="AD76" i="62"/>
  <c r="AE75"/>
  <c r="AD6"/>
  <c r="AE5"/>
  <c r="AD76" i="58"/>
  <c r="AE75"/>
  <c r="AD6"/>
  <c r="AE5"/>
  <c r="AF6" i="52"/>
  <c r="AG5"/>
  <c r="AE74"/>
  <c r="AF73"/>
  <c r="AB6" i="50"/>
  <c r="AC5"/>
  <c r="AA69"/>
  <c r="Z70"/>
  <c r="AE76" i="65" l="1"/>
  <c r="AF75"/>
  <c r="AG5"/>
  <c r="AF6"/>
  <c r="AF5" i="62"/>
  <c r="AE6"/>
  <c r="AF75"/>
  <c r="AE76"/>
  <c r="AF5" i="58"/>
  <c r="AE6"/>
  <c r="AF75"/>
  <c r="AE76"/>
  <c r="AG73" i="52"/>
  <c r="AF74"/>
  <c r="AH5"/>
  <c r="AG6"/>
  <c r="AA70" i="50"/>
  <c r="AB69"/>
  <c r="AD5"/>
  <c r="AC6"/>
  <c r="AG6" i="65" l="1"/>
  <c r="AH5"/>
  <c r="AF76"/>
  <c r="AG75"/>
  <c r="AF76" i="62"/>
  <c r="AG75"/>
  <c r="AF6"/>
  <c r="AG5"/>
  <c r="AF76" i="58"/>
  <c r="AG75"/>
  <c r="AF6"/>
  <c r="AG5"/>
  <c r="AH6" i="52"/>
  <c r="AI5"/>
  <c r="AI6" s="1"/>
  <c r="AG74"/>
  <c r="AH73"/>
  <c r="AD6" i="50"/>
  <c r="AE5"/>
  <c r="AC69"/>
  <c r="AB70"/>
  <c r="AK34" i="52" l="1"/>
  <c r="AM34"/>
  <c r="H24" i="53" s="1"/>
  <c r="I24" s="1"/>
  <c r="AG76" i="65"/>
  <c r="AH75"/>
  <c r="AI5"/>
  <c r="AH6"/>
  <c r="AH5" i="62"/>
  <c r="AG6"/>
  <c r="AH75"/>
  <c r="AG76"/>
  <c r="AH5" i="58"/>
  <c r="AG6"/>
  <c r="AH75"/>
  <c r="AG76"/>
  <c r="AM90" i="52"/>
  <c r="AM92"/>
  <c r="AK90"/>
  <c r="AK92"/>
  <c r="AI73"/>
  <c r="AI74" s="1"/>
  <c r="AH74"/>
  <c r="AM88"/>
  <c r="AM80"/>
  <c r="AM45"/>
  <c r="AM32"/>
  <c r="AM18"/>
  <c r="AM43"/>
  <c r="AM41"/>
  <c r="AM9"/>
  <c r="AM86"/>
  <c r="AM39"/>
  <c r="AM84"/>
  <c r="AM37"/>
  <c r="AM22"/>
  <c r="AM28"/>
  <c r="AM14"/>
  <c r="AM76"/>
  <c r="AM24"/>
  <c r="AM11"/>
  <c r="AM20"/>
  <c r="AM82"/>
  <c r="AM30"/>
  <c r="AM16"/>
  <c r="AM78"/>
  <c r="AM26"/>
  <c r="AK9"/>
  <c r="F10" i="53" s="1"/>
  <c r="AK28" i="52"/>
  <c r="AK82"/>
  <c r="F54" i="53" s="1"/>
  <c r="AK45" i="52"/>
  <c r="AK84"/>
  <c r="AK30"/>
  <c r="AK43"/>
  <c r="F28" i="53" s="1"/>
  <c r="AK18" i="52"/>
  <c r="F15" i="53" s="1"/>
  <c r="AK14" i="52"/>
  <c r="AK26"/>
  <c r="F19" i="53" s="1"/>
  <c r="AK22" i="52"/>
  <c r="AK11"/>
  <c r="F11" i="53" s="1"/>
  <c r="AK41" i="52"/>
  <c r="AK76"/>
  <c r="F51" i="53" s="1"/>
  <c r="AK86" i="52"/>
  <c r="AK80"/>
  <c r="AK16"/>
  <c r="AK78"/>
  <c r="AK20"/>
  <c r="AK37"/>
  <c r="F26" i="53" s="1"/>
  <c r="AK24" i="52"/>
  <c r="AK88"/>
  <c r="F57" i="53" s="1"/>
  <c r="AK32" i="52"/>
  <c r="AK39"/>
  <c r="F22" i="53" s="1"/>
  <c r="AC70" i="50"/>
  <c r="AD69"/>
  <c r="AF5"/>
  <c r="AE6"/>
  <c r="H23" i="63" l="1"/>
  <c r="I23" s="1"/>
  <c r="H23" i="59"/>
  <c r="I23" s="1"/>
  <c r="H23" i="66"/>
  <c r="I23" s="1"/>
  <c r="H23" i="53"/>
  <c r="I23" s="1"/>
  <c r="H58"/>
  <c r="H59" i="66"/>
  <c r="I59" s="1"/>
  <c r="H59" i="63"/>
  <c r="I59" s="1"/>
  <c r="H59" i="59"/>
  <c r="I59" s="1"/>
  <c r="AN34" i="52"/>
  <c r="F24" i="53"/>
  <c r="H22"/>
  <c r="I22" s="1"/>
  <c r="H22" i="59"/>
  <c r="I22" s="1"/>
  <c r="H22" i="66"/>
  <c r="I22" s="1"/>
  <c r="H22" i="63"/>
  <c r="I22" s="1"/>
  <c r="H59" i="53"/>
  <c r="I59" s="1"/>
  <c r="H60" i="63"/>
  <c r="I60" s="1"/>
  <c r="H60" i="59"/>
  <c r="I60" s="1"/>
  <c r="H60" i="66"/>
  <c r="I60" s="1"/>
  <c r="AI6" i="65"/>
  <c r="AJ5"/>
  <c r="AJ6" s="1"/>
  <c r="AK90" s="1"/>
  <c r="F58" i="66" s="1"/>
  <c r="AK39" i="65"/>
  <c r="F27" i="66" s="1"/>
  <c r="AM47" i="65"/>
  <c r="AK34"/>
  <c r="F25" i="66" s="1"/>
  <c r="AK14" i="65"/>
  <c r="F13" i="66" s="1"/>
  <c r="AM28" i="65"/>
  <c r="AM9"/>
  <c r="AM30"/>
  <c r="AK47"/>
  <c r="AM45"/>
  <c r="AM11"/>
  <c r="AK22"/>
  <c r="F17" i="66" s="1"/>
  <c r="AM90" i="65"/>
  <c r="AM92"/>
  <c r="AK78"/>
  <c r="F52" i="66" s="1"/>
  <c r="AK28" i="65"/>
  <c r="AM14"/>
  <c r="AM43"/>
  <c r="AK16"/>
  <c r="F14" i="66" s="1"/>
  <c r="AK82" i="65"/>
  <c r="F54" i="66" s="1"/>
  <c r="AM41" i="65"/>
  <c r="AM20"/>
  <c r="AM86"/>
  <c r="AM78"/>
  <c r="AK43"/>
  <c r="AM16"/>
  <c r="AK94"/>
  <c r="F60" i="66" s="1"/>
  <c r="AM34" i="65"/>
  <c r="AK92"/>
  <c r="AM26"/>
  <c r="AK18"/>
  <c r="F15" i="66" s="1"/>
  <c r="AK9" i="65"/>
  <c r="AK30"/>
  <c r="AM22"/>
  <c r="AK41"/>
  <c r="AK32"/>
  <c r="F20" i="66" s="1"/>
  <c r="AM82" i="65"/>
  <c r="AM24"/>
  <c r="AM84"/>
  <c r="AK88"/>
  <c r="F57" i="66" s="1"/>
  <c r="AK86" i="65"/>
  <c r="AK20"/>
  <c r="AK80"/>
  <c r="F53" i="66" s="1"/>
  <c r="AM94" i="65"/>
  <c r="AK26"/>
  <c r="AM32"/>
  <c r="AK11"/>
  <c r="AM80"/>
  <c r="AM88"/>
  <c r="AK36"/>
  <c r="F24" i="66" s="1"/>
  <c r="AM36" i="65"/>
  <c r="AK45"/>
  <c r="AK24"/>
  <c r="AM18"/>
  <c r="AK84"/>
  <c r="AM39"/>
  <c r="AH76"/>
  <c r="AI75"/>
  <c r="AH76" i="62"/>
  <c r="AI75"/>
  <c r="AH6"/>
  <c r="AI5"/>
  <c r="AI6" s="1"/>
  <c r="AH76" i="58"/>
  <c r="AI75"/>
  <c r="AI76" s="1"/>
  <c r="AH6"/>
  <c r="AI5"/>
  <c r="AI6" s="1"/>
  <c r="L57" i="53"/>
  <c r="G57"/>
  <c r="AN32" i="52"/>
  <c r="F20" i="53"/>
  <c r="AN24" i="52"/>
  <c r="F18" i="53"/>
  <c r="AN20" i="52"/>
  <c r="F16" i="53"/>
  <c r="AN16" i="52"/>
  <c r="F14" i="53"/>
  <c r="AN86" i="52"/>
  <c r="F56" i="53"/>
  <c r="AN41" i="52"/>
  <c r="F27" i="53"/>
  <c r="AN22" i="52"/>
  <c r="F17" i="53"/>
  <c r="AN14" i="52"/>
  <c r="F13" i="53"/>
  <c r="L28"/>
  <c r="G28"/>
  <c r="AN84" i="52"/>
  <c r="F55" i="53"/>
  <c r="L54"/>
  <c r="G54"/>
  <c r="L10"/>
  <c r="G10"/>
  <c r="AN90" i="52"/>
  <c r="F58" i="53"/>
  <c r="I58"/>
  <c r="L22"/>
  <c r="G22"/>
  <c r="K22" s="1"/>
  <c r="J22"/>
  <c r="L26"/>
  <c r="G26"/>
  <c r="AN78" i="52"/>
  <c r="F52" i="53"/>
  <c r="AN80" i="52"/>
  <c r="F53" i="53"/>
  <c r="L51"/>
  <c r="G51"/>
  <c r="L11"/>
  <c r="G11"/>
  <c r="L19"/>
  <c r="G19"/>
  <c r="L15"/>
  <c r="G15"/>
  <c r="AN30" i="52"/>
  <c r="F23" i="53"/>
  <c r="AN45" i="52"/>
  <c r="F29" i="53"/>
  <c r="AN28" i="52"/>
  <c r="F21" i="53"/>
  <c r="AN92" i="52"/>
  <c r="F59" i="53"/>
  <c r="AN43" i="52"/>
  <c r="AN39"/>
  <c r="AN88"/>
  <c r="AN37"/>
  <c r="AN76"/>
  <c r="AN11"/>
  <c r="AN26"/>
  <c r="AN18"/>
  <c r="AN82"/>
  <c r="AN9"/>
  <c r="AF6" i="50"/>
  <c r="AG5"/>
  <c r="AE69"/>
  <c r="AD70"/>
  <c r="L58" i="66" l="1"/>
  <c r="G58"/>
  <c r="AM36" i="58"/>
  <c r="AK36"/>
  <c r="L24" i="66"/>
  <c r="G24"/>
  <c r="AN84" i="65"/>
  <c r="F55" i="66"/>
  <c r="AN24" i="65"/>
  <c r="F18" i="66"/>
  <c r="AN11" i="65"/>
  <c r="F11" i="66"/>
  <c r="AN26" i="65"/>
  <c r="F19" i="66"/>
  <c r="L53"/>
  <c r="G53"/>
  <c r="AN86" i="65"/>
  <c r="F56" i="66"/>
  <c r="AN41" i="65"/>
  <c r="F22" i="66"/>
  <c r="AN30" i="65"/>
  <c r="F23" i="66"/>
  <c r="L15"/>
  <c r="G15"/>
  <c r="AN92" i="65"/>
  <c r="F59" i="66"/>
  <c r="L60"/>
  <c r="J60"/>
  <c r="G60"/>
  <c r="K60" s="1"/>
  <c r="M60" s="1"/>
  <c r="Q60" s="1"/>
  <c r="S60" s="1"/>
  <c r="AN43" i="65"/>
  <c r="F28" i="66"/>
  <c r="L14"/>
  <c r="G14"/>
  <c r="L52"/>
  <c r="G52"/>
  <c r="AN47" i="65"/>
  <c r="F30" i="66"/>
  <c r="L13"/>
  <c r="G13"/>
  <c r="AI76" i="62"/>
  <c r="AJ75"/>
  <c r="AN45" i="65"/>
  <c r="F29" i="66"/>
  <c r="AN20" i="65"/>
  <c r="F16" i="66"/>
  <c r="L57"/>
  <c r="G57"/>
  <c r="G20"/>
  <c r="L20"/>
  <c r="AN9" i="65"/>
  <c r="F10" i="66"/>
  <c r="L54"/>
  <c r="G54"/>
  <c r="AN28" i="65"/>
  <c r="F21" i="66"/>
  <c r="L17"/>
  <c r="G17"/>
  <c r="L25"/>
  <c r="G25"/>
  <c r="L27"/>
  <c r="G27"/>
  <c r="L24" i="53"/>
  <c r="J24"/>
  <c r="G24"/>
  <c r="K24" s="1"/>
  <c r="M24" s="1"/>
  <c r="Q24" s="1"/>
  <c r="S24" s="1"/>
  <c r="AN80" i="65"/>
  <c r="AN18"/>
  <c r="AN94"/>
  <c r="AN16"/>
  <c r="AN78"/>
  <c r="AN14"/>
  <c r="AN90"/>
  <c r="AI76"/>
  <c r="AJ75"/>
  <c r="AN36"/>
  <c r="AN88"/>
  <c r="AN32"/>
  <c r="AN82"/>
  <c r="AN22"/>
  <c r="AN34"/>
  <c r="AN39"/>
  <c r="AM28" i="62"/>
  <c r="AM32"/>
  <c r="AK22"/>
  <c r="F17" i="63" s="1"/>
  <c r="AK47" i="62"/>
  <c r="F30" i="63" s="1"/>
  <c r="AM20" i="62"/>
  <c r="AK18"/>
  <c r="F15" i="63" s="1"/>
  <c r="AK43" i="62"/>
  <c r="F28" i="63" s="1"/>
  <c r="AM9" i="62"/>
  <c r="AM24"/>
  <c r="AK14"/>
  <c r="F13" i="63" s="1"/>
  <c r="AK36" i="62"/>
  <c r="F24" i="63" s="1"/>
  <c r="AM45" i="62"/>
  <c r="AK11"/>
  <c r="F11" i="63" s="1"/>
  <c r="AK34" i="62"/>
  <c r="F25" i="63" s="1"/>
  <c r="AM43" i="62"/>
  <c r="AK39"/>
  <c r="F27" i="63" s="1"/>
  <c r="AK82" i="62"/>
  <c r="F54" i="63" s="1"/>
  <c r="AM14" i="62"/>
  <c r="AM36"/>
  <c r="AK30"/>
  <c r="F23" i="63" s="1"/>
  <c r="AK80" i="62"/>
  <c r="F53" i="63" s="1"/>
  <c r="AM34" i="62"/>
  <c r="AK26"/>
  <c r="F19" i="63" s="1"/>
  <c r="AM11" i="62"/>
  <c r="AK20"/>
  <c r="AK78"/>
  <c r="F52" i="63" s="1"/>
  <c r="AM41" i="62"/>
  <c r="AM84"/>
  <c r="AK16"/>
  <c r="F14" i="63" s="1"/>
  <c r="AK94" i="62"/>
  <c r="F60" i="63" s="1"/>
  <c r="AM82" i="62"/>
  <c r="AK9"/>
  <c r="AK90"/>
  <c r="F58" i="63" s="1"/>
  <c r="AM30" i="62"/>
  <c r="AM80"/>
  <c r="AK92"/>
  <c r="F59" i="63" s="1"/>
  <c r="AK88" i="62"/>
  <c r="F57" i="63" s="1"/>
  <c r="AM78" i="62"/>
  <c r="AK45"/>
  <c r="AK86"/>
  <c r="F56" i="63" s="1"/>
  <c r="AM90" i="62"/>
  <c r="AK28"/>
  <c r="AM18"/>
  <c r="AM92"/>
  <c r="AM88"/>
  <c r="AK24"/>
  <c r="AM86"/>
  <c r="AK32"/>
  <c r="AM47"/>
  <c r="AK84"/>
  <c r="AM16"/>
  <c r="AM39"/>
  <c r="AM22"/>
  <c r="AM26"/>
  <c r="AK41"/>
  <c r="AM94"/>
  <c r="AK90" i="58"/>
  <c r="F58" i="59" s="1"/>
  <c r="AM14" i="58"/>
  <c r="AM45"/>
  <c r="AK92"/>
  <c r="F59" i="59" s="1"/>
  <c r="AK84" i="58"/>
  <c r="F55" i="59" s="1"/>
  <c r="AM47" i="58"/>
  <c r="AM92"/>
  <c r="AM20"/>
  <c r="AM90"/>
  <c r="AK39"/>
  <c r="F27" i="59" s="1"/>
  <c r="AM24" i="58"/>
  <c r="AM94"/>
  <c r="AK9"/>
  <c r="F10" i="59" s="1"/>
  <c r="AM39" i="58"/>
  <c r="AK28"/>
  <c r="F21" i="59" s="1"/>
  <c r="AM84" i="58"/>
  <c r="AK94"/>
  <c r="F60" i="59" s="1"/>
  <c r="AK24" i="58"/>
  <c r="F18" i="59" s="1"/>
  <c r="AM82" i="58"/>
  <c r="AM30"/>
  <c r="AK22"/>
  <c r="F17" i="59" s="1"/>
  <c r="AK47" i="58"/>
  <c r="AK18"/>
  <c r="F15" i="59" s="1"/>
  <c r="AM34" i="58"/>
  <c r="AM9"/>
  <c r="AK32"/>
  <c r="F20" i="59" s="1"/>
  <c r="AM88" i="58"/>
  <c r="AM26"/>
  <c r="AK78"/>
  <c r="F52" i="59" s="1"/>
  <c r="AM28" i="58"/>
  <c r="AK11"/>
  <c r="F11" i="59" s="1"/>
  <c r="AK43" i="58"/>
  <c r="F28" i="59" s="1"/>
  <c r="AM32" i="58"/>
  <c r="AK14"/>
  <c r="AK86"/>
  <c r="F56" i="59" s="1"/>
  <c r="AM43" i="58"/>
  <c r="AK82"/>
  <c r="AK41"/>
  <c r="F22" i="59" s="1"/>
  <c r="AM86" i="58"/>
  <c r="AM16"/>
  <c r="AK34"/>
  <c r="AM11"/>
  <c r="AM22"/>
  <c r="AM78"/>
  <c r="AK16"/>
  <c r="F14" i="59" s="1"/>
  <c r="AK88" i="58"/>
  <c r="F57" i="59" s="1"/>
  <c r="AM80" i="58"/>
  <c r="AK20"/>
  <c r="AM18"/>
  <c r="AM41"/>
  <c r="AK80"/>
  <c r="AK30"/>
  <c r="AK45"/>
  <c r="AK26"/>
  <c r="J59" i="53"/>
  <c r="L59"/>
  <c r="G59"/>
  <c r="K59" s="1"/>
  <c r="L29"/>
  <c r="G29"/>
  <c r="L13"/>
  <c r="G13"/>
  <c r="L17"/>
  <c r="G17"/>
  <c r="L27"/>
  <c r="G27"/>
  <c r="L56"/>
  <c r="G56"/>
  <c r="L14"/>
  <c r="G14"/>
  <c r="L16"/>
  <c r="G16"/>
  <c r="L18"/>
  <c r="G18"/>
  <c r="G20"/>
  <c r="L20"/>
  <c r="L21"/>
  <c r="G21"/>
  <c r="L23"/>
  <c r="G23"/>
  <c r="K23" s="1"/>
  <c r="J23"/>
  <c r="L53"/>
  <c r="G53"/>
  <c r="L52"/>
  <c r="G52"/>
  <c r="G58"/>
  <c r="K58" s="1"/>
  <c r="J58"/>
  <c r="L58"/>
  <c r="L55"/>
  <c r="G55"/>
  <c r="M22"/>
  <c r="Q22" s="1"/>
  <c r="S22" s="1"/>
  <c r="AE70" i="50"/>
  <c r="AF69"/>
  <c r="AH5"/>
  <c r="AG6"/>
  <c r="AN26" i="58" l="1"/>
  <c r="F19" i="59"/>
  <c r="AN30" i="58"/>
  <c r="F23" i="59"/>
  <c r="AN20" i="58"/>
  <c r="F16" i="59"/>
  <c r="L57"/>
  <c r="G57"/>
  <c r="L22"/>
  <c r="J22"/>
  <c r="G22"/>
  <c r="K22" s="1"/>
  <c r="M22" s="1"/>
  <c r="Q22" s="1"/>
  <c r="S22" s="1"/>
  <c r="AN14" i="58"/>
  <c r="F13" i="59"/>
  <c r="L28"/>
  <c r="G28"/>
  <c r="L20"/>
  <c r="G20"/>
  <c r="H25" i="63"/>
  <c r="I25" s="1"/>
  <c r="H25" i="59"/>
  <c r="I25" s="1"/>
  <c r="H25" i="66"/>
  <c r="AN47" i="58"/>
  <c r="F30" i="59"/>
  <c r="L18"/>
  <c r="G18"/>
  <c r="L27"/>
  <c r="G27"/>
  <c r="L59"/>
  <c r="J59"/>
  <c r="G59"/>
  <c r="K59" s="1"/>
  <c r="M59" s="1"/>
  <c r="Q59" s="1"/>
  <c r="S59" s="1"/>
  <c r="AN84" i="62"/>
  <c r="F55" i="63"/>
  <c r="AN32" i="62"/>
  <c r="F20" i="63"/>
  <c r="AN24" i="62"/>
  <c r="F18" i="63"/>
  <c r="AN28" i="62"/>
  <c r="F21" i="63"/>
  <c r="L56"/>
  <c r="G56"/>
  <c r="L59"/>
  <c r="J59"/>
  <c r="G59"/>
  <c r="K59" s="1"/>
  <c r="M59" s="1"/>
  <c r="Q59" s="1"/>
  <c r="S59" s="1"/>
  <c r="AN9" i="62"/>
  <c r="F10" i="63"/>
  <c r="L60"/>
  <c r="J60"/>
  <c r="G60"/>
  <c r="K60" s="1"/>
  <c r="M60" s="1"/>
  <c r="Q60" s="1"/>
  <c r="S60" s="1"/>
  <c r="L23"/>
  <c r="J23"/>
  <c r="G23"/>
  <c r="K23" s="1"/>
  <c r="M23" s="1"/>
  <c r="Q23" s="1"/>
  <c r="S23" s="1"/>
  <c r="L27"/>
  <c r="G27"/>
  <c r="L25"/>
  <c r="G25"/>
  <c r="K25" s="1"/>
  <c r="J25"/>
  <c r="L13"/>
  <c r="G13"/>
  <c r="L15"/>
  <c r="G15"/>
  <c r="L30"/>
  <c r="G30"/>
  <c r="L21" i="66"/>
  <c r="G21"/>
  <c r="L30"/>
  <c r="G30"/>
  <c r="L28"/>
  <c r="G28"/>
  <c r="L23"/>
  <c r="J23"/>
  <c r="G23"/>
  <c r="K23" s="1"/>
  <c r="M23" s="1"/>
  <c r="Q23" s="1"/>
  <c r="S23" s="1"/>
  <c r="L22"/>
  <c r="G22"/>
  <c r="K22" s="1"/>
  <c r="J22"/>
  <c r="L56"/>
  <c r="G56"/>
  <c r="F24" i="59"/>
  <c r="AN36" i="58"/>
  <c r="AN45"/>
  <c r="F29" i="59"/>
  <c r="AN80" i="58"/>
  <c r="F53" i="59"/>
  <c r="L14"/>
  <c r="G14"/>
  <c r="AN34" i="58"/>
  <c r="F25" i="59"/>
  <c r="AN82" i="58"/>
  <c r="F54" i="59"/>
  <c r="L56"/>
  <c r="G56"/>
  <c r="L11"/>
  <c r="G11"/>
  <c r="L15"/>
  <c r="G15"/>
  <c r="L17"/>
  <c r="G17"/>
  <c r="L60"/>
  <c r="J60"/>
  <c r="G60"/>
  <c r="K60" s="1"/>
  <c r="M60" s="1"/>
  <c r="Q60" s="1"/>
  <c r="S60" s="1"/>
  <c r="L21"/>
  <c r="G21"/>
  <c r="L10"/>
  <c r="G10"/>
  <c r="L55"/>
  <c r="G55"/>
  <c r="L58"/>
  <c r="G58"/>
  <c r="AN41" i="62"/>
  <c r="F22" i="63"/>
  <c r="AN45" i="62"/>
  <c r="F29" i="63"/>
  <c r="L57"/>
  <c r="G57"/>
  <c r="L58"/>
  <c r="G58"/>
  <c r="L14"/>
  <c r="G14"/>
  <c r="AN20" i="62"/>
  <c r="F16" i="63"/>
  <c r="L19"/>
  <c r="G19"/>
  <c r="L53"/>
  <c r="G53"/>
  <c r="L54"/>
  <c r="G54"/>
  <c r="L11"/>
  <c r="G11"/>
  <c r="L24"/>
  <c r="G24"/>
  <c r="L28"/>
  <c r="G28"/>
  <c r="L17"/>
  <c r="G17"/>
  <c r="L10" i="66"/>
  <c r="G10"/>
  <c r="L16"/>
  <c r="G16"/>
  <c r="L29"/>
  <c r="G29"/>
  <c r="L59"/>
  <c r="J59"/>
  <c r="G59"/>
  <c r="K59" s="1"/>
  <c r="M59" s="1"/>
  <c r="Q59" s="1"/>
  <c r="S59" s="1"/>
  <c r="L19"/>
  <c r="G19"/>
  <c r="L11"/>
  <c r="G11"/>
  <c r="L18"/>
  <c r="G18"/>
  <c r="L55"/>
  <c r="L61" s="1"/>
  <c r="G55"/>
  <c r="H24"/>
  <c r="H24" i="63"/>
  <c r="I24" s="1"/>
  <c r="H24" i="59"/>
  <c r="I24" s="1"/>
  <c r="L52" i="63"/>
  <c r="G52"/>
  <c r="AN88" i="62"/>
  <c r="AN90"/>
  <c r="AN16"/>
  <c r="AN26"/>
  <c r="AN80"/>
  <c r="AN82"/>
  <c r="AN11"/>
  <c r="AN36"/>
  <c r="AN43"/>
  <c r="AN22"/>
  <c r="AN86"/>
  <c r="AN92"/>
  <c r="AN94"/>
  <c r="AN78"/>
  <c r="AN30"/>
  <c r="AN39"/>
  <c r="AN34"/>
  <c r="AN14"/>
  <c r="AN18"/>
  <c r="AN47"/>
  <c r="L52" i="59"/>
  <c r="G52"/>
  <c r="AN94" i="58"/>
  <c r="AN16"/>
  <c r="AN11"/>
  <c r="AN78"/>
  <c r="AN28"/>
  <c r="AN84"/>
  <c r="AN86"/>
  <c r="AN18"/>
  <c r="AN22"/>
  <c r="AN9"/>
  <c r="AN90"/>
  <c r="AN88"/>
  <c r="AN41"/>
  <c r="AN43"/>
  <c r="AN32"/>
  <c r="AN24"/>
  <c r="AN39"/>
  <c r="AN92"/>
  <c r="L30" i="53"/>
  <c r="M59"/>
  <c r="Q59" s="1"/>
  <c r="S59" s="1"/>
  <c r="M58"/>
  <c r="Q58" s="1"/>
  <c r="S58" s="1"/>
  <c r="L60"/>
  <c r="M23"/>
  <c r="Q23" s="1"/>
  <c r="S23" s="1"/>
  <c r="G60"/>
  <c r="G30"/>
  <c r="AH6" i="50"/>
  <c r="AI5"/>
  <c r="AI6" s="1"/>
  <c r="AG69"/>
  <c r="AF70"/>
  <c r="I24" i="66" l="1"/>
  <c r="K24" s="1"/>
  <c r="M24" s="1"/>
  <c r="Q24" s="1"/>
  <c r="S24" s="1"/>
  <c r="J24"/>
  <c r="L16" i="63"/>
  <c r="G16"/>
  <c r="L54" i="59"/>
  <c r="G54"/>
  <c r="L25"/>
  <c r="J25"/>
  <c r="G25"/>
  <c r="K25" s="1"/>
  <c r="M25" s="1"/>
  <c r="Q25" s="1"/>
  <c r="S25" s="1"/>
  <c r="L30"/>
  <c r="G30"/>
  <c r="I25" i="66"/>
  <c r="K25" s="1"/>
  <c r="M25" s="1"/>
  <c r="Q25" s="1"/>
  <c r="S25" s="1"/>
  <c r="J25"/>
  <c r="L31"/>
  <c r="J24" i="63"/>
  <c r="M22" i="66"/>
  <c r="Q22" s="1"/>
  <c r="S22" s="1"/>
  <c r="M25" i="63"/>
  <c r="Q25" s="1"/>
  <c r="S25" s="1"/>
  <c r="G31" i="66"/>
  <c r="L29" i="63"/>
  <c r="G29"/>
  <c r="L22"/>
  <c r="J22"/>
  <c r="G22"/>
  <c r="K22" s="1"/>
  <c r="M22" s="1"/>
  <c r="Q22" s="1"/>
  <c r="S22" s="1"/>
  <c r="L53" i="59"/>
  <c r="L61" s="1"/>
  <c r="G53"/>
  <c r="L29"/>
  <c r="G29"/>
  <c r="J24"/>
  <c r="L24"/>
  <c r="G24"/>
  <c r="K24" s="1"/>
  <c r="M24" s="1"/>
  <c r="Q24" s="1"/>
  <c r="S24" s="1"/>
  <c r="L10" i="63"/>
  <c r="G10"/>
  <c r="L21"/>
  <c r="G21"/>
  <c r="L18"/>
  <c r="G18"/>
  <c r="G20"/>
  <c r="L20"/>
  <c r="L55"/>
  <c r="L61" s="1"/>
  <c r="G55"/>
  <c r="L13" i="59"/>
  <c r="G13"/>
  <c r="L16"/>
  <c r="G16"/>
  <c r="L23"/>
  <c r="L31" s="1"/>
  <c r="G23"/>
  <c r="K23" s="1"/>
  <c r="J23"/>
  <c r="L19"/>
  <c r="G19"/>
  <c r="K24" i="63"/>
  <c r="M24" s="1"/>
  <c r="Q24" s="1"/>
  <c r="S24" s="1"/>
  <c r="G61" i="66"/>
  <c r="G61" i="63"/>
  <c r="G61" i="59"/>
  <c r="AK32" i="50"/>
  <c r="AM32"/>
  <c r="H27" i="51" s="1"/>
  <c r="I27" s="1"/>
  <c r="AG70" i="50"/>
  <c r="AH69"/>
  <c r="AK86"/>
  <c r="F55" i="51" s="1"/>
  <c r="AM41" i="50"/>
  <c r="H26" i="51" s="1"/>
  <c r="AK28" i="50"/>
  <c r="F20" i="51" s="1"/>
  <c r="AM72" i="50"/>
  <c r="H49" i="51" s="1"/>
  <c r="AK35" i="50"/>
  <c r="F23" i="51" s="1"/>
  <c r="AM30" i="50"/>
  <c r="H21" i="51" s="1"/>
  <c r="AM78" i="50"/>
  <c r="H52" i="51" s="1"/>
  <c r="AK16" i="50"/>
  <c r="F14" i="51" s="1"/>
  <c r="AM82" i="50"/>
  <c r="H54" i="51" s="1"/>
  <c r="AK20" i="50"/>
  <c r="F16" i="51" s="1"/>
  <c r="AM11" i="50"/>
  <c r="H11" i="51" s="1"/>
  <c r="AK18" i="50"/>
  <c r="F15" i="51" s="1"/>
  <c r="AM24" i="50"/>
  <c r="H18" i="51" s="1"/>
  <c r="AK72" i="50"/>
  <c r="AM28"/>
  <c r="H20" i="51" s="1"/>
  <c r="AK76" i="50"/>
  <c r="F51" i="51" s="1"/>
  <c r="AK14" i="50"/>
  <c r="F13" i="51" s="1"/>
  <c r="AM9" i="50"/>
  <c r="H10" i="51" s="1"/>
  <c r="AK82" i="50"/>
  <c r="AM16"/>
  <c r="H14" i="51" s="1"/>
  <c r="AK37" i="50"/>
  <c r="F24" i="51" s="1"/>
  <c r="AK84" i="50"/>
  <c r="F56" i="51" s="1"/>
  <c r="AK24" i="50"/>
  <c r="AM86"/>
  <c r="H55" i="51" s="1"/>
  <c r="AM39" i="50"/>
  <c r="H25" i="51" s="1"/>
  <c r="AK22" i="50"/>
  <c r="F17" i="51" s="1"/>
  <c r="AM84" i="50"/>
  <c r="H56" i="51" s="1"/>
  <c r="AM37" i="50"/>
  <c r="H24" i="51" s="1"/>
  <c r="AK78" i="50"/>
  <c r="AK30"/>
  <c r="AM80"/>
  <c r="H53" i="51" s="1"/>
  <c r="AK74" i="50"/>
  <c r="F50" i="51" s="1"/>
  <c r="AK26" i="50"/>
  <c r="F19" i="51" s="1"/>
  <c r="AM76" i="50"/>
  <c r="H51" i="51" s="1"/>
  <c r="AK11" i="50"/>
  <c r="AK41"/>
  <c r="AM22"/>
  <c r="H17" i="51" s="1"/>
  <c r="AM14" i="50"/>
  <c r="H13" i="51" s="1"/>
  <c r="AK39" i="50"/>
  <c r="AM20"/>
  <c r="H16" i="51" s="1"/>
  <c r="AM18" i="50"/>
  <c r="H15" i="51" s="1"/>
  <c r="AK9" i="50"/>
  <c r="AM74"/>
  <c r="H50" i="51" s="1"/>
  <c r="AM26" i="50"/>
  <c r="H19" i="51" s="1"/>
  <c r="AK80" i="50"/>
  <c r="AM35"/>
  <c r="H23" i="51" s="1"/>
  <c r="G31" i="63" l="1"/>
  <c r="M23" i="59"/>
  <c r="Q23" s="1"/>
  <c r="S23" s="1"/>
  <c r="L31" i="63"/>
  <c r="G31" i="59"/>
  <c r="AN9" i="50"/>
  <c r="F10" i="51"/>
  <c r="AN41" i="50"/>
  <c r="F26" i="51"/>
  <c r="AN30" i="50"/>
  <c r="F21" i="51"/>
  <c r="L17"/>
  <c r="G17"/>
  <c r="G56"/>
  <c r="L56"/>
  <c r="L13"/>
  <c r="G13"/>
  <c r="L15"/>
  <c r="G15"/>
  <c r="L16"/>
  <c r="G16"/>
  <c r="L23"/>
  <c r="G23"/>
  <c r="L55"/>
  <c r="G55"/>
  <c r="AN32" i="50"/>
  <c r="F27" i="51"/>
  <c r="AN80" i="50"/>
  <c r="F53" i="51"/>
  <c r="AN39" i="50"/>
  <c r="F25" i="51"/>
  <c r="AN11" i="50"/>
  <c r="F11" i="51"/>
  <c r="L19"/>
  <c r="G19"/>
  <c r="AN78" i="50"/>
  <c r="F52" i="51"/>
  <c r="AN24" i="50"/>
  <c r="F18" i="51"/>
  <c r="L24"/>
  <c r="G24"/>
  <c r="AN82" i="50"/>
  <c r="F54" i="51"/>
  <c r="L51"/>
  <c r="G51"/>
  <c r="L14"/>
  <c r="G14"/>
  <c r="L20"/>
  <c r="G20"/>
  <c r="L50"/>
  <c r="G50"/>
  <c r="AN72" i="50"/>
  <c r="F49" i="51"/>
  <c r="AN74" i="50"/>
  <c r="AN22"/>
  <c r="AN84"/>
  <c r="AN14"/>
  <c r="AN18"/>
  <c r="AN20"/>
  <c r="AN35"/>
  <c r="AN86"/>
  <c r="AI69"/>
  <c r="AI70" s="1"/>
  <c r="AH70"/>
  <c r="AN26"/>
  <c r="AN37"/>
  <c r="AN76"/>
  <c r="AN16"/>
  <c r="AN28"/>
  <c r="L18" i="51" l="1"/>
  <c r="G18"/>
  <c r="L54"/>
  <c r="G54"/>
  <c r="L52"/>
  <c r="G52"/>
  <c r="L11"/>
  <c r="G11"/>
  <c r="L25"/>
  <c r="G25"/>
  <c r="L53"/>
  <c r="G53"/>
  <c r="G27"/>
  <c r="K27" s="1"/>
  <c r="L27"/>
  <c r="J27"/>
  <c r="L21"/>
  <c r="G21"/>
  <c r="L26"/>
  <c r="G26"/>
  <c r="L10"/>
  <c r="G10"/>
  <c r="L49"/>
  <c r="G49"/>
  <c r="L57" l="1"/>
  <c r="L28"/>
  <c r="G28"/>
  <c r="M27"/>
  <c r="Q27" s="1"/>
  <c r="S27" s="1"/>
  <c r="G57"/>
  <c r="AL93" i="17" l="1"/>
  <c r="D93"/>
  <c r="C93"/>
  <c r="AL89"/>
  <c r="D89"/>
  <c r="C89"/>
  <c r="AL87"/>
  <c r="D87"/>
  <c r="C87"/>
  <c r="AL85"/>
  <c r="D85"/>
  <c r="C85"/>
  <c r="AL83"/>
  <c r="D83"/>
  <c r="C83"/>
  <c r="AL81"/>
  <c r="D81"/>
  <c r="C81"/>
  <c r="A81"/>
  <c r="A83" s="1"/>
  <c r="A85" s="1"/>
  <c r="A87" s="1"/>
  <c r="A89" s="1"/>
  <c r="AL79"/>
  <c r="D79"/>
  <c r="C79"/>
  <c r="E75"/>
  <c r="F76" s="1"/>
  <c r="AL43"/>
  <c r="D43"/>
  <c r="C43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L11"/>
  <c r="D11"/>
  <c r="C11"/>
  <c r="AL9"/>
  <c r="D9"/>
  <c r="C9"/>
  <c r="F5"/>
  <c r="G5" s="1"/>
  <c r="A3"/>
  <c r="A74" s="1"/>
  <c r="A2"/>
  <c r="A73" s="1"/>
  <c r="S1"/>
  <c r="S72" s="1"/>
  <c r="V57" i="15"/>
  <c r="A37" i="17" l="1"/>
  <c r="H5"/>
  <c r="G6"/>
  <c r="G76"/>
  <c r="F77"/>
  <c r="F6"/>
  <c r="G77" l="1"/>
  <c r="H76"/>
  <c r="H6"/>
  <c r="I5"/>
  <c r="I6" l="1"/>
  <c r="J5"/>
  <c r="I76"/>
  <c r="H77"/>
  <c r="I77" l="1"/>
  <c r="J76"/>
  <c r="K5"/>
  <c r="J6"/>
  <c r="K76" l="1"/>
  <c r="J77"/>
  <c r="L5"/>
  <c r="K6"/>
  <c r="L6" l="1"/>
  <c r="M5"/>
  <c r="K77"/>
  <c r="L76"/>
  <c r="M76" l="1"/>
  <c r="L77"/>
  <c r="M6"/>
  <c r="N5"/>
  <c r="O5" l="1"/>
  <c r="N6"/>
  <c r="M77"/>
  <c r="N76"/>
  <c r="O76" l="1"/>
  <c r="N77"/>
  <c r="O6"/>
  <c r="P5"/>
  <c r="O77" l="1"/>
  <c r="P76"/>
  <c r="Q5"/>
  <c r="P6"/>
  <c r="R5" l="1"/>
  <c r="Q6"/>
  <c r="Q76"/>
  <c r="P77"/>
  <c r="Q77" l="1"/>
  <c r="R76"/>
  <c r="R6"/>
  <c r="S5"/>
  <c r="S6" l="1"/>
  <c r="T5"/>
  <c r="S76"/>
  <c r="R77"/>
  <c r="S77" l="1"/>
  <c r="T76"/>
  <c r="U5"/>
  <c r="T6"/>
  <c r="V5" l="1"/>
  <c r="U6"/>
  <c r="U76"/>
  <c r="T77"/>
  <c r="U77" l="1"/>
  <c r="V76"/>
  <c r="V6"/>
  <c r="W5"/>
  <c r="W6" l="1"/>
  <c r="X5"/>
  <c r="W76"/>
  <c r="V77"/>
  <c r="W77" l="1"/>
  <c r="X76"/>
  <c r="Y5"/>
  <c r="X6"/>
  <c r="Z5" l="1"/>
  <c r="Y6"/>
  <c r="Y76"/>
  <c r="X77"/>
  <c r="Y77" l="1"/>
  <c r="Z76"/>
  <c r="Z6"/>
  <c r="AA5"/>
  <c r="AA6" l="1"/>
  <c r="AB5"/>
  <c r="AA76"/>
  <c r="Z77"/>
  <c r="AA77" l="1"/>
  <c r="AB76"/>
  <c r="AB6"/>
  <c r="AC5"/>
  <c r="AD5" l="1"/>
  <c r="AC6"/>
  <c r="AC76"/>
  <c r="AB77"/>
  <c r="AC77" l="1"/>
  <c r="AD76"/>
  <c r="AD6"/>
  <c r="AE5"/>
  <c r="AE6" l="1"/>
  <c r="AF5"/>
  <c r="AE76"/>
  <c r="AD77"/>
  <c r="AE77" l="1"/>
  <c r="AF76"/>
  <c r="AF6"/>
  <c r="AG5"/>
  <c r="AH5" l="1"/>
  <c r="AG6"/>
  <c r="AG76"/>
  <c r="AF77"/>
  <c r="AG77" l="1"/>
  <c r="AH76"/>
  <c r="AH6"/>
  <c r="AI5"/>
  <c r="AI6" s="1"/>
  <c r="AK91" l="1"/>
  <c r="AM91"/>
  <c r="AK32"/>
  <c r="AM32"/>
  <c r="AM16"/>
  <c r="AK14"/>
  <c r="AK43"/>
  <c r="AK11"/>
  <c r="AK24"/>
  <c r="AM39"/>
  <c r="AK26"/>
  <c r="AM81"/>
  <c r="AK87"/>
  <c r="F54" i="18" s="1"/>
  <c r="AM22" i="17"/>
  <c r="AM89"/>
  <c r="AM79"/>
  <c r="AK28"/>
  <c r="AM20"/>
  <c r="AM85"/>
  <c r="AK22"/>
  <c r="AK16"/>
  <c r="AN16" s="1"/>
  <c r="AK18"/>
  <c r="AM28"/>
  <c r="AK41"/>
  <c r="AK83"/>
  <c r="F52" i="18" s="1"/>
  <c r="AK20" i="17"/>
  <c r="AN20" s="1"/>
  <c r="AK93"/>
  <c r="F56" i="18" s="1"/>
  <c r="AK37" i="17"/>
  <c r="AM18"/>
  <c r="AK39"/>
  <c r="AN39" s="1"/>
  <c r="AM37"/>
  <c r="AK30"/>
  <c r="AK79"/>
  <c r="F50" i="18" s="1"/>
  <c r="AM30" i="17"/>
  <c r="AK89"/>
  <c r="F55" i="18" s="1"/>
  <c r="AM83" i="17"/>
  <c r="AK9"/>
  <c r="AM35"/>
  <c r="AM43"/>
  <c r="AK81"/>
  <c r="AK85"/>
  <c r="AM26"/>
  <c r="AM24"/>
  <c r="AK35"/>
  <c r="AM14"/>
  <c r="AM87"/>
  <c r="AM11"/>
  <c r="AM93"/>
  <c r="AM9"/>
  <c r="AM41"/>
  <c r="AI76"/>
  <c r="AI77" s="1"/>
  <c r="AH77"/>
  <c r="H10" i="63" l="1"/>
  <c r="H10" i="53"/>
  <c r="H10" i="66"/>
  <c r="H10" i="59"/>
  <c r="H13" i="63"/>
  <c r="H13" i="53"/>
  <c r="H13" i="66"/>
  <c r="H13" i="59"/>
  <c r="H15" i="63"/>
  <c r="H15" i="59"/>
  <c r="H15" i="66"/>
  <c r="H15" i="53"/>
  <c r="H21" i="63"/>
  <c r="H21" i="53"/>
  <c r="H21" i="66"/>
  <c r="H21" i="59"/>
  <c r="H55" i="66"/>
  <c r="H55" i="59"/>
  <c r="H54" i="53"/>
  <c r="H55" i="63"/>
  <c r="H56" i="53"/>
  <c r="H57" i="59"/>
  <c r="H57" i="63"/>
  <c r="H57" i="66"/>
  <c r="H14" i="63"/>
  <c r="H14" i="53"/>
  <c r="H14" i="66"/>
  <c r="H14" i="59"/>
  <c r="H11" i="63"/>
  <c r="H11" i="59"/>
  <c r="H11" i="66"/>
  <c r="H11" i="53"/>
  <c r="H18" i="63"/>
  <c r="H18" i="53"/>
  <c r="H18" i="66"/>
  <c r="H18" i="59"/>
  <c r="H30"/>
  <c r="H30" i="66"/>
  <c r="H30" i="63"/>
  <c r="H29" i="53"/>
  <c r="H29" i="66"/>
  <c r="H28" i="53"/>
  <c r="H29" i="63"/>
  <c r="H29" i="59"/>
  <c r="H58" i="66"/>
  <c r="H57" i="53"/>
  <c r="H58" i="59"/>
  <c r="H58" i="63"/>
  <c r="H56" i="66"/>
  <c r="H55" i="53"/>
  <c r="H56" i="59"/>
  <c r="H56" i="63"/>
  <c r="H19"/>
  <c r="H19" i="59"/>
  <c r="H19" i="66"/>
  <c r="H19" i="53"/>
  <c r="H27" i="66"/>
  <c r="H26" i="53"/>
  <c r="H27" i="59"/>
  <c r="H27" i="63"/>
  <c r="H54"/>
  <c r="H53" i="53"/>
  <c r="H54" i="66"/>
  <c r="H54" i="59"/>
  <c r="H16" i="63"/>
  <c r="H16" i="59"/>
  <c r="H16" i="66"/>
  <c r="H16" i="53"/>
  <c r="H51"/>
  <c r="H52" i="63"/>
  <c r="H52" i="59"/>
  <c r="H52" i="66"/>
  <c r="H17" i="63"/>
  <c r="H17" i="53"/>
  <c r="H17" i="66"/>
  <c r="H17" i="59"/>
  <c r="H53"/>
  <c r="H53" i="63"/>
  <c r="H52" i="53"/>
  <c r="H53" i="66"/>
  <c r="H28"/>
  <c r="H28" i="59"/>
  <c r="H27" i="53"/>
  <c r="H28" i="63"/>
  <c r="H20" i="53"/>
  <c r="H20" i="63"/>
  <c r="H20" i="59"/>
  <c r="H20" i="66"/>
  <c r="AN35" i="17"/>
  <c r="AN22"/>
  <c r="H21" i="18"/>
  <c r="I21" s="1"/>
  <c r="I10" i="51"/>
  <c r="J10"/>
  <c r="I13"/>
  <c r="K13" s="1"/>
  <c r="M13" s="1"/>
  <c r="Q13" s="1"/>
  <c r="S13" s="1"/>
  <c r="J13"/>
  <c r="I26"/>
  <c r="K26" s="1"/>
  <c r="M26" s="1"/>
  <c r="Q26" s="1"/>
  <c r="S26" s="1"/>
  <c r="J26"/>
  <c r="J15"/>
  <c r="I15"/>
  <c r="K15" s="1"/>
  <c r="M15" s="1"/>
  <c r="Q15" s="1"/>
  <c r="S15" s="1"/>
  <c r="I20"/>
  <c r="K20" s="1"/>
  <c r="M20" s="1"/>
  <c r="Q20" s="1"/>
  <c r="S20" s="1"/>
  <c r="J20"/>
  <c r="J16"/>
  <c r="I16"/>
  <c r="K16" s="1"/>
  <c r="M16" s="1"/>
  <c r="Q16" s="1"/>
  <c r="S16" s="1"/>
  <c r="H50" i="18"/>
  <c r="J17" i="51"/>
  <c r="I17"/>
  <c r="K17" s="1"/>
  <c r="M17" s="1"/>
  <c r="Q17" s="1"/>
  <c r="S17" s="1"/>
  <c r="H51" i="18"/>
  <c r="J24" i="51"/>
  <c r="I24"/>
  <c r="K24" s="1"/>
  <c r="M24" s="1"/>
  <c r="Q24" s="1"/>
  <c r="S24" s="1"/>
  <c r="J14"/>
  <c r="I14"/>
  <c r="K14" s="1"/>
  <c r="M14" s="1"/>
  <c r="Q14" s="1"/>
  <c r="S14" s="1"/>
  <c r="AN32" i="17"/>
  <c r="F21" i="18"/>
  <c r="AN91" i="17"/>
  <c r="F57" i="18"/>
  <c r="J11" i="51"/>
  <c r="I11"/>
  <c r="K11" s="1"/>
  <c r="M11" s="1"/>
  <c r="Q11" s="1"/>
  <c r="S11" s="1"/>
  <c r="J18"/>
  <c r="I18"/>
  <c r="K18" s="1"/>
  <c r="M18" s="1"/>
  <c r="Q18" s="1"/>
  <c r="S18" s="1"/>
  <c r="AN85" i="17"/>
  <c r="F53" i="18"/>
  <c r="I25" i="51"/>
  <c r="K25" s="1"/>
  <c r="M25" s="1"/>
  <c r="Q25" s="1"/>
  <c r="S25" s="1"/>
  <c r="J25"/>
  <c r="H56" i="18"/>
  <c r="H54"/>
  <c r="J19" i="51"/>
  <c r="I19"/>
  <c r="K19" s="1"/>
  <c r="M19" s="1"/>
  <c r="Q19" s="1"/>
  <c r="S19" s="1"/>
  <c r="AN81" i="17"/>
  <c r="F51" i="18"/>
  <c r="I23" i="51"/>
  <c r="K23" s="1"/>
  <c r="M23" s="1"/>
  <c r="Q23" s="1"/>
  <c r="S23" s="1"/>
  <c r="J23"/>
  <c r="H52" i="18"/>
  <c r="I21" i="51"/>
  <c r="K21" s="1"/>
  <c r="M21" s="1"/>
  <c r="Q21" s="1"/>
  <c r="S21" s="1"/>
  <c r="J21"/>
  <c r="H53" i="18"/>
  <c r="H55"/>
  <c r="H57"/>
  <c r="I57" s="1"/>
  <c r="AN89" i="17"/>
  <c r="AN79"/>
  <c r="AN30"/>
  <c r="AN37"/>
  <c r="AN28"/>
  <c r="AN87"/>
  <c r="AN26"/>
  <c r="AN11"/>
  <c r="AN9"/>
  <c r="AN93"/>
  <c r="AN83"/>
  <c r="AN41"/>
  <c r="AN18"/>
  <c r="AN24"/>
  <c r="AN43"/>
  <c r="AN14"/>
  <c r="I20" i="59" l="1"/>
  <c r="K20" s="1"/>
  <c r="M20" s="1"/>
  <c r="Q20" s="1"/>
  <c r="S20" s="1"/>
  <c r="J20"/>
  <c r="I20" i="53"/>
  <c r="K20" s="1"/>
  <c r="M20" s="1"/>
  <c r="Q20" s="1"/>
  <c r="S20" s="1"/>
  <c r="J20"/>
  <c r="I27"/>
  <c r="K27" s="1"/>
  <c r="M27" s="1"/>
  <c r="Q27" s="1"/>
  <c r="S27" s="1"/>
  <c r="J27"/>
  <c r="I28" i="66"/>
  <c r="K28" s="1"/>
  <c r="M28" s="1"/>
  <c r="Q28" s="1"/>
  <c r="S28" s="1"/>
  <c r="J28"/>
  <c r="I52" i="53"/>
  <c r="K52" s="1"/>
  <c r="M52" s="1"/>
  <c r="Q52" s="1"/>
  <c r="S52" s="1"/>
  <c r="J52"/>
  <c r="I53" i="59"/>
  <c r="K53" s="1"/>
  <c r="M53" s="1"/>
  <c r="Q53" s="1"/>
  <c r="S53" s="1"/>
  <c r="J53"/>
  <c r="I17" i="66"/>
  <c r="K17" s="1"/>
  <c r="M17" s="1"/>
  <c r="Q17" s="1"/>
  <c r="S17" s="1"/>
  <c r="J17"/>
  <c r="I17" i="63"/>
  <c r="K17" s="1"/>
  <c r="M17" s="1"/>
  <c r="Q17" s="1"/>
  <c r="S17" s="1"/>
  <c r="J17"/>
  <c r="H61" i="59"/>
  <c r="I52"/>
  <c r="J52"/>
  <c r="I51" i="53"/>
  <c r="H60"/>
  <c r="J51"/>
  <c r="I16" i="66"/>
  <c r="K16" s="1"/>
  <c r="M16" s="1"/>
  <c r="Q16" s="1"/>
  <c r="S16" s="1"/>
  <c r="J16"/>
  <c r="I16" i="63"/>
  <c r="K16" s="1"/>
  <c r="M16" s="1"/>
  <c r="Q16" s="1"/>
  <c r="S16" s="1"/>
  <c r="J16"/>
  <c r="I54" i="66"/>
  <c r="K54" s="1"/>
  <c r="M54" s="1"/>
  <c r="Q54" s="1"/>
  <c r="S54" s="1"/>
  <c r="J54"/>
  <c r="I54" i="63"/>
  <c r="K54" s="1"/>
  <c r="M54" s="1"/>
  <c r="Q54" s="1"/>
  <c r="S54" s="1"/>
  <c r="J54"/>
  <c r="I27" i="59"/>
  <c r="K27" s="1"/>
  <c r="M27" s="1"/>
  <c r="Q27" s="1"/>
  <c r="S27" s="1"/>
  <c r="J27"/>
  <c r="I27" i="66"/>
  <c r="K27" s="1"/>
  <c r="M27" s="1"/>
  <c r="Q27" s="1"/>
  <c r="S27" s="1"/>
  <c r="J27"/>
  <c r="I19"/>
  <c r="K19" s="1"/>
  <c r="M19" s="1"/>
  <c r="Q19" s="1"/>
  <c r="S19" s="1"/>
  <c r="J19"/>
  <c r="I19" i="63"/>
  <c r="K19" s="1"/>
  <c r="M19" s="1"/>
  <c r="Q19" s="1"/>
  <c r="S19" s="1"/>
  <c r="J19"/>
  <c r="I56" i="59"/>
  <c r="K56" s="1"/>
  <c r="M56" s="1"/>
  <c r="Q56" s="1"/>
  <c r="S56" s="1"/>
  <c r="J56"/>
  <c r="I56" i="66"/>
  <c r="K56" s="1"/>
  <c r="M56" s="1"/>
  <c r="Q56" s="1"/>
  <c r="S56" s="1"/>
  <c r="J56"/>
  <c r="I58" i="59"/>
  <c r="K58" s="1"/>
  <c r="M58" s="1"/>
  <c r="Q58" s="1"/>
  <c r="S58" s="1"/>
  <c r="J58"/>
  <c r="I58" i="66"/>
  <c r="K58" s="1"/>
  <c r="M58" s="1"/>
  <c r="Q58" s="1"/>
  <c r="S58" s="1"/>
  <c r="J58"/>
  <c r="I29" i="63"/>
  <c r="K29" s="1"/>
  <c r="M29" s="1"/>
  <c r="Q29" s="1"/>
  <c r="S29" s="1"/>
  <c r="J29"/>
  <c r="I29" i="66"/>
  <c r="K29" s="1"/>
  <c r="M29" s="1"/>
  <c r="Q29" s="1"/>
  <c r="S29" s="1"/>
  <c r="J29"/>
  <c r="I30" i="63"/>
  <c r="K30" s="1"/>
  <c r="M30" s="1"/>
  <c r="Q30" s="1"/>
  <c r="S30" s="1"/>
  <c r="J30"/>
  <c r="I30" i="59"/>
  <c r="K30" s="1"/>
  <c r="M30" s="1"/>
  <c r="Q30" s="1"/>
  <c r="S30" s="1"/>
  <c r="J30"/>
  <c r="I18" i="66"/>
  <c r="K18" s="1"/>
  <c r="M18" s="1"/>
  <c r="Q18" s="1"/>
  <c r="S18" s="1"/>
  <c r="J18"/>
  <c r="I18" i="63"/>
  <c r="K18" s="1"/>
  <c r="M18" s="1"/>
  <c r="Q18" s="1"/>
  <c r="S18" s="1"/>
  <c r="J18"/>
  <c r="I11" i="66"/>
  <c r="K11" s="1"/>
  <c r="M11" s="1"/>
  <c r="Q11" s="1"/>
  <c r="S11" s="1"/>
  <c r="J11"/>
  <c r="I11" i="63"/>
  <c r="K11" s="1"/>
  <c r="M11" s="1"/>
  <c r="Q11" s="1"/>
  <c r="S11" s="1"/>
  <c r="J11"/>
  <c r="I14" i="66"/>
  <c r="K14" s="1"/>
  <c r="M14" s="1"/>
  <c r="Q14" s="1"/>
  <c r="S14" s="1"/>
  <c r="J14"/>
  <c r="I14" i="63"/>
  <c r="K14" s="1"/>
  <c r="M14" s="1"/>
  <c r="Q14" s="1"/>
  <c r="S14" s="1"/>
  <c r="J14"/>
  <c r="I57"/>
  <c r="K57" s="1"/>
  <c r="M57" s="1"/>
  <c r="Q57" s="1"/>
  <c r="S57" s="1"/>
  <c r="J57"/>
  <c r="I56" i="53"/>
  <c r="K56" s="1"/>
  <c r="M56" s="1"/>
  <c r="Q56" s="1"/>
  <c r="S56" s="1"/>
  <c r="J56"/>
  <c r="I54"/>
  <c r="K54" s="1"/>
  <c r="M54" s="1"/>
  <c r="Q54" s="1"/>
  <c r="S54" s="1"/>
  <c r="J54"/>
  <c r="I55" i="66"/>
  <c r="K55" s="1"/>
  <c r="M55" s="1"/>
  <c r="Q55" s="1"/>
  <c r="S55" s="1"/>
  <c r="J55"/>
  <c r="I21"/>
  <c r="K21" s="1"/>
  <c r="M21" s="1"/>
  <c r="Q21" s="1"/>
  <c r="S21" s="1"/>
  <c r="J21"/>
  <c r="I21" i="63"/>
  <c r="K21" s="1"/>
  <c r="M21" s="1"/>
  <c r="Q21" s="1"/>
  <c r="S21" s="1"/>
  <c r="J21"/>
  <c r="I15" i="66"/>
  <c r="K15" s="1"/>
  <c r="M15" s="1"/>
  <c r="Q15" s="1"/>
  <c r="S15" s="1"/>
  <c r="J15"/>
  <c r="I15" i="63"/>
  <c r="K15" s="1"/>
  <c r="M15" s="1"/>
  <c r="Q15" s="1"/>
  <c r="S15" s="1"/>
  <c r="J15"/>
  <c r="I13" i="66"/>
  <c r="K13" s="1"/>
  <c r="M13" s="1"/>
  <c r="Q13" s="1"/>
  <c r="S13" s="1"/>
  <c r="J13"/>
  <c r="I13" i="63"/>
  <c r="K13" s="1"/>
  <c r="M13" s="1"/>
  <c r="Q13" s="1"/>
  <c r="S13" s="1"/>
  <c r="J13"/>
  <c r="I10" i="66"/>
  <c r="J10"/>
  <c r="I10" i="63"/>
  <c r="J10"/>
  <c r="I20" i="66"/>
  <c r="K20" s="1"/>
  <c r="M20" s="1"/>
  <c r="Q20" s="1"/>
  <c r="S20" s="1"/>
  <c r="J20"/>
  <c r="I20" i="63"/>
  <c r="K20" s="1"/>
  <c r="M20" s="1"/>
  <c r="Q20" s="1"/>
  <c r="S20" s="1"/>
  <c r="J20"/>
  <c r="I28"/>
  <c r="K28" s="1"/>
  <c r="M28" s="1"/>
  <c r="Q28" s="1"/>
  <c r="S28" s="1"/>
  <c r="J28"/>
  <c r="I28" i="59"/>
  <c r="K28" s="1"/>
  <c r="M28" s="1"/>
  <c r="Q28" s="1"/>
  <c r="S28" s="1"/>
  <c r="J28"/>
  <c r="I53" i="66"/>
  <c r="K53" s="1"/>
  <c r="M53" s="1"/>
  <c r="Q53" s="1"/>
  <c r="S53" s="1"/>
  <c r="J53"/>
  <c r="I53" i="63"/>
  <c r="K53" s="1"/>
  <c r="M53" s="1"/>
  <c r="Q53" s="1"/>
  <c r="S53" s="1"/>
  <c r="J53"/>
  <c r="I17" i="59"/>
  <c r="K17" s="1"/>
  <c r="M17" s="1"/>
  <c r="Q17" s="1"/>
  <c r="S17" s="1"/>
  <c r="J17"/>
  <c r="I17" i="53"/>
  <c r="K17" s="1"/>
  <c r="M17" s="1"/>
  <c r="Q17" s="1"/>
  <c r="S17" s="1"/>
  <c r="J17"/>
  <c r="H61" i="66"/>
  <c r="I52"/>
  <c r="J52"/>
  <c r="J61" s="1"/>
  <c r="I52" i="63"/>
  <c r="H61"/>
  <c r="J52"/>
  <c r="I16" i="53"/>
  <c r="K16" s="1"/>
  <c r="M16" s="1"/>
  <c r="Q16" s="1"/>
  <c r="S16" s="1"/>
  <c r="J16"/>
  <c r="I16" i="59"/>
  <c r="K16" s="1"/>
  <c r="M16" s="1"/>
  <c r="Q16" s="1"/>
  <c r="S16" s="1"/>
  <c r="J16"/>
  <c r="I54"/>
  <c r="K54" s="1"/>
  <c r="M54" s="1"/>
  <c r="Q54" s="1"/>
  <c r="S54" s="1"/>
  <c r="J54"/>
  <c r="I53" i="53"/>
  <c r="K53" s="1"/>
  <c r="M53" s="1"/>
  <c r="Q53" s="1"/>
  <c r="S53" s="1"/>
  <c r="J53"/>
  <c r="I27" i="63"/>
  <c r="K27" s="1"/>
  <c r="M27" s="1"/>
  <c r="Q27" s="1"/>
  <c r="S27" s="1"/>
  <c r="J27"/>
  <c r="I26" i="53"/>
  <c r="K26" s="1"/>
  <c r="M26" s="1"/>
  <c r="Q26" s="1"/>
  <c r="S26" s="1"/>
  <c r="J26"/>
  <c r="I19"/>
  <c r="K19" s="1"/>
  <c r="M19" s="1"/>
  <c r="Q19" s="1"/>
  <c r="S19" s="1"/>
  <c r="J19"/>
  <c r="I19" i="59"/>
  <c r="K19" s="1"/>
  <c r="M19" s="1"/>
  <c r="Q19" s="1"/>
  <c r="S19" s="1"/>
  <c r="J19"/>
  <c r="I56" i="63"/>
  <c r="K56" s="1"/>
  <c r="M56" s="1"/>
  <c r="Q56" s="1"/>
  <c r="S56" s="1"/>
  <c r="J56"/>
  <c r="I55" i="53"/>
  <c r="K55" s="1"/>
  <c r="M55" s="1"/>
  <c r="Q55" s="1"/>
  <c r="S55" s="1"/>
  <c r="J55"/>
  <c r="I58" i="63"/>
  <c r="K58" s="1"/>
  <c r="M58" s="1"/>
  <c r="Q58" s="1"/>
  <c r="S58" s="1"/>
  <c r="J58"/>
  <c r="I57" i="53"/>
  <c r="K57" s="1"/>
  <c r="M57" s="1"/>
  <c r="Q57" s="1"/>
  <c r="S57" s="1"/>
  <c r="J57"/>
  <c r="I29" i="59"/>
  <c r="K29" s="1"/>
  <c r="M29" s="1"/>
  <c r="Q29" s="1"/>
  <c r="S29" s="1"/>
  <c r="J29"/>
  <c r="I28" i="53"/>
  <c r="K28" s="1"/>
  <c r="M28" s="1"/>
  <c r="Q28" s="1"/>
  <c r="S28" s="1"/>
  <c r="J28"/>
  <c r="I29"/>
  <c r="K29" s="1"/>
  <c r="M29" s="1"/>
  <c r="Q29" s="1"/>
  <c r="S29" s="1"/>
  <c r="J29"/>
  <c r="I30" i="66"/>
  <c r="K30" s="1"/>
  <c r="M30" s="1"/>
  <c r="Q30" s="1"/>
  <c r="S30" s="1"/>
  <c r="J30"/>
  <c r="I18" i="59"/>
  <c r="K18" s="1"/>
  <c r="M18" s="1"/>
  <c r="Q18" s="1"/>
  <c r="S18" s="1"/>
  <c r="J18"/>
  <c r="I18" i="53"/>
  <c r="K18" s="1"/>
  <c r="M18" s="1"/>
  <c r="Q18" s="1"/>
  <c r="S18" s="1"/>
  <c r="J18"/>
  <c r="I11"/>
  <c r="K11" s="1"/>
  <c r="M11" s="1"/>
  <c r="Q11" s="1"/>
  <c r="S11" s="1"/>
  <c r="J11"/>
  <c r="I11" i="59"/>
  <c r="K11" s="1"/>
  <c r="M11" s="1"/>
  <c r="Q11" s="1"/>
  <c r="S11" s="1"/>
  <c r="J11"/>
  <c r="I14"/>
  <c r="K14" s="1"/>
  <c r="M14" s="1"/>
  <c r="Q14" s="1"/>
  <c r="S14" s="1"/>
  <c r="J14"/>
  <c r="I14" i="53"/>
  <c r="K14" s="1"/>
  <c r="M14" s="1"/>
  <c r="Q14" s="1"/>
  <c r="S14" s="1"/>
  <c r="J14"/>
  <c r="I57" i="66"/>
  <c r="K57" s="1"/>
  <c r="M57" s="1"/>
  <c r="Q57" s="1"/>
  <c r="S57" s="1"/>
  <c r="J57"/>
  <c r="I57" i="59"/>
  <c r="K57" s="1"/>
  <c r="M57" s="1"/>
  <c r="Q57" s="1"/>
  <c r="S57" s="1"/>
  <c r="J57"/>
  <c r="I55" i="63"/>
  <c r="K55" s="1"/>
  <c r="M55" s="1"/>
  <c r="Q55" s="1"/>
  <c r="S55" s="1"/>
  <c r="J55"/>
  <c r="I55" i="59"/>
  <c r="K55" s="1"/>
  <c r="M55" s="1"/>
  <c r="Q55" s="1"/>
  <c r="S55" s="1"/>
  <c r="J55"/>
  <c r="I21"/>
  <c r="K21" s="1"/>
  <c r="M21" s="1"/>
  <c r="Q21" s="1"/>
  <c r="S21" s="1"/>
  <c r="J21"/>
  <c r="I21" i="53"/>
  <c r="K21" s="1"/>
  <c r="M21" s="1"/>
  <c r="Q21" s="1"/>
  <c r="S21" s="1"/>
  <c r="J21"/>
  <c r="I15"/>
  <c r="K15" s="1"/>
  <c r="M15" s="1"/>
  <c r="Q15" s="1"/>
  <c r="S15" s="1"/>
  <c r="J15"/>
  <c r="I15" i="59"/>
  <c r="K15" s="1"/>
  <c r="M15" s="1"/>
  <c r="Q15" s="1"/>
  <c r="S15" s="1"/>
  <c r="J15"/>
  <c r="I13"/>
  <c r="K13" s="1"/>
  <c r="M13" s="1"/>
  <c r="Q13" s="1"/>
  <c r="S13" s="1"/>
  <c r="J13"/>
  <c r="I13" i="53"/>
  <c r="K13" s="1"/>
  <c r="M13" s="1"/>
  <c r="Q13" s="1"/>
  <c r="S13" s="1"/>
  <c r="J13"/>
  <c r="I10" i="59"/>
  <c r="J10"/>
  <c r="I10" i="53"/>
  <c r="J10"/>
  <c r="I56" i="51"/>
  <c r="K56" s="1"/>
  <c r="M56" s="1"/>
  <c r="Q56" s="1"/>
  <c r="S56" s="1"/>
  <c r="J56"/>
  <c r="J54"/>
  <c r="I54"/>
  <c r="K54" s="1"/>
  <c r="M54" s="1"/>
  <c r="Q54" s="1"/>
  <c r="S54" s="1"/>
  <c r="J52"/>
  <c r="I52"/>
  <c r="K52" s="1"/>
  <c r="M52" s="1"/>
  <c r="Q52" s="1"/>
  <c r="S52" s="1"/>
  <c r="J51"/>
  <c r="I51"/>
  <c r="K51" s="1"/>
  <c r="M51" s="1"/>
  <c r="Q51" s="1"/>
  <c r="S51" s="1"/>
  <c r="I53"/>
  <c r="K53" s="1"/>
  <c r="M53" s="1"/>
  <c r="Q53" s="1"/>
  <c r="S53" s="1"/>
  <c r="J53"/>
  <c r="J55"/>
  <c r="I55"/>
  <c r="K55" s="1"/>
  <c r="M55" s="1"/>
  <c r="Q55" s="1"/>
  <c r="S55" s="1"/>
  <c r="I28"/>
  <c r="K10"/>
  <c r="L57" i="18"/>
  <c r="J57"/>
  <c r="G57"/>
  <c r="K57" s="1"/>
  <c r="M57" s="1"/>
  <c r="Q57" s="1"/>
  <c r="S57" s="1"/>
  <c r="G21"/>
  <c r="K21" s="1"/>
  <c r="L21"/>
  <c r="J21"/>
  <c r="I50" i="51"/>
  <c r="K50" s="1"/>
  <c r="M50" s="1"/>
  <c r="Q50" s="1"/>
  <c r="S50" s="1"/>
  <c r="J50"/>
  <c r="H57"/>
  <c r="I49"/>
  <c r="J49"/>
  <c r="A20" i="15"/>
  <c r="I31" i="63" l="1"/>
  <c r="K10"/>
  <c r="I31" i="66"/>
  <c r="K10"/>
  <c r="J61" i="59"/>
  <c r="I30" i="53"/>
  <c r="K10"/>
  <c r="I31" i="59"/>
  <c r="K10"/>
  <c r="I61" i="63"/>
  <c r="K52"/>
  <c r="I61" i="66"/>
  <c r="K52"/>
  <c r="K51" i="53"/>
  <c r="I60"/>
  <c r="I61" i="59"/>
  <c r="K52"/>
  <c r="J61" i="63"/>
  <c r="J60" i="53"/>
  <c r="J57" i="51"/>
  <c r="M21" i="18"/>
  <c r="Q21" s="1"/>
  <c r="S21" s="1"/>
  <c r="I57" i="51"/>
  <c r="K49"/>
  <c r="K28"/>
  <c r="M10"/>
  <c r="G57" i="15"/>
  <c r="E10" i="18"/>
  <c r="R56"/>
  <c r="N56"/>
  <c r="D56"/>
  <c r="C56"/>
  <c r="R55"/>
  <c r="N55"/>
  <c r="D55"/>
  <c r="C55"/>
  <c r="R54"/>
  <c r="P54"/>
  <c r="D54"/>
  <c r="C54"/>
  <c r="R53"/>
  <c r="O53"/>
  <c r="D53"/>
  <c r="C53"/>
  <c r="R52"/>
  <c r="N52"/>
  <c r="D52"/>
  <c r="C52"/>
  <c r="R51"/>
  <c r="N51"/>
  <c r="D51"/>
  <c r="C51"/>
  <c r="R50"/>
  <c r="O50"/>
  <c r="D50"/>
  <c r="C50"/>
  <c r="A44"/>
  <c r="A43"/>
  <c r="R28"/>
  <c r="E28"/>
  <c r="O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3"/>
  <c r="E23"/>
  <c r="N23" s="1"/>
  <c r="D23"/>
  <c r="C23"/>
  <c r="R22"/>
  <c r="E22"/>
  <c r="P22" s="1"/>
  <c r="D22"/>
  <c r="C22"/>
  <c r="R20"/>
  <c r="E20"/>
  <c r="O20" s="1"/>
  <c r="D20"/>
  <c r="C20"/>
  <c r="R19"/>
  <c r="E19"/>
  <c r="N19" s="1"/>
  <c r="D19"/>
  <c r="C19"/>
  <c r="R18"/>
  <c r="P18"/>
  <c r="D18"/>
  <c r="C18"/>
  <c r="R17"/>
  <c r="E17"/>
  <c r="O17" s="1"/>
  <c r="D17"/>
  <c r="C17"/>
  <c r="R16"/>
  <c r="E16"/>
  <c r="P16" s="1"/>
  <c r="D16"/>
  <c r="C16"/>
  <c r="R15"/>
  <c r="E15"/>
  <c r="P15" s="1"/>
  <c r="D15"/>
  <c r="C15"/>
  <c r="R14"/>
  <c r="E14"/>
  <c r="O14" s="1"/>
  <c r="D14"/>
  <c r="C14"/>
  <c r="R13"/>
  <c r="E13"/>
  <c r="N13" s="1"/>
  <c r="D13"/>
  <c r="C13"/>
  <c r="R11"/>
  <c r="E11"/>
  <c r="P11" s="1"/>
  <c r="D11"/>
  <c r="C11"/>
  <c r="R10"/>
  <c r="D10"/>
  <c r="C10"/>
  <c r="E4"/>
  <c r="S31" s="1"/>
  <c r="S60" s="1"/>
  <c r="A3"/>
  <c r="A2"/>
  <c r="M52" i="59" l="1"/>
  <c r="K61"/>
  <c r="K61" i="66"/>
  <c r="M52"/>
  <c r="K61" i="63"/>
  <c r="M52"/>
  <c r="K31" i="59"/>
  <c r="M10"/>
  <c r="K30" i="53"/>
  <c r="M10"/>
  <c r="K60"/>
  <c r="M51"/>
  <c r="K31" i="66"/>
  <c r="M10"/>
  <c r="M10" i="63"/>
  <c r="K31"/>
  <c r="M28" i="51"/>
  <c r="Q10"/>
  <c r="K57"/>
  <c r="M49"/>
  <c r="E29" i="18"/>
  <c r="E60" s="1"/>
  <c r="N10"/>
  <c r="P10"/>
  <c r="P52"/>
  <c r="N27"/>
  <c r="P25"/>
  <c r="N54"/>
  <c r="O23"/>
  <c r="P56"/>
  <c r="O51"/>
  <c r="O55"/>
  <c r="O10"/>
  <c r="N28"/>
  <c r="O27"/>
  <c r="N26"/>
  <c r="P23"/>
  <c r="O22"/>
  <c r="N20"/>
  <c r="O18"/>
  <c r="N17"/>
  <c r="O16"/>
  <c r="O15"/>
  <c r="N14"/>
  <c r="O11"/>
  <c r="P50"/>
  <c r="P55"/>
  <c r="O54"/>
  <c r="N53"/>
  <c r="P51"/>
  <c r="N22"/>
  <c r="P19"/>
  <c r="N18"/>
  <c r="N16"/>
  <c r="N15"/>
  <c r="P13"/>
  <c r="N11"/>
  <c r="P28"/>
  <c r="P26"/>
  <c r="O25"/>
  <c r="P20"/>
  <c r="O19"/>
  <c r="P17"/>
  <c r="P14"/>
  <c r="O13"/>
  <c r="N50"/>
  <c r="O56"/>
  <c r="P53"/>
  <c r="O52"/>
  <c r="R29"/>
  <c r="R58"/>
  <c r="D1"/>
  <c r="D42" s="1"/>
  <c r="Q10" i="63" l="1"/>
  <c r="M31"/>
  <c r="M61" i="59"/>
  <c r="Q52"/>
  <c r="Q10" i="66"/>
  <c r="M31"/>
  <c r="Q51" i="53"/>
  <c r="M60"/>
  <c r="Q10"/>
  <c r="M30"/>
  <c r="M31" i="59"/>
  <c r="Q10"/>
  <c r="Q52" i="63"/>
  <c r="M61"/>
  <c r="Q52" i="66"/>
  <c r="M61"/>
  <c r="M57" i="51"/>
  <c r="Q49"/>
  <c r="Q28"/>
  <c r="S10"/>
  <c r="S28" s="1"/>
  <c r="O58" i="18"/>
  <c r="P58"/>
  <c r="O29"/>
  <c r="N29"/>
  <c r="N58"/>
  <c r="P29"/>
  <c r="S52" i="66" l="1"/>
  <c r="S61" s="1"/>
  <c r="Q61"/>
  <c r="S52" i="63"/>
  <c r="S61" s="1"/>
  <c r="Q61"/>
  <c r="S10" i="53"/>
  <c r="S30" s="1"/>
  <c r="Q30"/>
  <c r="S51"/>
  <c r="S60" s="1"/>
  <c r="Q60"/>
  <c r="S10" i="66"/>
  <c r="S31" s="1"/>
  <c r="Q31"/>
  <c r="S10" i="63"/>
  <c r="S31" s="1"/>
  <c r="Q31"/>
  <c r="Q31" i="59"/>
  <c r="S10"/>
  <c r="S31" s="1"/>
  <c r="S52"/>
  <c r="S61" s="1"/>
  <c r="Q61"/>
  <c r="Q57" i="51"/>
  <c r="S49"/>
  <c r="S57" s="1"/>
  <c r="N103" i="15"/>
  <c r="O131" s="1"/>
  <c r="N104"/>
  <c r="O133" s="1"/>
  <c r="N105"/>
  <c r="O135" s="1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75"/>
  <c r="K58" a="1"/>
  <c r="K58" s="1"/>
  <c r="A18"/>
  <c r="A19"/>
  <c r="O77" l="1"/>
  <c r="O79"/>
  <c r="O81"/>
  <c r="O83"/>
  <c r="O85"/>
  <c r="O87"/>
  <c r="O89"/>
  <c r="O91"/>
  <c r="O93"/>
  <c r="O95"/>
  <c r="O97"/>
  <c r="O99"/>
  <c r="O101"/>
  <c r="O103"/>
  <c r="O105"/>
  <c r="O107"/>
  <c r="O109"/>
  <c r="O111"/>
  <c r="O113"/>
  <c r="O115"/>
  <c r="O117"/>
  <c r="O119"/>
  <c r="O121"/>
  <c r="O123"/>
  <c r="O125"/>
  <c r="O127"/>
  <c r="O129"/>
  <c r="O75"/>
  <c r="A48"/>
  <c r="A49"/>
  <c r="A50"/>
  <c r="A51"/>
  <c r="A41"/>
  <c r="F57" l="1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V58" l="1" a="1"/>
  <c r="V58" s="1"/>
  <c r="H57"/>
  <c r="I57"/>
  <c r="A6"/>
  <c r="F27" i="18" l="1"/>
  <c r="H27"/>
  <c r="I27" s="1"/>
  <c r="F15"/>
  <c r="H15"/>
  <c r="I15" s="1"/>
  <c r="F20"/>
  <c r="H20"/>
  <c r="I20" s="1"/>
  <c r="F18"/>
  <c r="H18"/>
  <c r="I18" s="1"/>
  <c r="F13"/>
  <c r="H13"/>
  <c r="I13" s="1"/>
  <c r="F26"/>
  <c r="H26"/>
  <c r="I26" s="1"/>
  <c r="F25"/>
  <c r="H25"/>
  <c r="I25" s="1"/>
  <c r="F19"/>
  <c r="H19"/>
  <c r="I19" s="1"/>
  <c r="I56"/>
  <c r="F28"/>
  <c r="H28"/>
  <c r="I28" s="1"/>
  <c r="F10"/>
  <c r="H10"/>
  <c r="I10" s="1"/>
  <c r="F22"/>
  <c r="H22"/>
  <c r="I22" s="1"/>
  <c r="F16"/>
  <c r="H16"/>
  <c r="I16" s="1"/>
  <c r="I54"/>
  <c r="F11"/>
  <c r="H11"/>
  <c r="I11" s="1"/>
  <c r="I53"/>
  <c r="F23"/>
  <c r="H23"/>
  <c r="I23" s="1"/>
  <c r="I52"/>
  <c r="I51"/>
  <c r="F17"/>
  <c r="H17"/>
  <c r="I17" s="1"/>
  <c r="F14"/>
  <c r="H14"/>
  <c r="I14" s="1"/>
  <c r="I55"/>
  <c r="H58" l="1"/>
  <c r="I50"/>
  <c r="I58" s="1"/>
  <c r="I29"/>
  <c r="J23"/>
  <c r="L23"/>
  <c r="G23"/>
  <c r="K23" s="1"/>
  <c r="J11"/>
  <c r="L11"/>
  <c r="G11"/>
  <c r="K11" s="1"/>
  <c r="J19"/>
  <c r="L19"/>
  <c r="G19"/>
  <c r="K19" s="1"/>
  <c r="L13"/>
  <c r="G13"/>
  <c r="K13" s="1"/>
  <c r="J13"/>
  <c r="J18"/>
  <c r="L18"/>
  <c r="G18"/>
  <c r="K18" s="1"/>
  <c r="J15"/>
  <c r="L15"/>
  <c r="G15"/>
  <c r="K15" s="1"/>
  <c r="L17"/>
  <c r="G17"/>
  <c r="K17" s="1"/>
  <c r="J17"/>
  <c r="L50"/>
  <c r="G50"/>
  <c r="J50"/>
  <c r="J16"/>
  <c r="L16"/>
  <c r="G16"/>
  <c r="K16" s="1"/>
  <c r="L10"/>
  <c r="G10"/>
  <c r="J10"/>
  <c r="J25"/>
  <c r="L25"/>
  <c r="G25"/>
  <c r="K25" s="1"/>
  <c r="J55"/>
  <c r="L55"/>
  <c r="G55"/>
  <c r="K55" s="1"/>
  <c r="L14"/>
  <c r="G14"/>
  <c r="K14" s="1"/>
  <c r="J14"/>
  <c r="J51"/>
  <c r="L51"/>
  <c r="G51"/>
  <c r="K51" s="1"/>
  <c r="L53"/>
  <c r="G53"/>
  <c r="K53" s="1"/>
  <c r="J53"/>
  <c r="L28"/>
  <c r="G28"/>
  <c r="K28" s="1"/>
  <c r="J28"/>
  <c r="J56"/>
  <c r="L56"/>
  <c r="G56"/>
  <c r="K56" s="1"/>
  <c r="L26"/>
  <c r="G26"/>
  <c r="K26" s="1"/>
  <c r="J26"/>
  <c r="L20"/>
  <c r="G20"/>
  <c r="K20" s="1"/>
  <c r="J20"/>
  <c r="L27"/>
  <c r="J27"/>
  <c r="G27"/>
  <c r="K27" s="1"/>
  <c r="J52"/>
  <c r="L52"/>
  <c r="G52"/>
  <c r="K52" s="1"/>
  <c r="L54"/>
  <c r="G54"/>
  <c r="K54" s="1"/>
  <c r="J54"/>
  <c r="L22"/>
  <c r="J22"/>
  <c r="G22"/>
  <c r="K22" s="1"/>
  <c r="M52" l="1"/>
  <c r="Q52" s="1"/>
  <c r="S52" s="1"/>
  <c r="M22"/>
  <c r="Q22" s="1"/>
  <c r="S22" s="1"/>
  <c r="M16"/>
  <c r="Q16" s="1"/>
  <c r="S16" s="1"/>
  <c r="M27"/>
  <c r="Q27" s="1"/>
  <c r="S27" s="1"/>
  <c r="M20"/>
  <c r="Q20" s="1"/>
  <c r="S20" s="1"/>
  <c r="M25"/>
  <c r="Q25" s="1"/>
  <c r="S25" s="1"/>
  <c r="G29"/>
  <c r="K10"/>
  <c r="K29" s="1"/>
  <c r="G58"/>
  <c r="K50"/>
  <c r="M18"/>
  <c r="Q18" s="1"/>
  <c r="S18" s="1"/>
  <c r="M11"/>
  <c r="Q11" s="1"/>
  <c r="S11" s="1"/>
  <c r="M54"/>
  <c r="Q54" s="1"/>
  <c r="S54" s="1"/>
  <c r="M26"/>
  <c r="Q26" s="1"/>
  <c r="S26" s="1"/>
  <c r="M53"/>
  <c r="Q53" s="1"/>
  <c r="S53" s="1"/>
  <c r="M55"/>
  <c r="Q55" s="1"/>
  <c r="S55" s="1"/>
  <c r="L29"/>
  <c r="L58"/>
  <c r="M15"/>
  <c r="Q15" s="1"/>
  <c r="S15" s="1"/>
  <c r="M56"/>
  <c r="Q56" s="1"/>
  <c r="S56" s="1"/>
  <c r="M28"/>
  <c r="Q28" s="1"/>
  <c r="S28" s="1"/>
  <c r="M51"/>
  <c r="Q51" s="1"/>
  <c r="S51" s="1"/>
  <c r="M14"/>
  <c r="Q14" s="1"/>
  <c r="S14" s="1"/>
  <c r="J58"/>
  <c r="M17"/>
  <c r="Q17" s="1"/>
  <c r="S17" s="1"/>
  <c r="M13"/>
  <c r="Q13" s="1"/>
  <c r="S13" s="1"/>
  <c r="M19"/>
  <c r="Q19" s="1"/>
  <c r="S19" s="1"/>
  <c r="M23"/>
  <c r="Q23" s="1"/>
  <c r="S23" s="1"/>
  <c r="M10" l="1"/>
  <c r="K58"/>
  <c r="M50"/>
  <c r="M58" l="1"/>
  <c r="Q50"/>
  <c r="M29"/>
  <c r="Q10"/>
  <c r="Q29" l="1"/>
  <c r="S10"/>
  <c r="S29" s="1"/>
  <c r="S50"/>
  <c r="S58" s="1"/>
  <c r="Q58"/>
</calcChain>
</file>

<file path=xl/sharedStrings.xml><?xml version="1.0" encoding="utf-8"?>
<sst xmlns="http://schemas.openxmlformats.org/spreadsheetml/2006/main" count="1899" uniqueCount="218">
  <si>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</si>
  <si>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</si>
  <si>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</si>
  <si>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</si>
  <si>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</si>
  <si>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</si>
  <si>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</si>
  <si>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</si>
  <si>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</si>
  <si>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</si>
  <si>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</si>
  <si>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</si>
  <si>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</si>
  <si>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</si>
  <si>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</si>
  <si>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</si>
  <si>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</si>
  <si>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</si>
  <si>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</si>
  <si>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</si>
  <si>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</si>
  <si>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</si>
  <si>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</si>
  <si>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</si>
  <si>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</si>
  <si>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</si>
  <si>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</si>
  <si>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</si>
  <si>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</si>
  <si>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</si>
  <si>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</si>
  <si>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</si>
  <si>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</si>
  <si>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</si>
  <si>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</si>
  <si>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</si>
  <si>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</si>
  <si>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</si>
  <si>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</si>
  <si>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</si>
  <si>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</si>
  <si>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</si>
  <si>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</si>
  <si>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</si>
  <si>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</si>
  <si>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</si>
  <si>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</si>
  <si>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</si>
  <si>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</si>
  <si>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</si>
  <si>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</si>
  <si>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</si>
  <si>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</si>
  <si>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</si>
  <si>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</si>
  <si>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</si>
  <si>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</si>
  <si>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</si>
  <si>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</si>
  <si>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</si>
  <si>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</si>
  <si>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</si>
  <si>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</si>
  <si>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</si>
  <si>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</si>
  <si>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</si>
  <si>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</si>
  <si>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</si>
  <si>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</si>
  <si>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</si>
  <si>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</si>
  <si>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</si>
  <si>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</si>
  <si>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</si>
  <si>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</si>
  <si>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</si>
  <si>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</si>
  <si>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</si>
  <si>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</si>
  <si>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</si>
  <si>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</si>
  <si>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</si>
  <si>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</si>
  <si>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</si>
  <si>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</si>
  <si>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</si>
  <si>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</si>
  <si>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</si>
  <si>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</si>
  <si>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</si>
  <si>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</si>
  <si>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</si>
  <si>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</si>
  <si>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</si>
  <si>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</si>
  <si>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</si>
  <si>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</si>
  <si>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</si>
  <si>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</si>
  <si>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</si>
  <si>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</si>
  <si>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</si>
  <si>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</si>
  <si>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</si>
  <si>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</si>
  <si>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</si>
  <si>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</si>
  <si>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</si>
  <si>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</si>
  <si>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</si>
  <si>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</si>
  <si>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</si>
  <si>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</si>
  <si>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</si>
  <si>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</si>
  <si>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</si>
  <si>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</si>
  <si>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</si>
  <si>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</si>
  <si>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</si>
  <si>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</si>
  <si>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</si>
  <si>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</si>
  <si>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</si>
  <si>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</si>
  <si>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</si>
  <si>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</si>
  <si>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</si>
  <si>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</si>
  <si>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</si>
  <si>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</si>
  <si>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</si>
  <si>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</si>
  <si>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</si>
  <si>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</si>
  <si>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</si>
  <si>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</si>
  <si>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</si>
  <si>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</si>
  <si>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</si>
  <si>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</si>
  <si>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</si>
  <si>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</si>
  <si>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</si>
  <si>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</si>
  <si>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</si>
  <si>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</si>
  <si>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</si>
  <si>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</si>
  <si>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</si>
  <si>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</si>
  <si>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</si>
  <si>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</si>
  <si>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</si>
  <si>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</si>
  <si>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</si>
  <si>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</si>
  <si>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</si>
  <si>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</si>
  <si>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</si>
  <si>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</si>
  <si>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</si>
  <si>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</si>
  <si>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</si>
  <si>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</si>
  <si>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</si>
  <si>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</si>
  <si>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</si>
  <si>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</si>
  <si>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</si>
  <si>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</si>
  <si>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</si>
  <si>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</si>
  <si>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</si>
  <si>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</si>
  <si>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</si>
  <si>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</si>
  <si>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</si>
  <si>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</si>
  <si>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</si>
  <si>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</si>
  <si>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</si>
  <si>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</si>
  <si>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</si>
  <si>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</si>
  <si>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</si>
  <si>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</si>
  <si>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</si>
  <si>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</si>
  <si>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</si>
  <si>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</si>
  <si>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</si>
  <si>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</si>
  <si>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</si>
  <si>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</si>
  <si>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</si>
  <si>
    <t>2017</t>
  </si>
  <si>
    <t>TS</t>
  </si>
  <si>
    <t>nghĩ</t>
  </si>
  <si>
    <t>NGhĩ</t>
  </si>
  <si>
    <t>ts</t>
  </si>
  <si>
    <t>X</t>
  </si>
  <si>
    <t>Lập Biểu</t>
  </si>
  <si>
    <t>Hoàng Thị Ngọc</t>
  </si>
  <si>
    <t>Nguyễn Thị Ngọc Thùy</t>
  </si>
  <si>
    <t>Trà Thị Dưng</t>
  </si>
  <si>
    <t>ALTP1015</t>
  </si>
  <si>
    <t>ALVP009</t>
  </si>
  <si>
    <t>ALVP010</t>
  </si>
  <si>
    <t>Nguyễn Thị Diễm</t>
  </si>
  <si>
    <t>ALTP1016</t>
  </si>
  <si>
    <t>ALTP1017</t>
  </si>
  <si>
    <t>Võ Văn Hữu Phước</t>
  </si>
  <si>
    <t>nhận thẻ 
BHYT
 Quý II/2017</t>
  </si>
  <si>
    <t xml:space="preserve">nghĩ lun </t>
  </si>
  <si>
    <t>Ts</t>
  </si>
  <si>
    <t xml:space="preserve">nghĩ k lương </t>
  </si>
  <si>
    <t xml:space="preserve">TS 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</si>
</sst>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9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u val="singleAccounting"/>
      <sz val="10"/>
      <color rgb="FF0000FF"/>
      <name val="Times New Roman"/>
      <family val="1"/>
    </font>
    <font>
      <b/>
      <sz val="10"/>
      <color theme="1"/>
      <name val="Times New Roman"/>
      <family val="1"/>
    </font>
    <font>
      <sz val="8"/>
      <color rgb="FF0070C0"/>
      <name val="Times New Roman"/>
      <family val="1"/>
    </font>
    <font>
      <b/>
      <sz val="9"/>
      <color rgb="FF0070C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567">
    <xf numFmtId="0" fontId="0" fillId="0" borderId="0" xfId="0"/>
    <xf numFmtId="0" fontId="96" fillId="0" borderId="0" xfId="0" applyFont="1"/>
    <xf numFmtId="0" fontId="30" fillId="0" borderId="0" xfId="0" applyFont="1"/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0" fontId="115" fillId="0" borderId="0" xfId="0" applyFont="1"/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03" fillId="0" borderId="0" xfId="419" applyFont="1" applyBorder="1" applyAlignment="1">
      <alignment vertical="center"/>
    </xf>
    <xf numFmtId="0" fontId="103" fillId="0" borderId="0" xfId="419" applyFont="1" applyBorder="1" applyAlignment="1">
      <alignment horizontal="center" vertical="center"/>
    </xf>
    <xf numFmtId="0" fontId="104" fillId="0" borderId="0" xfId="419" applyNumberFormat="1" applyFont="1" applyBorder="1" applyAlignment="1">
      <alignment horizontal="center" vertical="center" wrapText="1"/>
    </xf>
    <xf numFmtId="0" fontId="104" fillId="0" borderId="0" xfId="419" applyNumberFormat="1" applyFont="1" applyBorder="1" applyAlignment="1">
      <alignment horizontal="center" vertical="center"/>
    </xf>
    <xf numFmtId="0" fontId="104" fillId="0" borderId="0" xfId="419" applyNumberFormat="1" applyFont="1" applyBorder="1" applyAlignment="1">
      <alignment vertical="center" wrapText="1"/>
    </xf>
    <xf numFmtId="0" fontId="97" fillId="0" borderId="0" xfId="419" applyFont="1" applyBorder="1" applyAlignment="1">
      <alignment vertical="center"/>
    </xf>
    <xf numFmtId="0" fontId="30" fillId="0" borderId="0" xfId="419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19" applyFont="1" applyBorder="1" applyAlignment="1">
      <alignment vertical="center"/>
    </xf>
    <xf numFmtId="43" fontId="97" fillId="0" borderId="0" xfId="419" applyNumberFormat="1" applyFont="1" applyBorder="1" applyAlignment="1">
      <alignment vertical="center"/>
    </xf>
    <xf numFmtId="0" fontId="98" fillId="0" borderId="0" xfId="419" applyFont="1" applyBorder="1" applyAlignment="1">
      <alignment vertical="center"/>
    </xf>
    <xf numFmtId="0" fontId="99" fillId="0" borderId="0" xfId="419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19" applyFont="1" applyBorder="1" applyAlignment="1">
      <alignment horizontal="center" vertical="center"/>
    </xf>
    <xf numFmtId="49" fontId="110" fillId="0" borderId="26" xfId="419" applyNumberFormat="1" applyFont="1" applyBorder="1" applyAlignment="1">
      <alignment horizontal="center"/>
    </xf>
    <xf numFmtId="0" fontId="110" fillId="0" borderId="26" xfId="419" applyFont="1" applyBorder="1" applyAlignment="1">
      <alignment horizontal="center"/>
    </xf>
    <xf numFmtId="14" fontId="110" fillId="0" borderId="26" xfId="419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19" applyFont="1" applyBorder="1" applyAlignment="1">
      <alignment horizontal="center" vertical="center"/>
    </xf>
    <xf numFmtId="236" fontId="98" fillId="26" borderId="12" xfId="419" applyNumberFormat="1" applyFont="1" applyFill="1" applyBorder="1" applyAlignment="1">
      <alignment horizontal="center" vertical="center"/>
    </xf>
    <xf numFmtId="0" fontId="102" fillId="0" borderId="0" xfId="419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19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19" applyFont="1" applyFill="1" applyBorder="1" applyAlignment="1">
      <alignment horizontal="left" vertical="center"/>
    </xf>
    <xf numFmtId="0" fontId="98" fillId="0" borderId="0" xfId="419" applyFont="1" applyAlignment="1">
      <alignment horizontal="center"/>
    </xf>
    <xf numFmtId="0" fontId="98" fillId="0" borderId="0" xfId="419" applyFont="1" applyFill="1" applyAlignment="1">
      <alignment vertical="center"/>
    </xf>
    <xf numFmtId="0" fontId="98" fillId="0" borderId="0" xfId="419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19" applyFont="1" applyFill="1" applyBorder="1" applyAlignment="1">
      <alignment horizontal="center" vertical="center"/>
    </xf>
    <xf numFmtId="0" fontId="30" fillId="0" borderId="0" xfId="419" applyNumberFormat="1" applyFont="1"/>
    <xf numFmtId="0" fontId="103" fillId="0" borderId="0" xfId="419" applyFont="1" applyFill="1" applyBorder="1" applyAlignment="1">
      <alignment horizontal="center" vertical="center"/>
    </xf>
    <xf numFmtId="0" fontId="98" fillId="0" borderId="0" xfId="419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19" applyFont="1"/>
    <xf numFmtId="0" fontId="103" fillId="0" borderId="0" xfId="419" applyFont="1" applyFill="1" applyAlignment="1">
      <alignment horizontal="center" vertical="center"/>
    </xf>
    <xf numFmtId="0" fontId="103" fillId="0" borderId="0" xfId="419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19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2" fillId="0" borderId="0" xfId="419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19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19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19" applyFont="1" applyFill="1" applyAlignment="1">
      <alignment horizontal="center" vertical="center" wrapText="1"/>
    </xf>
    <xf numFmtId="0" fontId="99" fillId="26" borderId="12" xfId="419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19" applyFont="1" applyFill="1" applyAlignment="1">
      <alignment vertical="center"/>
    </xf>
    <xf numFmtId="0" fontId="99" fillId="0" borderId="0" xfId="419" applyFont="1" applyFill="1" applyAlignment="1">
      <alignment horizontal="center" vertical="center" wrapText="1"/>
    </xf>
    <xf numFmtId="0" fontId="30" fillId="0" borderId="2" xfId="419" applyFont="1" applyFill="1" applyBorder="1" applyAlignment="1">
      <alignment vertical="center" wrapText="1"/>
    </xf>
    <xf numFmtId="0" fontId="30" fillId="0" borderId="2" xfId="419" applyFont="1" applyFill="1" applyBorder="1" applyAlignment="1">
      <alignment horizontal="left" vertical="center"/>
    </xf>
    <xf numFmtId="0" fontId="30" fillId="0" borderId="2" xfId="419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19" applyFont="1" applyFill="1" applyAlignment="1">
      <alignment vertical="center" wrapText="1"/>
    </xf>
    <xf numFmtId="0" fontId="30" fillId="0" borderId="24" xfId="419" applyFont="1" applyFill="1" applyBorder="1" applyAlignment="1">
      <alignment vertical="center" wrapText="1"/>
    </xf>
    <xf numFmtId="169" fontId="100" fillId="0" borderId="12" xfId="419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19" applyFont="1" applyFill="1" applyAlignment="1">
      <alignment vertical="center" wrapText="1"/>
    </xf>
    <xf numFmtId="0" fontId="98" fillId="0" borderId="0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19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19" applyFont="1" applyFill="1" applyAlignment="1">
      <alignment vertical="center" wrapText="1"/>
    </xf>
    <xf numFmtId="0" fontId="30" fillId="0" borderId="0" xfId="419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left" vertical="center"/>
    </xf>
    <xf numFmtId="0" fontId="30" fillId="0" borderId="0" xfId="419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19" applyNumberFormat="1" applyFont="1" applyFill="1" applyBorder="1" applyAlignment="1">
      <alignment horizontal="left" vertical="center"/>
    </xf>
    <xf numFmtId="0" fontId="102" fillId="0" borderId="0" xfId="419" applyFont="1" applyFill="1" applyBorder="1" applyAlignment="1">
      <alignment vertical="center"/>
    </xf>
    <xf numFmtId="0" fontId="98" fillId="0" borderId="0" xfId="419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19" applyNumberFormat="1" applyFont="1" applyFill="1" applyAlignment="1">
      <alignment horizontal="center" vertical="center" wrapText="1"/>
    </xf>
    <xf numFmtId="0" fontId="98" fillId="0" borderId="0" xfId="419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19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0" fontId="120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19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19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14" fontId="110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14" fillId="0" borderId="26" xfId="337" applyNumberFormat="1" applyFont="1" applyBorder="1" applyAlignment="1">
      <alignment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6" fillId="30" borderId="2" xfId="337" applyNumberFormat="1" applyFont="1" applyFill="1" applyBorder="1" applyAlignment="1">
      <alignment horizontal="center" vertical="center" wrapText="1"/>
    </xf>
    <xf numFmtId="169" fontId="118" fillId="30" borderId="2" xfId="337" applyNumberFormat="1" applyFont="1" applyFill="1" applyBorder="1" applyAlignment="1">
      <alignment horizontal="center" vertical="center" wrapText="1"/>
    </xf>
    <xf numFmtId="169" fontId="116" fillId="0" borderId="30" xfId="337" applyNumberFormat="1" applyFont="1" applyBorder="1" applyAlignment="1">
      <alignment horizontal="center" vertical="center" wrapText="1"/>
    </xf>
    <xf numFmtId="169" fontId="30" fillId="0" borderId="23" xfId="341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35" xfId="337" applyNumberFormat="1" applyFont="1" applyBorder="1" applyAlignment="1">
      <alignment horizontal="center" vertical="center"/>
    </xf>
    <xf numFmtId="0" fontId="121" fillId="0" borderId="2" xfId="0" applyFont="1" applyFill="1" applyBorder="1" applyAlignment="1">
      <alignment vertical="center" wrapText="1"/>
    </xf>
    <xf numFmtId="0" fontId="121" fillId="0" borderId="2" xfId="0" applyFont="1" applyFill="1" applyBorder="1" applyAlignment="1">
      <alignment horizontal="center" vertical="center" wrapText="1"/>
    </xf>
    <xf numFmtId="0" fontId="121" fillId="0" borderId="2" xfId="0" applyFont="1" applyFill="1" applyBorder="1" applyAlignment="1">
      <alignment horizontal="left" vertical="center"/>
    </xf>
    <xf numFmtId="0" fontId="121" fillId="0" borderId="2" xfId="0" applyFont="1" applyFill="1" applyBorder="1" applyAlignment="1">
      <alignment horizontal="center" vertical="center"/>
    </xf>
    <xf numFmtId="169" fontId="121" fillId="0" borderId="2" xfId="337" applyNumberFormat="1" applyFont="1" applyFill="1" applyBorder="1" applyAlignment="1">
      <alignment horizontal="left" vertical="center"/>
    </xf>
    <xf numFmtId="168" fontId="121" fillId="0" borderId="2" xfId="337" applyNumberFormat="1" applyFont="1" applyFill="1" applyBorder="1" applyAlignment="1">
      <alignment horizontal="left" vertical="center"/>
    </xf>
    <xf numFmtId="169" fontId="121" fillId="0" borderId="2" xfId="341" applyNumberFormat="1" applyFont="1" applyFill="1" applyBorder="1" applyAlignment="1">
      <alignment horizontal="center" vertical="center" wrapText="1"/>
    </xf>
    <xf numFmtId="43" fontId="121" fillId="0" borderId="2" xfId="341" applyNumberFormat="1" applyFont="1" applyFill="1" applyBorder="1" applyAlignment="1">
      <alignment horizontal="left" vertical="center"/>
    </xf>
    <xf numFmtId="169" fontId="121" fillId="0" borderId="2" xfId="337" applyNumberFormat="1" applyFont="1" applyFill="1" applyBorder="1" applyAlignment="1">
      <alignment horizontal="center" vertical="center" wrapText="1"/>
    </xf>
    <xf numFmtId="169" fontId="121" fillId="0" borderId="2" xfId="337" quotePrefix="1" applyNumberFormat="1" applyFont="1" applyFill="1" applyBorder="1" applyAlignment="1">
      <alignment horizontal="center" vertical="center" wrapText="1"/>
    </xf>
    <xf numFmtId="169" fontId="121" fillId="26" borderId="2" xfId="337" applyNumberFormat="1" applyFont="1" applyFill="1" applyBorder="1" applyAlignment="1">
      <alignment horizontal="center" vertical="center" wrapText="1"/>
    </xf>
    <xf numFmtId="0" fontId="122" fillId="0" borderId="0" xfId="0" applyFont="1" applyFill="1" applyBorder="1" applyAlignment="1">
      <alignment horizontal="center" vertical="center"/>
    </xf>
    <xf numFmtId="169" fontId="121" fillId="0" borderId="0" xfId="337" applyNumberFormat="1" applyFont="1" applyFill="1" applyAlignment="1">
      <alignment vertical="center" wrapText="1"/>
    </xf>
    <xf numFmtId="169" fontId="122" fillId="0" borderId="0" xfId="337" applyNumberFormat="1" applyFont="1" applyFill="1" applyAlignment="1">
      <alignment horizontal="center" vertical="center" wrapText="1"/>
    </xf>
    <xf numFmtId="169" fontId="123" fillId="0" borderId="0" xfId="337" applyNumberFormat="1" applyFont="1" applyFill="1" applyAlignment="1">
      <alignment vertical="center"/>
    </xf>
    <xf numFmtId="0" fontId="123" fillId="0" borderId="0" xfId="0" applyFont="1" applyFill="1" applyAlignment="1">
      <alignment vertical="center"/>
    </xf>
    <xf numFmtId="0" fontId="121" fillId="0" borderId="0" xfId="0" applyFont="1" applyFill="1" applyAlignment="1">
      <alignment vertical="center" wrapText="1"/>
    </xf>
    <xf numFmtId="168" fontId="98" fillId="30" borderId="0" xfId="337" applyNumberFormat="1" applyFont="1" applyFill="1" applyAlignment="1">
      <alignment horizontal="center" vertical="center"/>
    </xf>
    <xf numFmtId="168" fontId="98" fillId="30" borderId="0" xfId="337" applyNumberFormat="1" applyFont="1" applyFill="1" applyBorder="1" applyAlignment="1">
      <alignment horizontal="center" vertical="center"/>
    </xf>
    <xf numFmtId="169" fontId="125" fillId="30" borderId="2" xfId="337" applyNumberFormat="1" applyFont="1" applyFill="1" applyBorder="1" applyAlignment="1">
      <alignment horizontal="center" vertical="center" wrapText="1"/>
    </xf>
    <xf numFmtId="169" fontId="120" fillId="30" borderId="2" xfId="337" applyNumberFormat="1" applyFont="1" applyFill="1" applyBorder="1" applyAlignment="1">
      <alignment horizontal="center" vertical="center" wrapText="1"/>
    </xf>
    <xf numFmtId="169" fontId="124" fillId="30" borderId="2" xfId="337" applyNumberFormat="1" applyFont="1" applyFill="1" applyBorder="1" applyAlignment="1">
      <alignment horizontal="center" vertical="center" wrapText="1"/>
    </xf>
    <xf numFmtId="169" fontId="30" fillId="30" borderId="2" xfId="337" applyNumberFormat="1" applyFont="1" applyFill="1" applyBorder="1" applyAlignment="1">
      <alignment horizontal="center" vertical="center" wrapText="1"/>
    </xf>
    <xf numFmtId="0" fontId="77" fillId="0" borderId="12" xfId="0" applyFont="1" applyFill="1" applyBorder="1" applyAlignment="1">
      <alignment horizontal="left" vertical="center"/>
    </xf>
    <xf numFmtId="14" fontId="110" fillId="30" borderId="26" xfId="0" applyNumberFormat="1" applyFont="1" applyFill="1" applyBorder="1" applyAlignment="1"/>
    <xf numFmtId="0" fontId="98" fillId="30" borderId="29" xfId="421" applyFont="1" applyFill="1" applyBorder="1" applyAlignment="1">
      <alignment horizontal="center" vertical="center"/>
    </xf>
    <xf numFmtId="168" fontId="99" fillId="30" borderId="29" xfId="341" applyNumberFormat="1" applyFont="1" applyFill="1" applyBorder="1" applyAlignment="1">
      <alignment horizontal="center" vertical="center"/>
    </xf>
    <xf numFmtId="169" fontId="30" fillId="30" borderId="23" xfId="341" applyNumberFormat="1" applyFont="1" applyFill="1" applyBorder="1" applyAlignment="1">
      <alignment horizontal="center" vertical="center"/>
    </xf>
    <xf numFmtId="0" fontId="100" fillId="30" borderId="6" xfId="419" applyFont="1" applyFill="1" applyBorder="1" applyAlignment="1">
      <alignment horizontal="center" vertical="center"/>
    </xf>
    <xf numFmtId="0" fontId="102" fillId="30" borderId="0" xfId="419" applyFont="1" applyFill="1"/>
    <xf numFmtId="0" fontId="30" fillId="30" borderId="0" xfId="419" applyFont="1" applyFill="1"/>
    <xf numFmtId="0" fontId="98" fillId="30" borderId="24" xfId="421" applyFont="1" applyFill="1" applyBorder="1" applyAlignment="1">
      <alignment horizontal="center" vertical="center"/>
    </xf>
    <xf numFmtId="168" fontId="99" fillId="30" borderId="24" xfId="341" applyNumberFormat="1" applyFont="1" applyFill="1" applyBorder="1" applyAlignment="1">
      <alignment horizontal="center" vertical="center"/>
    </xf>
    <xf numFmtId="0" fontId="100" fillId="30" borderId="6" xfId="0" applyFont="1" applyFill="1" applyBorder="1" applyAlignment="1">
      <alignment horizontal="center" vertical="center"/>
    </xf>
    <xf numFmtId="0" fontId="30" fillId="30" borderId="0" xfId="0" applyFont="1" applyFill="1"/>
    <xf numFmtId="0" fontId="102" fillId="30" borderId="0" xfId="0" applyFont="1" applyFill="1"/>
    <xf numFmtId="0" fontId="30" fillId="0" borderId="24" xfId="0" applyFont="1" applyFill="1" applyBorder="1" applyAlignment="1">
      <alignment vertical="center" wrapText="1"/>
    </xf>
    <xf numFmtId="169" fontId="30" fillId="0" borderId="0" xfId="0" applyNumberFormat="1" applyFo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96" fillId="28" borderId="30" xfId="0" applyFont="1" applyFill="1" applyBorder="1" applyAlignment="1" applyProtection="1">
      <alignment vertical="center"/>
      <protection hidden="1"/>
    </xf>
    <xf numFmtId="169" fontId="116" fillId="0" borderId="2" xfId="337" quotePrefix="1" applyNumberFormat="1" applyFont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30" fillId="30" borderId="0" xfId="337" applyNumberFormat="1" applyFont="1" applyFill="1"/>
    <xf numFmtId="169" fontId="115" fillId="30" borderId="0" xfId="337" applyNumberFormat="1" applyFont="1" applyFill="1"/>
    <xf numFmtId="0" fontId="115" fillId="30" borderId="0" xfId="0" applyFont="1" applyFill="1"/>
    <xf numFmtId="169" fontId="96" fillId="30" borderId="0" xfId="337" applyNumberFormat="1" applyFont="1" applyFill="1"/>
    <xf numFmtId="0" fontId="96" fillId="30" borderId="0" xfId="0" applyFont="1" applyFill="1"/>
    <xf numFmtId="169" fontId="116" fillId="30" borderId="0" xfId="337" applyNumberFormat="1" applyFont="1" applyFill="1"/>
    <xf numFmtId="0" fontId="116" fillId="30" borderId="0" xfId="0" applyFont="1" applyFill="1"/>
    <xf numFmtId="169" fontId="118" fillId="30" borderId="0" xfId="337" applyNumberFormat="1" applyFont="1" applyFill="1"/>
    <xf numFmtId="0" fontId="118" fillId="30" borderId="0" xfId="0" applyFont="1" applyFill="1"/>
    <xf numFmtId="169" fontId="120" fillId="30" borderId="0" xfId="337" applyNumberFormat="1" applyFont="1" applyFill="1"/>
    <xf numFmtId="0" fontId="120" fillId="30" borderId="0" xfId="0" applyFont="1" applyFill="1"/>
    <xf numFmtId="169" fontId="102" fillId="30" borderId="0" xfId="337" applyNumberFormat="1" applyFont="1" applyFill="1"/>
    <xf numFmtId="43" fontId="98" fillId="0" borderId="12" xfId="337" applyFont="1" applyBorder="1" applyAlignment="1">
      <alignment horizontal="center" vertical="center"/>
    </xf>
    <xf numFmtId="238" fontId="98" fillId="0" borderId="12" xfId="337" applyNumberFormat="1" applyFont="1" applyBorder="1" applyAlignment="1">
      <alignment horizontal="center" vertical="center"/>
    </xf>
    <xf numFmtId="169" fontId="30" fillId="0" borderId="12" xfId="337" applyNumberFormat="1" applyFont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0" fontId="127" fillId="0" borderId="0" xfId="0" applyFont="1" applyFill="1" applyAlignment="1">
      <alignment vertical="center" wrapText="1"/>
    </xf>
    <xf numFmtId="0" fontId="127" fillId="0" borderId="0" xfId="0" applyFont="1" applyFill="1" applyAlignment="1">
      <alignment horizontal="center" vertical="center" wrapText="1"/>
    </xf>
    <xf numFmtId="169" fontId="127" fillId="0" borderId="0" xfId="337" applyNumberFormat="1" applyFont="1" applyFill="1" applyAlignment="1">
      <alignment horizontal="center" vertical="center" wrapText="1"/>
    </xf>
    <xf numFmtId="43" fontId="127" fillId="0" borderId="0" xfId="337" applyFont="1" applyFill="1" applyAlignment="1">
      <alignment vertical="center" wrapText="1"/>
    </xf>
    <xf numFmtId="169" fontId="127" fillId="0" borderId="0" xfId="337" applyNumberFormat="1" applyFont="1" applyFill="1" applyAlignment="1">
      <alignment vertical="center" wrapText="1"/>
    </xf>
    <xf numFmtId="0" fontId="128" fillId="0" borderId="0" xfId="0" applyFont="1" applyFill="1" applyBorder="1" applyAlignment="1">
      <alignment horizontal="center" vertical="center"/>
    </xf>
    <xf numFmtId="169" fontId="30" fillId="0" borderId="27" xfId="337" applyNumberFormat="1" applyFont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 wrapText="1"/>
    </xf>
    <xf numFmtId="0" fontId="30" fillId="30" borderId="2" xfId="419" applyFont="1" applyFill="1" applyBorder="1" applyAlignment="1">
      <alignment vertical="center" wrapText="1"/>
    </xf>
    <xf numFmtId="0" fontId="96" fillId="30" borderId="30" xfId="0" applyFont="1" applyFill="1" applyBorder="1" applyAlignment="1" applyProtection="1">
      <alignment vertical="center"/>
      <protection hidden="1"/>
    </xf>
    <xf numFmtId="0" fontId="30" fillId="30" borderId="30" xfId="0" applyFont="1" applyFill="1" applyBorder="1" applyAlignment="1">
      <alignment horizontal="center" vertical="center" wrapText="1"/>
    </xf>
    <xf numFmtId="169" fontId="30" fillId="30" borderId="30" xfId="337" applyNumberFormat="1" applyFont="1" applyFill="1" applyBorder="1" applyAlignment="1">
      <alignment horizontal="center" vertical="center" wrapText="1"/>
    </xf>
    <xf numFmtId="169" fontId="116" fillId="30" borderId="30" xfId="337" quotePrefix="1" applyNumberFormat="1" applyFont="1" applyFill="1" applyBorder="1" applyAlignment="1">
      <alignment horizontal="center" vertical="center" wrapText="1"/>
    </xf>
    <xf numFmtId="0" fontId="96" fillId="30" borderId="2" xfId="0" applyFont="1" applyFill="1" applyBorder="1" applyAlignment="1" applyProtection="1">
      <alignment vertical="center"/>
      <protection hidden="1"/>
    </xf>
    <xf numFmtId="169" fontId="116" fillId="31" borderId="30" xfId="337" applyNumberFormat="1" applyFont="1" applyFill="1" applyBorder="1" applyAlignment="1">
      <alignment horizontal="center" vertical="center" wrapText="1"/>
    </xf>
    <xf numFmtId="169" fontId="116" fillId="31" borderId="30" xfId="337" quotePrefix="1" applyNumberFormat="1" applyFont="1" applyFill="1" applyBorder="1" applyAlignment="1">
      <alignment horizontal="center" vertical="center" wrapText="1"/>
    </xf>
    <xf numFmtId="169" fontId="30" fillId="31" borderId="30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102" fillId="29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96" fillId="30" borderId="6" xfId="337" applyNumberFormat="1" applyFont="1" applyFill="1" applyBorder="1" applyAlignment="1">
      <alignment horizontal="center" wrapText="1"/>
    </xf>
    <xf numFmtId="169" fontId="96" fillId="30" borderId="6" xfId="337" applyNumberFormat="1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107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left" vertical="center"/>
    </xf>
    <xf numFmtId="0" fontId="98" fillId="0" borderId="32" xfId="421" applyNumberFormat="1" applyFont="1" applyFill="1" applyBorder="1" applyAlignment="1">
      <alignment horizontal="center" vertical="center" wrapText="1"/>
    </xf>
    <xf numFmtId="0" fontId="98" fillId="0" borderId="35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2" xfId="421" applyNumberFormat="1" applyFont="1" applyFill="1" applyBorder="1" applyAlignment="1">
      <alignment horizontal="left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4" xfId="419" applyFont="1" applyFill="1" applyBorder="1" applyAlignment="1">
      <alignment horizontal="center" vertical="center"/>
    </xf>
    <xf numFmtId="0" fontId="100" fillId="26" borderId="23" xfId="419" applyFont="1" applyFill="1" applyBorder="1" applyAlignment="1">
      <alignment horizontal="center" vertical="center"/>
    </xf>
    <xf numFmtId="0" fontId="100" fillId="26" borderId="14" xfId="419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98" fillId="0" borderId="14" xfId="419" applyFont="1" applyFill="1" applyBorder="1" applyAlignment="1">
      <alignment horizontal="center" vertical="center" wrapText="1"/>
    </xf>
    <xf numFmtId="0" fontId="98" fillId="0" borderId="28" xfId="419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26" borderId="31" xfId="419" applyFont="1" applyFill="1" applyBorder="1" applyAlignment="1">
      <alignment horizontal="center" vertical="center"/>
    </xf>
    <xf numFmtId="0" fontId="100" fillId="26" borderId="25" xfId="419" applyFont="1" applyFill="1" applyBorder="1" applyAlignment="1">
      <alignment horizontal="center" vertical="center"/>
    </xf>
    <xf numFmtId="0" fontId="100" fillId="26" borderId="32" xfId="419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98" fillId="0" borderId="12" xfId="419" applyFont="1" applyFill="1" applyBorder="1" applyAlignment="1">
      <alignment horizontal="center" vertical="center" wrapText="1"/>
    </xf>
    <xf numFmtId="0" fontId="102" fillId="0" borderId="12" xfId="419" applyFont="1" applyBorder="1" applyAlignment="1">
      <alignment horizontal="center" vertical="center"/>
    </xf>
    <xf numFmtId="0" fontId="30" fillId="0" borderId="14" xfId="419" applyFont="1" applyFill="1" applyBorder="1" applyAlignment="1">
      <alignment horizontal="left" vertical="center"/>
    </xf>
    <xf numFmtId="0" fontId="30" fillId="0" borderId="28" xfId="419" applyFont="1" applyFill="1" applyBorder="1" applyAlignment="1">
      <alignment horizontal="left" vertical="center"/>
    </xf>
    <xf numFmtId="0" fontId="30" fillId="0" borderId="14" xfId="419" applyFont="1" applyFill="1" applyBorder="1" applyAlignment="1">
      <alignment horizontal="center" vertical="center"/>
    </xf>
    <xf numFmtId="0" fontId="30" fillId="0" borderId="28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/>
    </xf>
    <xf numFmtId="0" fontId="77" fillId="26" borderId="23" xfId="419" applyFont="1" applyFill="1" applyBorder="1" applyAlignment="1">
      <alignment horizontal="center" vertical="center"/>
    </xf>
    <xf numFmtId="0" fontId="77" fillId="26" borderId="12" xfId="419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33" xfId="419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3" xfId="419" applyFont="1" applyFill="1" applyBorder="1" applyAlignment="1">
      <alignment horizontal="center" vertical="center" wrapText="1"/>
    </xf>
    <xf numFmtId="0" fontId="100" fillId="0" borderId="8" xfId="419" applyFont="1" applyFill="1" applyBorder="1" applyAlignment="1">
      <alignment horizontal="center" vertical="center" wrapText="1"/>
    </xf>
    <xf numFmtId="0" fontId="77" fillId="26" borderId="23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419" applyFont="1" applyFill="1" applyBorder="1" applyAlignment="1">
      <alignment horizontal="center" vertical="center" wrapText="1"/>
    </xf>
    <xf numFmtId="0" fontId="77" fillId="26" borderId="27" xfId="419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19" applyFont="1" applyFill="1" applyBorder="1" applyAlignment="1">
      <alignment horizontal="center" vertical="center" wrapText="1"/>
    </xf>
    <xf numFmtId="0" fontId="77" fillId="26" borderId="6" xfId="419" applyFont="1" applyFill="1" applyBorder="1" applyAlignment="1">
      <alignment horizontal="center" vertical="center" wrapText="1"/>
    </xf>
    <xf numFmtId="0" fontId="77" fillId="26" borderId="8" xfId="419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98" fillId="30" borderId="14" xfId="0" applyFont="1" applyFill="1" applyBorder="1" applyAlignment="1">
      <alignment horizontal="center" vertical="center" wrapText="1"/>
    </xf>
    <xf numFmtId="0" fontId="98" fillId="30" borderId="28" xfId="0" applyFont="1" applyFill="1" applyBorder="1" applyAlignment="1">
      <alignment horizontal="center" vertical="center" wrapText="1"/>
    </xf>
    <xf numFmtId="0" fontId="98" fillId="30" borderId="14" xfId="421" applyNumberFormat="1" applyFont="1" applyFill="1" applyBorder="1" applyAlignment="1">
      <alignment horizontal="left" vertical="center"/>
    </xf>
    <xf numFmtId="0" fontId="98" fillId="30" borderId="28" xfId="421" applyNumberFormat="1" applyFont="1" applyFill="1" applyBorder="1" applyAlignment="1">
      <alignment horizontal="left" vertical="center"/>
    </xf>
    <xf numFmtId="0" fontId="98" fillId="30" borderId="14" xfId="421" applyNumberFormat="1" applyFont="1" applyFill="1" applyBorder="1" applyAlignment="1">
      <alignment horizontal="center" vertical="center" wrapText="1"/>
    </xf>
    <xf numFmtId="0" fontId="98" fillId="30" borderId="28" xfId="421" applyNumberFormat="1" applyFont="1" applyFill="1" applyBorder="1" applyAlignment="1">
      <alignment horizontal="center" vertical="center" wrapText="1"/>
    </xf>
    <xf numFmtId="237" fontId="99" fillId="30" borderId="14" xfId="0" applyNumberFormat="1" applyFont="1" applyFill="1" applyBorder="1" applyAlignment="1">
      <alignment horizontal="center" vertical="center"/>
    </xf>
    <xf numFmtId="0" fontId="99" fillId="30" borderId="28" xfId="0" applyFont="1" applyFill="1" applyBorder="1" applyAlignment="1">
      <alignment horizontal="center" vertical="center"/>
    </xf>
    <xf numFmtId="238" fontId="99" fillId="30" borderId="14" xfId="337" applyNumberFormat="1" applyFont="1" applyFill="1" applyBorder="1" applyAlignment="1">
      <alignment horizontal="center" vertical="center"/>
    </xf>
    <xf numFmtId="238" fontId="99" fillId="30" borderId="28" xfId="337" applyNumberFormat="1" applyFont="1" applyFill="1" applyBorder="1" applyAlignment="1">
      <alignment horizontal="center" vertical="center"/>
    </xf>
    <xf numFmtId="43" fontId="98" fillId="30" borderId="14" xfId="337" applyFont="1" applyFill="1" applyBorder="1" applyAlignment="1">
      <alignment horizontal="center" vertical="center"/>
    </xf>
    <xf numFmtId="43" fontId="98" fillId="30" borderId="28" xfId="337" applyFont="1" applyFill="1" applyBorder="1" applyAlignment="1">
      <alignment horizontal="center" vertical="center"/>
    </xf>
    <xf numFmtId="238" fontId="98" fillId="30" borderId="14" xfId="337" applyNumberFormat="1" applyFont="1" applyFill="1" applyBorder="1" applyAlignment="1">
      <alignment horizontal="center" vertical="center"/>
    </xf>
    <xf numFmtId="238" fontId="98" fillId="30" borderId="28" xfId="337" applyNumberFormat="1" applyFont="1" applyFill="1" applyBorder="1" applyAlignment="1">
      <alignment horizontal="center" vertical="center"/>
    </xf>
    <xf numFmtId="169" fontId="30" fillId="30" borderId="14" xfId="337" applyNumberFormat="1" applyFont="1" applyFill="1" applyBorder="1" applyAlignment="1">
      <alignment horizontal="center" vertical="center"/>
    </xf>
    <xf numFmtId="169" fontId="30" fillId="30" borderId="28" xfId="337" applyNumberFormat="1" applyFont="1" applyFill="1" applyBorder="1" applyAlignment="1">
      <alignment horizontal="center" vertical="center"/>
    </xf>
    <xf numFmtId="43" fontId="98" fillId="30" borderId="14" xfId="341" applyFont="1" applyFill="1" applyBorder="1" applyAlignment="1">
      <alignment horizontal="center" vertical="center"/>
    </xf>
    <xf numFmtId="43" fontId="98" fillId="30" borderId="28" xfId="341" applyFont="1" applyFill="1" applyBorder="1" applyAlignment="1">
      <alignment horizontal="center" vertical="center"/>
    </xf>
    <xf numFmtId="0" fontId="30" fillId="30" borderId="14" xfId="419" applyFont="1" applyFill="1" applyBorder="1" applyAlignment="1">
      <alignment horizontal="center" vertical="center" wrapText="1"/>
    </xf>
    <xf numFmtId="0" fontId="30" fillId="30" borderId="28" xfId="419" applyFont="1" applyFill="1" applyBorder="1" applyAlignment="1">
      <alignment horizontal="center" vertical="center" wrapText="1"/>
    </xf>
    <xf numFmtId="0" fontId="30" fillId="30" borderId="14" xfId="419" applyFont="1" applyFill="1" applyBorder="1" applyAlignment="1">
      <alignment horizontal="center" vertical="center"/>
    </xf>
    <xf numFmtId="0" fontId="30" fillId="30" borderId="28" xfId="419" applyFont="1" applyFill="1" applyBorder="1" applyAlignment="1">
      <alignment horizontal="center" vertical="center"/>
    </xf>
    <xf numFmtId="0" fontId="98" fillId="30" borderId="14" xfId="419" applyFont="1" applyFill="1" applyBorder="1" applyAlignment="1">
      <alignment horizontal="center" vertical="center" wrapText="1"/>
    </xf>
    <xf numFmtId="0" fontId="98" fillId="30" borderId="28" xfId="419" applyFont="1" applyFill="1" applyBorder="1" applyAlignment="1">
      <alignment horizontal="center" vertical="center" wrapText="1"/>
    </xf>
    <xf numFmtId="238" fontId="98" fillId="30" borderId="14" xfId="341" applyNumberFormat="1" applyFont="1" applyFill="1" applyBorder="1" applyAlignment="1">
      <alignment horizontal="center" vertical="center"/>
    </xf>
    <xf numFmtId="238" fontId="98" fillId="30" borderId="28" xfId="341" applyNumberFormat="1" applyFont="1" applyFill="1" applyBorder="1" applyAlignment="1">
      <alignment horizontal="center" vertical="center"/>
    </xf>
    <xf numFmtId="0" fontId="126" fillId="0" borderId="36" xfId="0" applyFont="1" applyFill="1" applyBorder="1" applyAlignment="1">
      <alignment horizontal="left" vertical="center" wrapText="1"/>
    </xf>
    <xf numFmtId="0" fontId="126" fillId="0" borderId="37" xfId="0" applyFont="1" applyFill="1" applyBorder="1" applyAlignment="1">
      <alignment horizontal="left" vertical="center" wrapText="1"/>
    </xf>
    <xf numFmtId="0" fontId="30" fillId="30" borderId="14" xfId="0" applyFont="1" applyFill="1" applyBorder="1" applyAlignment="1">
      <alignment horizontal="center" vertical="center" wrapText="1"/>
    </xf>
    <xf numFmtId="0" fontId="30" fillId="30" borderId="28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57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AV136"/>
  <sheetViews>
    <sheetView tabSelected="1" topLeftCell="A8" workbookViewId="0">
      <pane ySplit="3" topLeftCell="A35" activePane="bottomLeft" state="frozen"/>
      <selection activeCell="A8" sqref="A8"/>
      <selection pane="bottomLeft" activeCell="C37" sqref="C37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1.7109375" style="40" customWidth="1"/>
    <col min="6" max="6" width="10.85546875" style="40" customWidth="1"/>
    <col min="7" max="7" width="10.85546875" style="30" customWidth="1"/>
    <col min="8" max="9" width="9.7109375" style="30" customWidth="1"/>
    <col min="10" max="23" width="10.5703125" style="2" customWidth="1"/>
    <col min="24" max="24" width="10.85546875" style="40" customWidth="1"/>
    <col min="25" max="25" width="13.28515625" style="40" customWidth="1"/>
    <col min="26" max="26" width="13.42578125" style="363" customWidth="1"/>
    <col min="27" max="27" width="11.85546875" style="363" customWidth="1"/>
    <col min="28" max="48" width="9.140625" style="335"/>
    <col min="49" max="16384" width="9.140625" style="2"/>
  </cols>
  <sheetData>
    <row r="1" spans="1:48" ht="15">
      <c r="A1" s="1" t="s">
        <v>181</v>
      </c>
    </row>
    <row r="2" spans="1:48" ht="15">
      <c r="A2" s="1" t="s">
        <v>182</v>
      </c>
    </row>
    <row r="3" spans="1:48" ht="15">
      <c r="A3" s="1"/>
    </row>
    <row r="4" spans="1:48">
      <c r="A4" s="98"/>
      <c r="B4" s="98"/>
    </row>
    <row r="5" spans="1:48" ht="23.25" customHeight="1">
      <c r="A5" s="421" t="s">
        <v>35</v>
      </c>
      <c r="B5" s="421"/>
      <c r="C5" s="421"/>
      <c r="D5" s="421"/>
      <c r="E5" s="422"/>
      <c r="F5" s="421"/>
      <c r="G5" s="421"/>
      <c r="H5" s="421"/>
      <c r="I5" s="421"/>
      <c r="J5" s="421"/>
      <c r="K5" s="421"/>
      <c r="L5" s="421"/>
      <c r="M5" s="421"/>
      <c r="N5" s="421"/>
      <c r="O5" s="421"/>
      <c r="P5" s="421"/>
      <c r="Q5" s="421"/>
      <c r="R5" s="421"/>
      <c r="S5" s="421"/>
      <c r="T5" s="421"/>
      <c r="U5" s="421"/>
      <c r="V5" s="421"/>
      <c r="W5" s="421"/>
      <c r="X5" s="421"/>
      <c r="Y5" s="421"/>
    </row>
    <row r="6" spans="1:48" ht="23.25" customHeight="1">
      <c r="A6" s="423" t="e">
        <f>"Tháng "&amp;#REF!&amp;" năm 2011"</f>
        <v>#REF!</v>
      </c>
      <c r="B6" s="423"/>
      <c r="C6" s="423"/>
      <c r="D6" s="423"/>
      <c r="E6" s="424"/>
      <c r="F6" s="423"/>
      <c r="G6" s="423"/>
      <c r="H6" s="423"/>
      <c r="I6" s="423"/>
      <c r="J6" s="423"/>
      <c r="K6" s="423"/>
      <c r="L6" s="423"/>
      <c r="M6" s="423"/>
      <c r="N6" s="423"/>
      <c r="O6" s="423"/>
      <c r="P6" s="423"/>
      <c r="Q6" s="423"/>
      <c r="R6" s="423"/>
      <c r="S6" s="423"/>
      <c r="T6" s="423"/>
      <c r="U6" s="423"/>
      <c r="V6" s="423"/>
      <c r="W6" s="423"/>
      <c r="X6" s="423"/>
      <c r="Y6" s="423"/>
    </row>
    <row r="7" spans="1:48" s="113" customFormat="1" ht="19.5" customHeight="1">
      <c r="A7" s="112"/>
      <c r="B7" s="112"/>
      <c r="C7" s="112"/>
      <c r="D7" s="112"/>
      <c r="E7" s="291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364"/>
      <c r="AA7" s="364"/>
      <c r="AB7" s="365"/>
      <c r="AC7" s="365"/>
      <c r="AD7" s="365"/>
      <c r="AE7" s="365"/>
      <c r="AF7" s="365"/>
      <c r="AG7" s="365"/>
      <c r="AH7" s="365"/>
      <c r="AI7" s="365"/>
      <c r="AJ7" s="365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</row>
    <row r="8" spans="1:48" s="1" customFormat="1" ht="20.25" customHeight="1">
      <c r="A8" s="425" t="s">
        <v>19</v>
      </c>
      <c r="B8" s="425" t="s">
        <v>3</v>
      </c>
      <c r="C8" s="425" t="s">
        <v>1</v>
      </c>
      <c r="D8" s="425" t="s">
        <v>2</v>
      </c>
      <c r="E8" s="426" t="s">
        <v>56</v>
      </c>
      <c r="F8" s="427"/>
      <c r="G8" s="428"/>
      <c r="H8" s="418" t="s">
        <v>36</v>
      </c>
      <c r="I8" s="418"/>
      <c r="J8" s="418" t="s">
        <v>24</v>
      </c>
      <c r="K8" s="418" t="s">
        <v>33</v>
      </c>
      <c r="L8" s="418"/>
      <c r="M8" s="418"/>
      <c r="N8" s="418"/>
      <c r="O8" s="418"/>
      <c r="P8" s="418"/>
      <c r="Q8" s="418"/>
      <c r="R8" s="418"/>
      <c r="S8" s="418"/>
      <c r="T8" s="418"/>
      <c r="U8" s="418"/>
      <c r="V8" s="418"/>
      <c r="W8" s="419" t="s">
        <v>39</v>
      </c>
      <c r="X8" s="419" t="s">
        <v>23</v>
      </c>
      <c r="Y8" s="419" t="s">
        <v>11</v>
      </c>
      <c r="Z8" s="415" t="s">
        <v>213</v>
      </c>
      <c r="AA8" s="366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</row>
    <row r="9" spans="1:48" s="1" customFormat="1" ht="20.25" customHeight="1">
      <c r="A9" s="425"/>
      <c r="B9" s="425"/>
      <c r="C9" s="425"/>
      <c r="D9" s="425"/>
      <c r="E9" s="292" t="s">
        <v>196</v>
      </c>
      <c r="F9" s="256" t="s">
        <v>190</v>
      </c>
      <c r="G9" s="256">
        <v>2015</v>
      </c>
      <c r="H9" s="255" t="s">
        <v>57</v>
      </c>
      <c r="I9" s="255" t="s">
        <v>38</v>
      </c>
      <c r="J9" s="418"/>
      <c r="K9" s="255" t="s">
        <v>129</v>
      </c>
      <c r="L9" s="255" t="s">
        <v>130</v>
      </c>
      <c r="M9" s="255" t="s">
        <v>131</v>
      </c>
      <c r="N9" s="255" t="s">
        <v>132</v>
      </c>
      <c r="O9" s="255" t="s">
        <v>133</v>
      </c>
      <c r="P9" s="255" t="s">
        <v>134</v>
      </c>
      <c r="Q9" s="255" t="s">
        <v>135</v>
      </c>
      <c r="R9" s="255" t="s">
        <v>136</v>
      </c>
      <c r="S9" s="255" t="s">
        <v>137</v>
      </c>
      <c r="T9" s="255" t="s">
        <v>138</v>
      </c>
      <c r="U9" s="255" t="s">
        <v>139</v>
      </c>
      <c r="V9" s="255" t="s">
        <v>140</v>
      </c>
      <c r="W9" s="420"/>
      <c r="X9" s="420"/>
      <c r="Y9" s="420"/>
      <c r="Z9" s="416"/>
      <c r="AA9" s="366"/>
      <c r="AB9" s="367"/>
      <c r="AC9" s="367"/>
      <c r="AD9" s="367"/>
      <c r="AE9" s="367"/>
      <c r="AF9" s="367"/>
      <c r="AG9" s="367"/>
      <c r="AH9" s="367"/>
      <c r="AI9" s="367"/>
      <c r="AJ9" s="367"/>
      <c r="AK9" s="367"/>
      <c r="AL9" s="367"/>
      <c r="AM9" s="367"/>
      <c r="AN9" s="367"/>
      <c r="AO9" s="367"/>
      <c r="AP9" s="367"/>
      <c r="AQ9" s="367"/>
      <c r="AR9" s="367"/>
      <c r="AS9" s="367"/>
      <c r="AT9" s="367"/>
      <c r="AU9" s="367"/>
      <c r="AV9" s="367"/>
    </row>
    <row r="10" spans="1:48" ht="14.25" customHeight="1">
      <c r="A10" s="114">
        <v>1</v>
      </c>
      <c r="B10" s="114">
        <v>1</v>
      </c>
      <c r="C10" s="114">
        <v>2</v>
      </c>
      <c r="D10" s="114">
        <v>3</v>
      </c>
      <c r="E10" s="293"/>
      <c r="F10" s="114">
        <v>4</v>
      </c>
      <c r="G10" s="114">
        <v>5</v>
      </c>
      <c r="H10" s="114">
        <v>6</v>
      </c>
      <c r="I10" s="114">
        <v>7</v>
      </c>
      <c r="J10" s="114">
        <v>8</v>
      </c>
      <c r="K10" s="114">
        <v>9</v>
      </c>
      <c r="L10" s="114">
        <v>10</v>
      </c>
      <c r="M10" s="114">
        <v>11</v>
      </c>
      <c r="N10" s="114">
        <v>12</v>
      </c>
      <c r="O10" s="114">
        <v>13</v>
      </c>
      <c r="P10" s="114">
        <v>14</v>
      </c>
      <c r="Q10" s="114">
        <v>15</v>
      </c>
      <c r="R10" s="114">
        <v>16</v>
      </c>
      <c r="S10" s="114">
        <v>17</v>
      </c>
      <c r="T10" s="114">
        <v>18</v>
      </c>
      <c r="U10" s="114">
        <v>19</v>
      </c>
      <c r="V10" s="114">
        <v>20</v>
      </c>
      <c r="W10" s="114">
        <v>21</v>
      </c>
      <c r="X10" s="114">
        <v>22</v>
      </c>
      <c r="Y10" s="114">
        <v>23</v>
      </c>
      <c r="Z10" s="416"/>
    </row>
    <row r="11" spans="1:48" s="243" customFormat="1" ht="21.75" customHeight="1">
      <c r="A11" s="241">
        <f>ROW()-10</f>
        <v>1</v>
      </c>
      <c r="B11" s="241" t="s">
        <v>61</v>
      </c>
      <c r="C11" s="244" t="s">
        <v>63</v>
      </c>
      <c r="D11" s="241" t="s">
        <v>64</v>
      </c>
      <c r="E11" s="236">
        <v>4336000</v>
      </c>
      <c r="F11" s="295">
        <v>4336000</v>
      </c>
      <c r="G11" s="236">
        <v>4336000</v>
      </c>
      <c r="H11" s="236">
        <v>390000</v>
      </c>
      <c r="I11" s="236"/>
      <c r="J11" s="236"/>
      <c r="K11" s="236" t="s">
        <v>67</v>
      </c>
      <c r="L11" s="236" t="s">
        <v>67</v>
      </c>
      <c r="M11" s="236" t="s">
        <v>67</v>
      </c>
      <c r="N11" s="236" t="s">
        <v>67</v>
      </c>
      <c r="O11" s="236" t="s">
        <v>67</v>
      </c>
      <c r="P11" s="236" t="s">
        <v>67</v>
      </c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368"/>
      <c r="AB11" s="369"/>
      <c r="AC11" s="369"/>
      <c r="AD11" s="369"/>
      <c r="AE11" s="369"/>
      <c r="AF11" s="369"/>
      <c r="AG11" s="369"/>
      <c r="AH11" s="369"/>
      <c r="AI11" s="369"/>
      <c r="AJ11" s="369"/>
      <c r="AK11" s="369"/>
      <c r="AL11" s="369"/>
      <c r="AM11" s="369"/>
      <c r="AN11" s="369"/>
      <c r="AO11" s="369"/>
      <c r="AP11" s="369"/>
      <c r="AQ11" s="369"/>
      <c r="AR11" s="369"/>
      <c r="AS11" s="369"/>
      <c r="AT11" s="369"/>
      <c r="AU11" s="369"/>
      <c r="AV11" s="369"/>
    </row>
    <row r="12" spans="1:48" s="243" customFormat="1" ht="21.75" customHeight="1">
      <c r="A12" s="241">
        <f t="shared" ref="A12:A56" si="0">ROW()-10</f>
        <v>2</v>
      </c>
      <c r="B12" s="241" t="s">
        <v>62</v>
      </c>
      <c r="C12" s="244" t="s">
        <v>65</v>
      </c>
      <c r="D12" s="241" t="s">
        <v>66</v>
      </c>
      <c r="E12" s="236">
        <v>4056000</v>
      </c>
      <c r="F12" s="295">
        <v>4056000</v>
      </c>
      <c r="G12" s="236">
        <v>4056000</v>
      </c>
      <c r="H12" s="236">
        <v>390000</v>
      </c>
      <c r="I12" s="236"/>
      <c r="J12" s="236"/>
      <c r="K12" s="236" t="s">
        <v>67</v>
      </c>
      <c r="L12" s="236" t="s">
        <v>67</v>
      </c>
      <c r="M12" s="236" t="s">
        <v>67</v>
      </c>
      <c r="N12" s="236" t="s">
        <v>67</v>
      </c>
      <c r="O12" s="236" t="s">
        <v>67</v>
      </c>
      <c r="P12" s="236" t="s">
        <v>67</v>
      </c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368"/>
      <c r="AB12" s="369"/>
      <c r="AC12" s="369"/>
      <c r="AD12" s="369"/>
      <c r="AE12" s="369"/>
      <c r="AF12" s="369"/>
      <c r="AG12" s="369"/>
      <c r="AH12" s="369"/>
      <c r="AI12" s="369"/>
      <c r="AJ12" s="369"/>
      <c r="AK12" s="369"/>
      <c r="AL12" s="369"/>
      <c r="AM12" s="369"/>
      <c r="AN12" s="369"/>
      <c r="AO12" s="369"/>
      <c r="AP12" s="369"/>
      <c r="AQ12" s="369"/>
      <c r="AR12" s="369"/>
      <c r="AS12" s="369"/>
      <c r="AT12" s="369"/>
      <c r="AU12" s="369"/>
      <c r="AV12" s="369"/>
    </row>
    <row r="13" spans="1:48" s="247" customFormat="1" ht="21.75" customHeight="1">
      <c r="A13" s="242">
        <f t="shared" si="0"/>
        <v>3</v>
      </c>
      <c r="B13" s="242" t="s">
        <v>68</v>
      </c>
      <c r="C13" s="245" t="s">
        <v>69</v>
      </c>
      <c r="D13" s="242" t="s">
        <v>22</v>
      </c>
      <c r="E13" s="236">
        <v>10851000</v>
      </c>
      <c r="F13" s="296">
        <v>10851000</v>
      </c>
      <c r="G13" s="246">
        <v>10851000</v>
      </c>
      <c r="H13" s="246">
        <v>390000</v>
      </c>
      <c r="I13" s="236"/>
      <c r="J13" s="246"/>
      <c r="K13" s="236" t="s">
        <v>67</v>
      </c>
      <c r="L13" s="236" t="s">
        <v>67</v>
      </c>
      <c r="M13" s="236" t="s">
        <v>67</v>
      </c>
      <c r="N13" s="246" t="s">
        <v>67</v>
      </c>
      <c r="O13" s="246" t="s">
        <v>67</v>
      </c>
      <c r="P13" s="246" t="s">
        <v>67</v>
      </c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370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  <c r="AM13" s="371"/>
      <c r="AN13" s="371"/>
      <c r="AO13" s="371"/>
      <c r="AP13" s="371"/>
      <c r="AQ13" s="371"/>
      <c r="AR13" s="371"/>
      <c r="AS13" s="371"/>
      <c r="AT13" s="371"/>
      <c r="AU13" s="371"/>
      <c r="AV13" s="371"/>
    </row>
    <row r="14" spans="1:48" s="247" customFormat="1" ht="21.75" customHeight="1">
      <c r="A14" s="242">
        <f t="shared" si="0"/>
        <v>4</v>
      </c>
      <c r="B14" s="242" t="s">
        <v>70</v>
      </c>
      <c r="C14" s="245" t="s">
        <v>73</v>
      </c>
      <c r="D14" s="242" t="s">
        <v>74</v>
      </c>
      <c r="E14" s="236">
        <v>4895000</v>
      </c>
      <c r="F14" s="296">
        <v>4895000</v>
      </c>
      <c r="G14" s="246">
        <v>4895000</v>
      </c>
      <c r="H14" s="246">
        <v>390000</v>
      </c>
      <c r="I14" s="236"/>
      <c r="J14" s="246"/>
      <c r="K14" s="236" t="s">
        <v>67</v>
      </c>
      <c r="L14" s="236" t="s">
        <v>67</v>
      </c>
      <c r="M14" s="236" t="s">
        <v>67</v>
      </c>
      <c r="N14" s="246" t="s">
        <v>67</v>
      </c>
      <c r="O14" s="246" t="s">
        <v>67</v>
      </c>
      <c r="P14" s="246" t="s">
        <v>67</v>
      </c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370"/>
      <c r="AB14" s="371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  <c r="AN14" s="371"/>
      <c r="AO14" s="371"/>
      <c r="AP14" s="371"/>
      <c r="AQ14" s="371"/>
      <c r="AR14" s="371"/>
      <c r="AS14" s="371"/>
      <c r="AT14" s="371"/>
      <c r="AU14" s="371"/>
      <c r="AV14" s="371"/>
    </row>
    <row r="15" spans="1:48" s="247" customFormat="1" ht="21.75" customHeight="1">
      <c r="A15" s="242">
        <f t="shared" si="0"/>
        <v>5</v>
      </c>
      <c r="B15" s="242" t="s">
        <v>72</v>
      </c>
      <c r="C15" s="245" t="s">
        <v>76</v>
      </c>
      <c r="D15" s="242" t="s">
        <v>191</v>
      </c>
      <c r="E15" s="236">
        <v>4895000</v>
      </c>
      <c r="F15" s="296">
        <v>4895000</v>
      </c>
      <c r="G15" s="246">
        <v>4895000</v>
      </c>
      <c r="H15" s="246">
        <v>390000</v>
      </c>
      <c r="I15" s="236"/>
      <c r="J15" s="246"/>
      <c r="K15" s="236" t="s">
        <v>67</v>
      </c>
      <c r="L15" s="236" t="s">
        <v>67</v>
      </c>
      <c r="M15" s="236" t="s">
        <v>67</v>
      </c>
      <c r="N15" s="246" t="s">
        <v>67</v>
      </c>
      <c r="O15" s="246" t="s">
        <v>67</v>
      </c>
      <c r="P15" s="246" t="s">
        <v>67</v>
      </c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370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  <c r="AM15" s="371"/>
      <c r="AN15" s="371"/>
      <c r="AO15" s="371"/>
      <c r="AP15" s="371"/>
      <c r="AQ15" s="371"/>
      <c r="AR15" s="371"/>
      <c r="AS15" s="371"/>
      <c r="AT15" s="371"/>
      <c r="AU15" s="371"/>
      <c r="AV15" s="371"/>
    </row>
    <row r="16" spans="1:48" s="247" customFormat="1" ht="21.75" customHeight="1">
      <c r="A16" s="242">
        <f t="shared" si="0"/>
        <v>6</v>
      </c>
      <c r="B16" s="242" t="s">
        <v>75</v>
      </c>
      <c r="C16" s="245" t="s">
        <v>79</v>
      </c>
      <c r="D16" s="242" t="s">
        <v>80</v>
      </c>
      <c r="E16" s="236">
        <v>4336000</v>
      </c>
      <c r="F16" s="296">
        <v>4336000</v>
      </c>
      <c r="G16" s="246">
        <v>4336000</v>
      </c>
      <c r="H16" s="246">
        <v>390000</v>
      </c>
      <c r="I16" s="236"/>
      <c r="J16" s="246"/>
      <c r="K16" s="236" t="s">
        <v>67</v>
      </c>
      <c r="L16" s="236" t="s">
        <v>67</v>
      </c>
      <c r="M16" s="236" t="s">
        <v>67</v>
      </c>
      <c r="N16" s="246" t="s">
        <v>67</v>
      </c>
      <c r="O16" s="246" t="s">
        <v>67</v>
      </c>
      <c r="P16" s="246" t="s">
        <v>67</v>
      </c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370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</row>
    <row r="17" spans="1:48" s="247" customFormat="1" ht="21.75" customHeight="1">
      <c r="A17" s="242">
        <f t="shared" si="0"/>
        <v>7</v>
      </c>
      <c r="B17" s="242" t="s">
        <v>77</v>
      </c>
      <c r="C17" s="245" t="s">
        <v>82</v>
      </c>
      <c r="D17" s="242" t="s">
        <v>71</v>
      </c>
      <c r="E17" s="236">
        <v>3776000</v>
      </c>
      <c r="F17" s="296">
        <v>3496000</v>
      </c>
      <c r="G17" s="246">
        <v>3496000</v>
      </c>
      <c r="H17" s="246">
        <v>390000</v>
      </c>
      <c r="I17" s="236"/>
      <c r="J17" s="246"/>
      <c r="K17" s="236" t="s">
        <v>67</v>
      </c>
      <c r="L17" s="236" t="s">
        <v>67</v>
      </c>
      <c r="M17" s="236" t="s">
        <v>67</v>
      </c>
      <c r="N17" s="246" t="s">
        <v>67</v>
      </c>
      <c r="O17" s="246" t="s">
        <v>67</v>
      </c>
      <c r="P17" s="246" t="s">
        <v>67</v>
      </c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370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</row>
    <row r="18" spans="1:48" s="247" customFormat="1" ht="21.75" customHeight="1">
      <c r="A18" s="242">
        <f t="shared" si="0"/>
        <v>8</v>
      </c>
      <c r="B18" s="242" t="s">
        <v>78</v>
      </c>
      <c r="C18" s="245" t="s">
        <v>174</v>
      </c>
      <c r="D18" s="248" t="s">
        <v>83</v>
      </c>
      <c r="E18" s="297">
        <v>4056000</v>
      </c>
      <c r="F18" s="296">
        <v>4056000</v>
      </c>
      <c r="G18" s="246">
        <v>4056000</v>
      </c>
      <c r="H18" s="246">
        <v>390000</v>
      </c>
      <c r="I18" s="236"/>
      <c r="J18" s="246"/>
      <c r="K18" s="236" t="s">
        <v>67</v>
      </c>
      <c r="L18" s="236" t="s">
        <v>67</v>
      </c>
      <c r="M18" s="236" t="s">
        <v>67</v>
      </c>
      <c r="N18" s="246" t="s">
        <v>67</v>
      </c>
      <c r="O18" s="246" t="s">
        <v>67</v>
      </c>
      <c r="P18" s="246" t="s">
        <v>67</v>
      </c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370"/>
      <c r="AB18" s="371"/>
      <c r="AC18" s="371"/>
      <c r="AD18" s="371"/>
      <c r="AE18" s="371"/>
      <c r="AF18" s="371"/>
      <c r="AG18" s="371"/>
      <c r="AH18" s="371"/>
      <c r="AI18" s="371"/>
      <c r="AJ18" s="371"/>
      <c r="AK18" s="371"/>
      <c r="AL18" s="371"/>
      <c r="AM18" s="371"/>
      <c r="AN18" s="371"/>
      <c r="AO18" s="371"/>
      <c r="AP18" s="371"/>
      <c r="AQ18" s="371"/>
      <c r="AR18" s="371"/>
      <c r="AS18" s="371"/>
      <c r="AT18" s="371"/>
      <c r="AU18" s="371"/>
      <c r="AV18" s="371"/>
    </row>
    <row r="19" spans="1:48" s="247" customFormat="1" ht="21.75" customHeight="1">
      <c r="A19" s="242">
        <f t="shared" si="0"/>
        <v>9</v>
      </c>
      <c r="B19" s="242" t="s">
        <v>81</v>
      </c>
      <c r="C19" s="245" t="s">
        <v>178</v>
      </c>
      <c r="D19" s="242" t="s">
        <v>80</v>
      </c>
      <c r="E19" s="236">
        <v>4840000</v>
      </c>
      <c r="F19" s="296">
        <v>4840000</v>
      </c>
      <c r="G19" s="246">
        <v>4840000</v>
      </c>
      <c r="H19" s="246">
        <v>390000</v>
      </c>
      <c r="I19" s="236"/>
      <c r="J19" s="246"/>
      <c r="K19" s="236" t="s">
        <v>67</v>
      </c>
      <c r="L19" s="236" t="s">
        <v>67</v>
      </c>
      <c r="M19" s="236" t="s">
        <v>67</v>
      </c>
      <c r="N19" s="246" t="s">
        <v>67</v>
      </c>
      <c r="O19" s="246" t="s">
        <v>67</v>
      </c>
      <c r="P19" s="246" t="s">
        <v>67</v>
      </c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370"/>
      <c r="AB19" s="371"/>
      <c r="AC19" s="371"/>
      <c r="AD19" s="371"/>
      <c r="AE19" s="371"/>
      <c r="AF19" s="371"/>
      <c r="AG19" s="371"/>
      <c r="AH19" s="371"/>
      <c r="AI19" s="371"/>
      <c r="AJ19" s="371"/>
      <c r="AK19" s="371"/>
      <c r="AL19" s="371"/>
      <c r="AM19" s="371"/>
      <c r="AN19" s="371"/>
      <c r="AO19" s="371"/>
      <c r="AP19" s="371"/>
      <c r="AQ19" s="371"/>
      <c r="AR19" s="371"/>
      <c r="AS19" s="371"/>
      <c r="AT19" s="371"/>
      <c r="AU19" s="371"/>
      <c r="AV19" s="371"/>
    </row>
    <row r="20" spans="1:48" s="247" customFormat="1" ht="21.75" customHeight="1">
      <c r="A20" s="242">
        <f t="shared" si="0"/>
        <v>10</v>
      </c>
      <c r="B20" s="242" t="s">
        <v>192</v>
      </c>
      <c r="C20" s="245" t="s">
        <v>193</v>
      </c>
      <c r="D20" s="242" t="s">
        <v>64</v>
      </c>
      <c r="E20" s="296">
        <v>3568000</v>
      </c>
      <c r="F20" s="296">
        <v>3568000</v>
      </c>
      <c r="G20" s="246"/>
      <c r="H20" s="246">
        <v>390000</v>
      </c>
      <c r="I20" s="246"/>
      <c r="J20" s="246"/>
      <c r="K20" s="246" t="s">
        <v>67</v>
      </c>
      <c r="L20" s="246" t="s">
        <v>199</v>
      </c>
      <c r="M20" s="246" t="s">
        <v>199</v>
      </c>
      <c r="N20" s="246" t="s">
        <v>199</v>
      </c>
      <c r="O20" s="246" t="s">
        <v>199</v>
      </c>
      <c r="P20" s="246" t="s">
        <v>199</v>
      </c>
      <c r="Q20" s="246" t="s">
        <v>199</v>
      </c>
      <c r="R20" s="246" t="s">
        <v>199</v>
      </c>
      <c r="S20" s="246" t="s">
        <v>199</v>
      </c>
      <c r="T20" s="246" t="s">
        <v>199</v>
      </c>
      <c r="U20" s="246" t="s">
        <v>199</v>
      </c>
      <c r="V20" s="246" t="s">
        <v>199</v>
      </c>
      <c r="W20" s="246"/>
      <c r="X20" s="246"/>
      <c r="Y20" s="246"/>
      <c r="Z20" s="253"/>
      <c r="AA20" s="370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</row>
    <row r="21" spans="1:48" s="254" customFormat="1" ht="21.75" customHeight="1">
      <c r="A21" s="250">
        <f t="shared" si="0"/>
        <v>11</v>
      </c>
      <c r="B21" s="251" t="s">
        <v>84</v>
      </c>
      <c r="C21" s="252" t="s">
        <v>141</v>
      </c>
      <c r="D21" s="250" t="s">
        <v>111</v>
      </c>
      <c r="E21" s="250"/>
      <c r="F21" s="253">
        <v>3549000</v>
      </c>
      <c r="G21" s="253">
        <v>3237000</v>
      </c>
      <c r="H21" s="253">
        <v>390000</v>
      </c>
      <c r="I21" s="253"/>
      <c r="J21" s="253"/>
      <c r="K21" s="253"/>
      <c r="L21" s="253"/>
      <c r="M21" s="236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372"/>
      <c r="AB21" s="373"/>
      <c r="AC21" s="373"/>
      <c r="AD21" s="373"/>
      <c r="AE21" s="373"/>
      <c r="AF21" s="373"/>
      <c r="AG21" s="373"/>
      <c r="AH21" s="373"/>
      <c r="AI21" s="373"/>
      <c r="AJ21" s="373"/>
      <c r="AK21" s="373"/>
      <c r="AL21" s="373"/>
      <c r="AM21" s="373"/>
      <c r="AN21" s="373"/>
      <c r="AO21" s="373"/>
      <c r="AP21" s="373"/>
      <c r="AQ21" s="373"/>
      <c r="AR21" s="373"/>
      <c r="AS21" s="373"/>
      <c r="AT21" s="373"/>
      <c r="AU21" s="373"/>
      <c r="AV21" s="373"/>
    </row>
    <row r="22" spans="1:48" s="254" customFormat="1" ht="21.75" customHeight="1">
      <c r="A22" s="250">
        <f t="shared" si="0"/>
        <v>12</v>
      </c>
      <c r="B22" s="251" t="s">
        <v>85</v>
      </c>
      <c r="C22" s="252" t="s">
        <v>142</v>
      </c>
      <c r="D22" s="250" t="s">
        <v>111</v>
      </c>
      <c r="E22" s="236">
        <v>3552000</v>
      </c>
      <c r="F22" s="253">
        <v>3317000</v>
      </c>
      <c r="G22" s="253">
        <v>2943000</v>
      </c>
      <c r="H22" s="253">
        <v>390000</v>
      </c>
      <c r="I22" s="236"/>
      <c r="J22" s="253"/>
      <c r="K22" s="253" t="s">
        <v>67</v>
      </c>
      <c r="L22" s="253" t="s">
        <v>67</v>
      </c>
      <c r="M22" s="236" t="s">
        <v>67</v>
      </c>
      <c r="N22" s="253" t="s">
        <v>67</v>
      </c>
      <c r="O22" s="253" t="s">
        <v>67</v>
      </c>
      <c r="P22" s="253" t="s">
        <v>67</v>
      </c>
      <c r="Q22" s="253"/>
      <c r="R22" s="253"/>
      <c r="S22" s="253"/>
      <c r="T22" s="253"/>
      <c r="U22" s="253"/>
      <c r="V22" s="253"/>
      <c r="W22" s="253"/>
      <c r="X22" s="253"/>
      <c r="Y22" s="253"/>
      <c r="Z22" s="253"/>
      <c r="AA22" s="372"/>
      <c r="AB22" s="373"/>
      <c r="AC22" s="373"/>
      <c r="AD22" s="373"/>
      <c r="AE22" s="373"/>
      <c r="AF22" s="373"/>
      <c r="AG22" s="373"/>
      <c r="AH22" s="373"/>
      <c r="AI22" s="373"/>
      <c r="AJ22" s="373"/>
      <c r="AK22" s="373"/>
      <c r="AL22" s="373"/>
      <c r="AM22" s="373"/>
      <c r="AN22" s="373"/>
      <c r="AO22" s="373"/>
      <c r="AP22" s="373"/>
      <c r="AQ22" s="373"/>
      <c r="AR22" s="373"/>
      <c r="AS22" s="373"/>
      <c r="AT22" s="373"/>
      <c r="AU22" s="373"/>
      <c r="AV22" s="373"/>
    </row>
    <row r="23" spans="1:48" s="254" customFormat="1" ht="21.75" customHeight="1">
      <c r="A23" s="250">
        <f t="shared" si="0"/>
        <v>13</v>
      </c>
      <c r="B23" s="251" t="s">
        <v>86</v>
      </c>
      <c r="C23" s="252" t="s">
        <v>143</v>
      </c>
      <c r="D23" s="250" t="s">
        <v>111</v>
      </c>
      <c r="E23" s="253">
        <v>3552000</v>
      </c>
      <c r="F23" s="253">
        <v>3317000</v>
      </c>
      <c r="G23" s="253">
        <v>2943000</v>
      </c>
      <c r="H23" s="253">
        <v>390000</v>
      </c>
      <c r="I23" s="253"/>
      <c r="J23" s="253"/>
      <c r="K23" s="253" t="s">
        <v>67</v>
      </c>
      <c r="L23" s="253" t="s">
        <v>67</v>
      </c>
      <c r="M23" s="236" t="s">
        <v>67</v>
      </c>
      <c r="N23" s="253" t="s">
        <v>67</v>
      </c>
      <c r="O23" s="253" t="s">
        <v>67</v>
      </c>
      <c r="P23" s="253" t="s">
        <v>67</v>
      </c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372"/>
      <c r="AB23" s="373"/>
      <c r="AC23" s="373"/>
      <c r="AD23" s="373"/>
      <c r="AE23" s="373"/>
      <c r="AF23" s="373"/>
      <c r="AG23" s="373"/>
      <c r="AH23" s="373"/>
      <c r="AI23" s="373"/>
      <c r="AJ23" s="373"/>
      <c r="AK23" s="373"/>
      <c r="AL23" s="373"/>
      <c r="AM23" s="373"/>
      <c r="AN23" s="373"/>
      <c r="AO23" s="373"/>
      <c r="AP23" s="373"/>
      <c r="AQ23" s="373"/>
      <c r="AR23" s="373"/>
      <c r="AS23" s="373"/>
      <c r="AT23" s="373"/>
      <c r="AU23" s="373"/>
      <c r="AV23" s="373"/>
    </row>
    <row r="24" spans="1:48" s="254" customFormat="1" ht="21.75" customHeight="1">
      <c r="A24" s="250">
        <f t="shared" si="0"/>
        <v>14</v>
      </c>
      <c r="B24" s="251" t="s">
        <v>87</v>
      </c>
      <c r="C24" s="252" t="s">
        <v>144</v>
      </c>
      <c r="D24" s="250" t="s">
        <v>111</v>
      </c>
      <c r="E24" s="253">
        <v>3552000</v>
      </c>
      <c r="F24" s="253">
        <v>3317000</v>
      </c>
      <c r="G24" s="253">
        <v>2943000</v>
      </c>
      <c r="H24" s="253">
        <v>390000</v>
      </c>
      <c r="I24" s="253"/>
      <c r="J24" s="253"/>
      <c r="K24" s="253" t="s">
        <v>201</v>
      </c>
      <c r="L24" s="253" t="s">
        <v>67</v>
      </c>
      <c r="M24" s="236" t="s">
        <v>67</v>
      </c>
      <c r="N24" s="253" t="s">
        <v>67</v>
      </c>
      <c r="O24" s="253" t="s">
        <v>67</v>
      </c>
      <c r="P24" s="253" t="s">
        <v>67</v>
      </c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372"/>
      <c r="AB24" s="373"/>
      <c r="AC24" s="373"/>
      <c r="AD24" s="373"/>
      <c r="AE24" s="373"/>
      <c r="AF24" s="373"/>
      <c r="AG24" s="373"/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</row>
    <row r="25" spans="1:48" s="254" customFormat="1" ht="21.75" customHeight="1">
      <c r="A25" s="250">
        <f t="shared" si="0"/>
        <v>15</v>
      </c>
      <c r="B25" s="251" t="s">
        <v>88</v>
      </c>
      <c r="C25" s="252" t="s">
        <v>145</v>
      </c>
      <c r="D25" s="250" t="s">
        <v>111</v>
      </c>
      <c r="E25" s="253">
        <v>3552000</v>
      </c>
      <c r="F25" s="253">
        <v>3317000</v>
      </c>
      <c r="G25" s="253">
        <v>2943000</v>
      </c>
      <c r="H25" s="253">
        <v>390000</v>
      </c>
      <c r="I25" s="253"/>
      <c r="J25" s="253"/>
      <c r="K25" s="253" t="s">
        <v>201</v>
      </c>
      <c r="L25" s="253" t="s">
        <v>201</v>
      </c>
      <c r="M25" s="236" t="s">
        <v>67</v>
      </c>
      <c r="N25" s="253" t="s">
        <v>67</v>
      </c>
      <c r="O25" s="253" t="s">
        <v>67</v>
      </c>
      <c r="P25" s="321" t="s">
        <v>67</v>
      </c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372"/>
      <c r="AB25" s="373"/>
      <c r="AC25" s="373"/>
      <c r="AD25" s="373"/>
      <c r="AE25" s="373"/>
      <c r="AF25" s="373"/>
      <c r="AG25" s="373"/>
      <c r="AH25" s="373"/>
      <c r="AI25" s="373"/>
      <c r="AJ25" s="373"/>
      <c r="AK25" s="373"/>
      <c r="AL25" s="373"/>
      <c r="AM25" s="373"/>
      <c r="AN25" s="373"/>
      <c r="AO25" s="373"/>
      <c r="AP25" s="373"/>
      <c r="AQ25" s="373"/>
      <c r="AR25" s="373"/>
      <c r="AS25" s="373"/>
      <c r="AT25" s="373"/>
      <c r="AU25" s="373"/>
      <c r="AV25" s="373"/>
    </row>
    <row r="26" spans="1:48" s="254" customFormat="1" ht="21.75" customHeight="1">
      <c r="A26" s="250">
        <f t="shared" si="0"/>
        <v>16</v>
      </c>
      <c r="B26" s="251" t="s">
        <v>89</v>
      </c>
      <c r="C26" s="252" t="s">
        <v>146</v>
      </c>
      <c r="D26" s="250" t="s">
        <v>111</v>
      </c>
      <c r="E26" s="250"/>
      <c r="F26" s="253">
        <v>3317000</v>
      </c>
      <c r="G26" s="253">
        <v>2943000</v>
      </c>
      <c r="H26" s="253">
        <v>390000</v>
      </c>
      <c r="I26" s="253"/>
      <c r="J26" s="253"/>
      <c r="K26" s="253"/>
      <c r="L26" s="253"/>
      <c r="M26" s="236"/>
      <c r="N26" s="253"/>
      <c r="O26" s="253"/>
      <c r="P26" s="321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372"/>
      <c r="AB26" s="373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</row>
    <row r="27" spans="1:48" s="254" customFormat="1" ht="21.75" customHeight="1">
      <c r="A27" s="250">
        <f t="shared" si="0"/>
        <v>17</v>
      </c>
      <c r="B27" s="251" t="s">
        <v>90</v>
      </c>
      <c r="C27" s="252" t="s">
        <v>147</v>
      </c>
      <c r="D27" s="250" t="s">
        <v>111</v>
      </c>
      <c r="E27" s="250"/>
      <c r="F27" s="253">
        <v>3317000</v>
      </c>
      <c r="G27" s="253">
        <v>2943000</v>
      </c>
      <c r="H27" s="253">
        <v>390000</v>
      </c>
      <c r="I27" s="253"/>
      <c r="J27" s="253"/>
      <c r="K27" s="253"/>
      <c r="L27" s="253"/>
      <c r="M27" s="236"/>
      <c r="N27" s="253"/>
      <c r="O27" s="253"/>
      <c r="P27" s="322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372"/>
      <c r="AB27" s="373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</row>
    <row r="28" spans="1:48" s="254" customFormat="1" ht="21.75" customHeight="1">
      <c r="A28" s="250">
        <f t="shared" si="0"/>
        <v>18</v>
      </c>
      <c r="B28" s="251" t="s">
        <v>91</v>
      </c>
      <c r="C28" s="252" t="s">
        <v>148</v>
      </c>
      <c r="D28" s="250" t="s">
        <v>111</v>
      </c>
      <c r="E28" s="253">
        <v>3552000</v>
      </c>
      <c r="F28" s="253">
        <v>3317000</v>
      </c>
      <c r="G28" s="253">
        <v>2943000</v>
      </c>
      <c r="H28" s="253">
        <v>390000</v>
      </c>
      <c r="I28" s="253"/>
      <c r="J28" s="253"/>
      <c r="K28" s="253" t="s">
        <v>67</v>
      </c>
      <c r="L28" s="253" t="s">
        <v>67</v>
      </c>
      <c r="M28" s="236" t="s">
        <v>67</v>
      </c>
      <c r="N28" s="253" t="s">
        <v>67</v>
      </c>
      <c r="O28" s="253" t="s">
        <v>67</v>
      </c>
      <c r="P28" s="253" t="s">
        <v>67</v>
      </c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372"/>
      <c r="AB28" s="373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  <c r="AN28" s="373"/>
      <c r="AO28" s="373"/>
      <c r="AP28" s="373"/>
      <c r="AQ28" s="373"/>
      <c r="AR28" s="373"/>
      <c r="AS28" s="373"/>
      <c r="AT28" s="373"/>
      <c r="AU28" s="373"/>
      <c r="AV28" s="373"/>
    </row>
    <row r="29" spans="1:48" s="254" customFormat="1" ht="21.75" customHeight="1">
      <c r="A29" s="250">
        <f t="shared" si="0"/>
        <v>19</v>
      </c>
      <c r="B29" s="251" t="s">
        <v>92</v>
      </c>
      <c r="C29" s="252" t="s">
        <v>149</v>
      </c>
      <c r="D29" s="250" t="s">
        <v>111</v>
      </c>
      <c r="E29" s="253">
        <v>3552000</v>
      </c>
      <c r="F29" s="253">
        <v>3317000</v>
      </c>
      <c r="G29" s="253">
        <v>2943000</v>
      </c>
      <c r="H29" s="253">
        <v>390000</v>
      </c>
      <c r="I29" s="253"/>
      <c r="J29" s="253"/>
      <c r="K29" s="253" t="s">
        <v>197</v>
      </c>
      <c r="L29" s="253" t="s">
        <v>197</v>
      </c>
      <c r="M29" s="253" t="s">
        <v>197</v>
      </c>
      <c r="N29" s="253" t="s">
        <v>197</v>
      </c>
      <c r="O29" s="253" t="s">
        <v>197</v>
      </c>
      <c r="P29" s="253" t="s">
        <v>214</v>
      </c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372"/>
      <c r="AB29" s="373"/>
      <c r="AC29" s="373"/>
      <c r="AD29" s="373"/>
      <c r="AE29" s="373"/>
      <c r="AF29" s="373"/>
      <c r="AG29" s="373"/>
      <c r="AH29" s="373"/>
      <c r="AI29" s="373"/>
      <c r="AJ29" s="373"/>
      <c r="AK29" s="373"/>
      <c r="AL29" s="373"/>
      <c r="AM29" s="373"/>
      <c r="AN29" s="373"/>
      <c r="AO29" s="373"/>
      <c r="AP29" s="373"/>
      <c r="AQ29" s="373"/>
      <c r="AR29" s="373"/>
      <c r="AS29" s="373"/>
      <c r="AT29" s="373"/>
      <c r="AU29" s="373"/>
      <c r="AV29" s="373"/>
    </row>
    <row r="30" spans="1:48" s="254" customFormat="1" ht="21.75" customHeight="1">
      <c r="A30" s="250">
        <f t="shared" si="0"/>
        <v>20</v>
      </c>
      <c r="B30" s="251" t="s">
        <v>93</v>
      </c>
      <c r="C30" s="252" t="s">
        <v>150</v>
      </c>
      <c r="D30" s="250" t="s">
        <v>111</v>
      </c>
      <c r="E30" s="250"/>
      <c r="F30" s="253">
        <v>3317000</v>
      </c>
      <c r="G30" s="253">
        <v>2943000</v>
      </c>
      <c r="H30" s="253">
        <v>390000</v>
      </c>
      <c r="I30" s="253"/>
      <c r="J30" s="253"/>
      <c r="K30" s="253"/>
      <c r="L30" s="253"/>
      <c r="M30" s="236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17"/>
      <c r="AA30" s="372"/>
      <c r="AB30" s="373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</row>
    <row r="31" spans="1:48" s="254" customFormat="1" ht="21.75" customHeight="1">
      <c r="A31" s="250">
        <f t="shared" si="0"/>
        <v>21</v>
      </c>
      <c r="B31" s="251" t="s">
        <v>94</v>
      </c>
      <c r="C31" s="252" t="s">
        <v>151</v>
      </c>
      <c r="D31" s="250" t="s">
        <v>111</v>
      </c>
      <c r="E31" s="253">
        <v>3552000</v>
      </c>
      <c r="F31" s="253">
        <v>3317000</v>
      </c>
      <c r="G31" s="253">
        <v>2943000</v>
      </c>
      <c r="H31" s="253">
        <v>390000</v>
      </c>
      <c r="I31" s="253"/>
      <c r="J31" s="253"/>
      <c r="K31" s="253" t="s">
        <v>67</v>
      </c>
      <c r="L31" s="253" t="s">
        <v>67</v>
      </c>
      <c r="M31" s="236" t="s">
        <v>67</v>
      </c>
      <c r="N31" s="253" t="s">
        <v>67</v>
      </c>
      <c r="O31" s="253" t="s">
        <v>67</v>
      </c>
      <c r="P31" s="253" t="s">
        <v>67</v>
      </c>
      <c r="Q31" s="253"/>
      <c r="R31" s="253"/>
      <c r="S31" s="253"/>
      <c r="T31" s="253"/>
      <c r="U31" s="253"/>
      <c r="V31" s="253"/>
      <c r="W31" s="253"/>
      <c r="X31" s="253"/>
      <c r="Y31" s="253"/>
      <c r="Z31" s="17"/>
      <c r="AA31" s="372"/>
      <c r="AB31" s="373"/>
      <c r="AC31" s="373"/>
      <c r="AD31" s="373"/>
      <c r="AE31" s="373"/>
      <c r="AF31" s="373"/>
      <c r="AG31" s="373"/>
      <c r="AH31" s="373"/>
      <c r="AI31" s="373"/>
      <c r="AJ31" s="373"/>
      <c r="AK31" s="373"/>
      <c r="AL31" s="373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</row>
    <row r="32" spans="1:48" s="254" customFormat="1" ht="21.75" customHeight="1">
      <c r="A32" s="250">
        <f t="shared" si="0"/>
        <v>22</v>
      </c>
      <c r="B32" s="251" t="s">
        <v>95</v>
      </c>
      <c r="C32" s="252" t="s">
        <v>153</v>
      </c>
      <c r="D32" s="250" t="s">
        <v>111</v>
      </c>
      <c r="E32" s="253"/>
      <c r="F32" s="253">
        <v>3317000</v>
      </c>
      <c r="G32" s="253">
        <v>2943000</v>
      </c>
      <c r="H32" s="253">
        <v>390000</v>
      </c>
      <c r="I32" s="253"/>
      <c r="J32" s="253"/>
      <c r="K32" s="253" t="s">
        <v>200</v>
      </c>
      <c r="L32" s="253" t="s">
        <v>198</v>
      </c>
      <c r="M32" s="253" t="s">
        <v>198</v>
      </c>
      <c r="N32" s="253" t="s">
        <v>198</v>
      </c>
      <c r="O32" s="253" t="s">
        <v>198</v>
      </c>
      <c r="P32" s="253" t="s">
        <v>198</v>
      </c>
      <c r="Q32" s="253" t="s">
        <v>198</v>
      </c>
      <c r="R32" s="253" t="s">
        <v>198</v>
      </c>
      <c r="S32" s="253" t="s">
        <v>198</v>
      </c>
      <c r="T32" s="253" t="s">
        <v>198</v>
      </c>
      <c r="U32" s="253" t="s">
        <v>198</v>
      </c>
      <c r="V32" s="253" t="s">
        <v>198</v>
      </c>
      <c r="W32" s="253"/>
      <c r="X32" s="253"/>
      <c r="Y32" s="253"/>
      <c r="Z32" s="17"/>
      <c r="AA32" s="372"/>
      <c r="AB32" s="373"/>
      <c r="AC32" s="373"/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373"/>
      <c r="AR32" s="373"/>
      <c r="AS32" s="373"/>
      <c r="AT32" s="373"/>
      <c r="AU32" s="373"/>
      <c r="AV32" s="373"/>
    </row>
    <row r="33" spans="1:48" s="254" customFormat="1" ht="21.75" customHeight="1">
      <c r="A33" s="250">
        <f t="shared" si="0"/>
        <v>23</v>
      </c>
      <c r="B33" s="251" t="s">
        <v>96</v>
      </c>
      <c r="C33" s="252" t="s">
        <v>154</v>
      </c>
      <c r="D33" s="250" t="s">
        <v>111</v>
      </c>
      <c r="E33" s="250"/>
      <c r="F33" s="253">
        <v>3317000</v>
      </c>
      <c r="G33" s="253">
        <v>2943000</v>
      </c>
      <c r="H33" s="253">
        <v>390000</v>
      </c>
      <c r="I33" s="253"/>
      <c r="J33" s="253"/>
      <c r="K33" s="253"/>
      <c r="L33" s="253"/>
      <c r="M33" s="236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17"/>
      <c r="AA33" s="372"/>
      <c r="AB33" s="373"/>
      <c r="AC33" s="373"/>
      <c r="AD33" s="373"/>
      <c r="AE33" s="373"/>
      <c r="AF33" s="373"/>
      <c r="AG33" s="373"/>
      <c r="AH33" s="373"/>
      <c r="AI33" s="373"/>
      <c r="AJ33" s="373"/>
      <c r="AK33" s="373"/>
      <c r="AL33" s="373"/>
      <c r="AM33" s="373"/>
      <c r="AN33" s="373"/>
      <c r="AO33" s="373"/>
      <c r="AP33" s="373"/>
      <c r="AQ33" s="373"/>
      <c r="AR33" s="373"/>
      <c r="AS33" s="373"/>
      <c r="AT33" s="373"/>
      <c r="AU33" s="373"/>
      <c r="AV33" s="373"/>
    </row>
    <row r="34" spans="1:48" s="254" customFormat="1" ht="21.75" customHeight="1">
      <c r="A34" s="250">
        <f t="shared" si="0"/>
        <v>24</v>
      </c>
      <c r="B34" s="251" t="s">
        <v>97</v>
      </c>
      <c r="C34" s="252" t="s">
        <v>155</v>
      </c>
      <c r="D34" s="250" t="s">
        <v>111</v>
      </c>
      <c r="E34" s="250"/>
      <c r="F34" s="253">
        <v>3317000</v>
      </c>
      <c r="G34" s="253">
        <v>2943000</v>
      </c>
      <c r="H34" s="253">
        <v>390000</v>
      </c>
      <c r="I34" s="253"/>
      <c r="J34" s="253"/>
      <c r="K34" s="253"/>
      <c r="L34" s="253"/>
      <c r="M34" s="236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390"/>
      <c r="AA34" s="372"/>
      <c r="AB34" s="373"/>
      <c r="AC34" s="373"/>
      <c r="AD34" s="373"/>
      <c r="AE34" s="373"/>
      <c r="AF34" s="373"/>
      <c r="AG34" s="373"/>
      <c r="AH34" s="373"/>
      <c r="AI34" s="373"/>
      <c r="AJ34" s="373"/>
      <c r="AK34" s="373"/>
      <c r="AL34" s="373"/>
      <c r="AM34" s="373"/>
      <c r="AN34" s="373"/>
      <c r="AO34" s="373"/>
      <c r="AP34" s="373"/>
      <c r="AQ34" s="373"/>
      <c r="AR34" s="373"/>
      <c r="AS34" s="373"/>
      <c r="AT34" s="373"/>
      <c r="AU34" s="373"/>
      <c r="AV34" s="373"/>
    </row>
    <row r="35" spans="1:48" s="254" customFormat="1" ht="21.75" customHeight="1">
      <c r="A35" s="250">
        <f t="shared" si="0"/>
        <v>25</v>
      </c>
      <c r="B35" s="251" t="s">
        <v>98</v>
      </c>
      <c r="C35" s="252" t="s">
        <v>156</v>
      </c>
      <c r="D35" s="250" t="s">
        <v>111</v>
      </c>
      <c r="E35" s="250"/>
      <c r="F35" s="253">
        <v>3317000</v>
      </c>
      <c r="G35" s="253">
        <v>2943000</v>
      </c>
      <c r="H35" s="253">
        <v>390000</v>
      </c>
      <c r="I35" s="253"/>
      <c r="J35" s="253"/>
      <c r="K35" s="253"/>
      <c r="L35" s="253"/>
      <c r="M35" s="236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390"/>
      <c r="AA35" s="372"/>
      <c r="AB35" s="373"/>
      <c r="AC35" s="373"/>
      <c r="AD35" s="373"/>
      <c r="AE35" s="373"/>
      <c r="AF35" s="373"/>
      <c r="AG35" s="373"/>
      <c r="AH35" s="373"/>
      <c r="AI35" s="373"/>
      <c r="AJ35" s="373"/>
      <c r="AK35" s="373"/>
      <c r="AL35" s="373"/>
      <c r="AM35" s="373"/>
      <c r="AN35" s="373"/>
      <c r="AO35" s="373"/>
      <c r="AP35" s="373"/>
      <c r="AQ35" s="373"/>
      <c r="AR35" s="373"/>
      <c r="AS35" s="373"/>
      <c r="AT35" s="373"/>
      <c r="AU35" s="373"/>
      <c r="AV35" s="373"/>
    </row>
    <row r="36" spans="1:48" s="254" customFormat="1" ht="21.75" customHeight="1">
      <c r="A36" s="250">
        <f t="shared" si="0"/>
        <v>26</v>
      </c>
      <c r="B36" s="251" t="s">
        <v>99</v>
      </c>
      <c r="C36" s="252" t="s">
        <v>157</v>
      </c>
      <c r="D36" s="250" t="s">
        <v>111</v>
      </c>
      <c r="E36" s="250"/>
      <c r="F36" s="253">
        <v>3317000</v>
      </c>
      <c r="G36" s="253">
        <v>2943000</v>
      </c>
      <c r="H36" s="253">
        <v>390000</v>
      </c>
      <c r="I36" s="253"/>
      <c r="J36" s="253"/>
      <c r="K36" s="253"/>
      <c r="L36" s="253"/>
      <c r="M36" s="236"/>
      <c r="N36" s="253"/>
      <c r="O36" s="253"/>
      <c r="P36" s="320"/>
      <c r="Q36" s="253"/>
      <c r="R36" s="253"/>
      <c r="S36" s="253"/>
      <c r="T36" s="253"/>
      <c r="U36" s="253"/>
      <c r="V36" s="253"/>
      <c r="W36" s="253"/>
      <c r="X36" s="253"/>
      <c r="Y36" s="253"/>
      <c r="Z36" s="390"/>
      <c r="AA36" s="372"/>
      <c r="AB36" s="373"/>
      <c r="AC36" s="373"/>
      <c r="AD36" s="373"/>
      <c r="AE36" s="373"/>
      <c r="AF36" s="373"/>
      <c r="AG36" s="373"/>
      <c r="AH36" s="373"/>
      <c r="AI36" s="373"/>
      <c r="AJ36" s="373"/>
      <c r="AK36" s="373"/>
      <c r="AL36" s="373"/>
      <c r="AM36" s="373"/>
      <c r="AN36" s="373"/>
      <c r="AO36" s="373"/>
      <c r="AP36" s="373"/>
      <c r="AQ36" s="373"/>
      <c r="AR36" s="373"/>
      <c r="AS36" s="373"/>
      <c r="AT36" s="373"/>
      <c r="AU36" s="373"/>
      <c r="AV36" s="373"/>
    </row>
    <row r="37" spans="1:48" s="254" customFormat="1" ht="21.75" customHeight="1">
      <c r="A37" s="250">
        <f t="shared" si="0"/>
        <v>27</v>
      </c>
      <c r="B37" s="251" t="s">
        <v>100</v>
      </c>
      <c r="C37" s="252" t="s">
        <v>158</v>
      </c>
      <c r="D37" s="250" t="s">
        <v>111</v>
      </c>
      <c r="E37" s="253">
        <v>3552000</v>
      </c>
      <c r="F37" s="253">
        <v>3317000</v>
      </c>
      <c r="G37" s="253">
        <v>2943000</v>
      </c>
      <c r="H37" s="253">
        <v>390000</v>
      </c>
      <c r="I37" s="253"/>
      <c r="J37" s="253"/>
      <c r="K37" s="253" t="s">
        <v>197</v>
      </c>
      <c r="L37" s="253" t="s">
        <v>197</v>
      </c>
      <c r="M37" s="253" t="s">
        <v>197</v>
      </c>
      <c r="N37" s="253" t="s">
        <v>197</v>
      </c>
      <c r="O37" s="253" t="s">
        <v>197</v>
      </c>
      <c r="P37" s="253" t="s">
        <v>197</v>
      </c>
      <c r="Q37" s="253" t="s">
        <v>214</v>
      </c>
      <c r="R37" s="253"/>
      <c r="S37" s="253"/>
      <c r="T37" s="253"/>
      <c r="U37" s="253"/>
      <c r="V37" s="253"/>
      <c r="W37" s="253"/>
      <c r="X37" s="253"/>
      <c r="Y37" s="253"/>
      <c r="Z37" s="390"/>
      <c r="AA37" s="372"/>
      <c r="AB37" s="373"/>
      <c r="AC37" s="373"/>
      <c r="AD37" s="373"/>
      <c r="AE37" s="373"/>
      <c r="AF37" s="373"/>
      <c r="AG37" s="373"/>
      <c r="AH37" s="373"/>
      <c r="AI37" s="373"/>
      <c r="AJ37" s="373"/>
      <c r="AK37" s="373"/>
      <c r="AL37" s="373"/>
      <c r="AM37" s="373"/>
      <c r="AN37" s="373"/>
      <c r="AO37" s="373"/>
      <c r="AP37" s="373"/>
      <c r="AQ37" s="373"/>
      <c r="AR37" s="373"/>
      <c r="AS37" s="373"/>
      <c r="AT37" s="373"/>
      <c r="AU37" s="373"/>
      <c r="AV37" s="373"/>
    </row>
    <row r="38" spans="1:48" s="254" customFormat="1" ht="36" customHeight="1">
      <c r="A38" s="250">
        <f t="shared" si="0"/>
        <v>28</v>
      </c>
      <c r="B38" s="251" t="s">
        <v>101</v>
      </c>
      <c r="C38" s="252" t="s">
        <v>162</v>
      </c>
      <c r="D38" s="250" t="s">
        <v>111</v>
      </c>
      <c r="E38" s="253">
        <v>3552000</v>
      </c>
      <c r="F38" s="253">
        <v>3317000</v>
      </c>
      <c r="G38" s="253">
        <v>2943000</v>
      </c>
      <c r="H38" s="253">
        <v>390000</v>
      </c>
      <c r="I38" s="253"/>
      <c r="J38" s="253"/>
      <c r="K38" s="253" t="s">
        <v>67</v>
      </c>
      <c r="L38" s="253" t="s">
        <v>67</v>
      </c>
      <c r="M38" s="236" t="s">
        <v>67</v>
      </c>
      <c r="N38" s="253" t="s">
        <v>67</v>
      </c>
      <c r="O38" s="253" t="s">
        <v>67</v>
      </c>
      <c r="P38" s="253" t="s">
        <v>216</v>
      </c>
      <c r="Q38" s="253" t="s">
        <v>217</v>
      </c>
      <c r="R38" s="253"/>
      <c r="S38" s="253"/>
      <c r="T38" s="253"/>
      <c r="U38" s="253"/>
      <c r="V38" s="253"/>
      <c r="W38" s="253"/>
      <c r="X38" s="253"/>
      <c r="Y38" s="253"/>
      <c r="Z38" s="236"/>
      <c r="AA38" s="372"/>
      <c r="AB38" s="373"/>
      <c r="AC38" s="373"/>
      <c r="AD38" s="373"/>
      <c r="AE38" s="373"/>
      <c r="AF38" s="373"/>
      <c r="AG38" s="373"/>
      <c r="AH38" s="373"/>
      <c r="AI38" s="373"/>
      <c r="AJ38" s="373"/>
      <c r="AK38" s="373"/>
      <c r="AL38" s="373"/>
      <c r="AM38" s="373"/>
      <c r="AN38" s="373"/>
      <c r="AO38" s="373"/>
      <c r="AP38" s="373"/>
      <c r="AQ38" s="373"/>
      <c r="AR38" s="373"/>
      <c r="AS38" s="373"/>
      <c r="AT38" s="373"/>
      <c r="AU38" s="373"/>
      <c r="AV38" s="373"/>
    </row>
    <row r="39" spans="1:48" s="254" customFormat="1" ht="21.75" customHeight="1">
      <c r="A39" s="250">
        <f t="shared" si="0"/>
        <v>29</v>
      </c>
      <c r="B39" s="251" t="s">
        <v>102</v>
      </c>
      <c r="C39" s="252" t="s">
        <v>164</v>
      </c>
      <c r="D39" s="250" t="s">
        <v>111</v>
      </c>
      <c r="E39" s="253">
        <v>3552000</v>
      </c>
      <c r="F39" s="253">
        <v>3317000</v>
      </c>
      <c r="G39" s="253">
        <v>2943000</v>
      </c>
      <c r="H39" s="253">
        <v>390000</v>
      </c>
      <c r="I39" s="253"/>
      <c r="J39" s="253"/>
      <c r="K39" s="253" t="s">
        <v>67</v>
      </c>
      <c r="L39" s="253" t="s">
        <v>67</v>
      </c>
      <c r="M39" s="236" t="s">
        <v>67</v>
      </c>
      <c r="N39" s="253" t="s">
        <v>67</v>
      </c>
      <c r="O39" s="253" t="s">
        <v>67</v>
      </c>
      <c r="P39" s="253" t="s">
        <v>67</v>
      </c>
      <c r="Q39" s="253"/>
      <c r="R39" s="253"/>
      <c r="S39" s="253"/>
      <c r="T39" s="253"/>
      <c r="U39" s="253"/>
      <c r="V39" s="253"/>
      <c r="W39" s="253"/>
      <c r="X39" s="253"/>
      <c r="Y39" s="253"/>
      <c r="Z39" s="236"/>
      <c r="AA39" s="372"/>
      <c r="AB39" s="373"/>
      <c r="AC39" s="373"/>
      <c r="AD39" s="373"/>
      <c r="AE39" s="373"/>
      <c r="AF39" s="373"/>
      <c r="AG39" s="373"/>
      <c r="AH39" s="373"/>
      <c r="AI39" s="373"/>
      <c r="AJ39" s="373"/>
      <c r="AK39" s="373"/>
      <c r="AL39" s="373"/>
      <c r="AM39" s="373"/>
      <c r="AN39" s="373"/>
      <c r="AO39" s="373"/>
      <c r="AP39" s="373"/>
      <c r="AQ39" s="373"/>
      <c r="AR39" s="373"/>
      <c r="AS39" s="373"/>
      <c r="AT39" s="373"/>
      <c r="AU39" s="373"/>
      <c r="AV39" s="373"/>
    </row>
    <row r="40" spans="1:48" s="254" customFormat="1" ht="21.75" customHeight="1">
      <c r="A40" s="250">
        <f t="shared" si="0"/>
        <v>30</v>
      </c>
      <c r="B40" s="251" t="s">
        <v>103</v>
      </c>
      <c r="C40" s="252" t="s">
        <v>169</v>
      </c>
      <c r="D40" s="250" t="s">
        <v>111</v>
      </c>
      <c r="E40" s="253">
        <v>3552000</v>
      </c>
      <c r="F40" s="253">
        <v>3317000</v>
      </c>
      <c r="G40" s="253">
        <v>2943000</v>
      </c>
      <c r="H40" s="253">
        <v>390000</v>
      </c>
      <c r="I40" s="253"/>
      <c r="J40" s="253"/>
      <c r="K40" s="253" t="s">
        <v>67</v>
      </c>
      <c r="L40" s="253" t="s">
        <v>67</v>
      </c>
      <c r="M40" s="236" t="s">
        <v>67</v>
      </c>
      <c r="N40" s="253" t="s">
        <v>67</v>
      </c>
      <c r="O40" s="253" t="s">
        <v>67</v>
      </c>
      <c r="P40" s="253" t="s">
        <v>67</v>
      </c>
      <c r="Q40" s="253"/>
      <c r="R40" s="253"/>
      <c r="S40" s="253"/>
      <c r="T40" s="253"/>
      <c r="U40" s="253"/>
      <c r="V40" s="253"/>
      <c r="W40" s="253"/>
      <c r="X40" s="253"/>
      <c r="Y40" s="253"/>
      <c r="Z40" s="246"/>
      <c r="AA40" s="372"/>
      <c r="AB40" s="373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373"/>
      <c r="AV40" s="373"/>
    </row>
    <row r="41" spans="1:48" s="254" customFormat="1" ht="21.75" customHeight="1">
      <c r="A41" s="250">
        <f t="shared" si="0"/>
        <v>31</v>
      </c>
      <c r="B41" s="251" t="s">
        <v>104</v>
      </c>
      <c r="C41" s="252" t="s">
        <v>177</v>
      </c>
      <c r="D41" s="250" t="s">
        <v>111</v>
      </c>
      <c r="E41" s="253">
        <v>3552000</v>
      </c>
      <c r="F41" s="253">
        <v>3317000</v>
      </c>
      <c r="G41" s="253">
        <v>2943000</v>
      </c>
      <c r="H41" s="253">
        <v>390000</v>
      </c>
      <c r="I41" s="253"/>
      <c r="J41" s="253"/>
      <c r="K41" s="253" t="s">
        <v>67</v>
      </c>
      <c r="L41" s="253" t="s">
        <v>67</v>
      </c>
      <c r="M41" s="236" t="s">
        <v>67</v>
      </c>
      <c r="N41" s="253" t="s">
        <v>67</v>
      </c>
      <c r="O41" s="253" t="s">
        <v>67</v>
      </c>
      <c r="P41" s="253" t="s">
        <v>215</v>
      </c>
      <c r="Q41" s="253"/>
      <c r="R41" s="253"/>
      <c r="S41" s="253"/>
      <c r="T41" s="253"/>
      <c r="U41" s="253"/>
      <c r="V41" s="253"/>
      <c r="W41" s="253"/>
      <c r="X41" s="253"/>
      <c r="Y41" s="253"/>
      <c r="Z41" s="246"/>
      <c r="AA41" s="372"/>
      <c r="AB41" s="373"/>
      <c r="AC41" s="373"/>
      <c r="AD41" s="373"/>
      <c r="AE41" s="373"/>
      <c r="AF41" s="373"/>
      <c r="AG41" s="373"/>
      <c r="AH41" s="373"/>
      <c r="AI41" s="373"/>
      <c r="AJ41" s="373"/>
      <c r="AK41" s="373"/>
      <c r="AL41" s="373"/>
      <c r="AM41" s="373"/>
      <c r="AN41" s="373"/>
      <c r="AO41" s="373"/>
      <c r="AP41" s="373"/>
      <c r="AQ41" s="373"/>
      <c r="AR41" s="373"/>
      <c r="AS41" s="373"/>
      <c r="AT41" s="373"/>
      <c r="AU41" s="373"/>
      <c r="AV41" s="373"/>
    </row>
    <row r="42" spans="1:48" ht="21.75" customHeight="1">
      <c r="A42" s="16">
        <f t="shared" si="0"/>
        <v>32</v>
      </c>
      <c r="B42" s="16" t="s">
        <v>113</v>
      </c>
      <c r="C42" s="79" t="s">
        <v>124</v>
      </c>
      <c r="D42" s="126" t="s">
        <v>111</v>
      </c>
      <c r="E42" s="36">
        <v>3776000</v>
      </c>
      <c r="F42" s="17">
        <v>3549000</v>
      </c>
      <c r="G42" s="17">
        <v>3237000</v>
      </c>
      <c r="H42" s="17">
        <v>390000</v>
      </c>
      <c r="I42" s="17"/>
      <c r="J42" s="17"/>
      <c r="K42" s="17" t="s">
        <v>67</v>
      </c>
      <c r="L42" s="17" t="s">
        <v>67</v>
      </c>
      <c r="M42" s="236" t="s">
        <v>67</v>
      </c>
      <c r="N42" s="17" t="s">
        <v>67</v>
      </c>
      <c r="O42" s="17" t="s">
        <v>67</v>
      </c>
      <c r="P42" s="17" t="s">
        <v>67</v>
      </c>
      <c r="Q42" s="17"/>
      <c r="R42" s="17"/>
      <c r="S42" s="17"/>
      <c r="T42" s="17"/>
      <c r="U42" s="17"/>
      <c r="V42" s="17"/>
      <c r="W42" s="17"/>
      <c r="X42" s="17"/>
      <c r="Y42" s="17"/>
      <c r="Z42" s="246"/>
    </row>
    <row r="43" spans="1:48" ht="21.75" customHeight="1">
      <c r="A43" s="16">
        <f t="shared" si="0"/>
        <v>33</v>
      </c>
      <c r="B43" s="16" t="s">
        <v>114</v>
      </c>
      <c r="C43" s="79" t="s">
        <v>125</v>
      </c>
      <c r="D43" s="126" t="s">
        <v>111</v>
      </c>
      <c r="E43" s="126"/>
      <c r="F43" s="17">
        <v>3317000</v>
      </c>
      <c r="G43" s="17">
        <v>2943000</v>
      </c>
      <c r="H43" s="17">
        <v>390000</v>
      </c>
      <c r="I43" s="17"/>
      <c r="J43" s="17"/>
      <c r="K43" s="17"/>
      <c r="L43" s="17"/>
      <c r="M43" s="236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46"/>
    </row>
    <row r="44" spans="1:48" ht="21.75" customHeight="1">
      <c r="A44" s="16">
        <f t="shared" si="0"/>
        <v>34</v>
      </c>
      <c r="B44" s="16" t="s">
        <v>115</v>
      </c>
      <c r="C44" s="79" t="s">
        <v>126</v>
      </c>
      <c r="D44" s="126" t="s">
        <v>111</v>
      </c>
      <c r="E44" s="126"/>
      <c r="F44" s="17">
        <v>3317000</v>
      </c>
      <c r="G44" s="17">
        <v>2943000</v>
      </c>
      <c r="H44" s="17">
        <v>390000</v>
      </c>
      <c r="I44" s="17"/>
      <c r="J44" s="17"/>
      <c r="K44" s="17"/>
      <c r="L44" s="17"/>
      <c r="M44" s="236"/>
      <c r="N44" s="17"/>
      <c r="O44" s="17"/>
      <c r="P44" s="323"/>
      <c r="Q44" s="17"/>
      <c r="R44" s="17"/>
      <c r="S44" s="17"/>
      <c r="T44" s="17"/>
      <c r="U44" s="17"/>
      <c r="V44" s="17"/>
      <c r="W44" s="17"/>
      <c r="X44" s="17"/>
      <c r="Y44" s="17"/>
      <c r="Z44" s="246"/>
    </row>
    <row r="45" spans="1:48" ht="21.75" customHeight="1">
      <c r="A45" s="16">
        <f t="shared" si="0"/>
        <v>35</v>
      </c>
      <c r="B45" s="16" t="s">
        <v>116</v>
      </c>
      <c r="C45" s="79" t="s">
        <v>176</v>
      </c>
      <c r="D45" s="126" t="s">
        <v>111</v>
      </c>
      <c r="E45" s="126"/>
      <c r="F45" s="17">
        <v>3317000</v>
      </c>
      <c r="G45" s="17">
        <v>2943000</v>
      </c>
      <c r="H45" s="17">
        <v>390000</v>
      </c>
      <c r="I45" s="17"/>
      <c r="J45" s="17"/>
      <c r="K45" s="17"/>
      <c r="L45" s="17"/>
      <c r="M45" s="236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46"/>
    </row>
    <row r="46" spans="1:48" ht="21.75" customHeight="1">
      <c r="A46" s="16">
        <f t="shared" si="0"/>
        <v>36</v>
      </c>
      <c r="B46" s="16" t="s">
        <v>117</v>
      </c>
      <c r="C46" s="79" t="s">
        <v>128</v>
      </c>
      <c r="D46" s="126" t="s">
        <v>111</v>
      </c>
      <c r="E46" s="126"/>
      <c r="F46" s="17">
        <v>3317000</v>
      </c>
      <c r="G46" s="17">
        <v>2943000</v>
      </c>
      <c r="H46" s="17">
        <v>390000</v>
      </c>
      <c r="I46" s="17"/>
      <c r="J46" s="17"/>
      <c r="K46" s="17"/>
      <c r="L46" s="17"/>
      <c r="M46" s="236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46"/>
    </row>
    <row r="47" spans="1:48" ht="21.75" customHeight="1">
      <c r="A47" s="16">
        <f t="shared" si="0"/>
        <v>37</v>
      </c>
      <c r="B47" s="16" t="s">
        <v>118</v>
      </c>
      <c r="C47" s="79" t="s">
        <v>163</v>
      </c>
      <c r="D47" s="126" t="s">
        <v>111</v>
      </c>
      <c r="E47" s="36">
        <v>3552000</v>
      </c>
      <c r="F47" s="17">
        <v>3317000</v>
      </c>
      <c r="G47" s="17">
        <v>2943000</v>
      </c>
      <c r="H47" s="17">
        <v>390000</v>
      </c>
      <c r="I47" s="17"/>
      <c r="J47" s="17"/>
      <c r="K47" s="17" t="s">
        <v>67</v>
      </c>
      <c r="L47" s="17" t="s">
        <v>67</v>
      </c>
      <c r="M47" s="236" t="s">
        <v>67</v>
      </c>
      <c r="N47" s="17" t="s">
        <v>67</v>
      </c>
      <c r="O47" s="17" t="s">
        <v>67</v>
      </c>
      <c r="P47" s="17" t="s">
        <v>67</v>
      </c>
      <c r="Q47" s="17"/>
      <c r="R47" s="17"/>
      <c r="S47" s="17"/>
      <c r="T47" s="17"/>
      <c r="U47" s="17"/>
      <c r="V47" s="17"/>
      <c r="W47" s="17"/>
      <c r="X47" s="17"/>
      <c r="Y47" s="17"/>
      <c r="Z47" s="253"/>
    </row>
    <row r="48" spans="1:48" ht="21.75" customHeight="1">
      <c r="A48" s="16">
        <f t="shared" si="0"/>
        <v>38</v>
      </c>
      <c r="B48" s="16" t="s">
        <v>119</v>
      </c>
      <c r="C48" s="79" t="s">
        <v>170</v>
      </c>
      <c r="D48" s="126" t="s">
        <v>111</v>
      </c>
      <c r="E48" s="36">
        <v>3552000</v>
      </c>
      <c r="F48" s="17">
        <v>3317000</v>
      </c>
      <c r="G48" s="17">
        <v>2943000</v>
      </c>
      <c r="H48" s="17">
        <v>390000</v>
      </c>
      <c r="I48" s="17"/>
      <c r="J48" s="17"/>
      <c r="K48" s="17" t="s">
        <v>67</v>
      </c>
      <c r="L48" s="17" t="s">
        <v>67</v>
      </c>
      <c r="M48" s="236" t="s">
        <v>67</v>
      </c>
      <c r="N48" s="17" t="s">
        <v>67</v>
      </c>
      <c r="O48" s="17" t="s">
        <v>67</v>
      </c>
      <c r="P48" s="17" t="s">
        <v>67</v>
      </c>
      <c r="Q48" s="17"/>
      <c r="R48" s="17"/>
      <c r="S48" s="17"/>
      <c r="T48" s="17"/>
      <c r="U48" s="17"/>
      <c r="V48" s="17"/>
      <c r="W48" s="17"/>
      <c r="X48" s="17"/>
      <c r="Y48" s="17"/>
      <c r="Z48" s="253"/>
    </row>
    <row r="49" spans="1:48" ht="21.75" customHeight="1">
      <c r="A49" s="16">
        <f t="shared" si="0"/>
        <v>39</v>
      </c>
      <c r="B49" s="16" t="s">
        <v>120</v>
      </c>
      <c r="C49" s="79" t="s">
        <v>171</v>
      </c>
      <c r="D49" s="126" t="s">
        <v>111</v>
      </c>
      <c r="E49" s="126"/>
      <c r="F49" s="17">
        <v>3317000</v>
      </c>
      <c r="G49" s="17">
        <v>2943000</v>
      </c>
      <c r="H49" s="17">
        <v>390000</v>
      </c>
      <c r="I49" s="17"/>
      <c r="J49" s="17"/>
      <c r="K49" s="17"/>
      <c r="L49" s="17" t="s">
        <v>194</v>
      </c>
      <c r="M49" s="236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53"/>
    </row>
    <row r="50" spans="1:48" ht="21.75" customHeight="1">
      <c r="A50" s="16">
        <f t="shared" si="0"/>
        <v>40</v>
      </c>
      <c r="B50" s="16" t="s">
        <v>121</v>
      </c>
      <c r="C50" s="79" t="s">
        <v>172</v>
      </c>
      <c r="D50" s="126" t="s">
        <v>111</v>
      </c>
      <c r="E50" s="126"/>
      <c r="F50" s="17">
        <v>3317000</v>
      </c>
      <c r="G50" s="17">
        <v>2943000</v>
      </c>
      <c r="H50" s="17">
        <v>390000</v>
      </c>
      <c r="I50" s="17"/>
      <c r="J50" s="17"/>
      <c r="K50" s="17"/>
      <c r="L50" s="17"/>
      <c r="M50" s="236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53"/>
    </row>
    <row r="51" spans="1:48" ht="21.75" customHeight="1">
      <c r="A51" s="16">
        <f t="shared" si="0"/>
        <v>41</v>
      </c>
      <c r="B51" s="16" t="s">
        <v>122</v>
      </c>
      <c r="C51" s="79" t="s">
        <v>173</v>
      </c>
      <c r="D51" s="126" t="s">
        <v>111</v>
      </c>
      <c r="E51" s="36">
        <v>3552000</v>
      </c>
      <c r="F51" s="17">
        <v>3317000</v>
      </c>
      <c r="G51" s="17">
        <v>2943000</v>
      </c>
      <c r="H51" s="17">
        <v>390000</v>
      </c>
      <c r="I51" s="17"/>
      <c r="J51" s="17"/>
      <c r="K51" s="17" t="s">
        <v>67</v>
      </c>
      <c r="L51" s="17" t="s">
        <v>67</v>
      </c>
      <c r="M51" s="350" t="s">
        <v>67</v>
      </c>
      <c r="N51" s="17" t="s">
        <v>67</v>
      </c>
      <c r="O51" s="17" t="s">
        <v>67</v>
      </c>
      <c r="P51" s="17" t="s">
        <v>67</v>
      </c>
      <c r="Q51" s="17"/>
      <c r="R51" s="17"/>
      <c r="S51" s="17"/>
      <c r="T51" s="17"/>
      <c r="U51" s="17"/>
      <c r="V51" s="17"/>
      <c r="W51" s="17"/>
      <c r="X51" s="17"/>
      <c r="Y51" s="17"/>
      <c r="Z51" s="253"/>
    </row>
    <row r="52" spans="1:48" s="335" customFormat="1" ht="21.75" customHeight="1">
      <c r="A52" s="386">
        <f t="shared" si="0"/>
        <v>42</v>
      </c>
      <c r="B52" s="387" t="s">
        <v>208</v>
      </c>
      <c r="C52" s="388" t="s">
        <v>203</v>
      </c>
      <c r="D52" s="389" t="s">
        <v>191</v>
      </c>
      <c r="E52" s="390">
        <v>4362000</v>
      </c>
      <c r="F52" s="390"/>
      <c r="G52" s="390"/>
      <c r="H52" s="390"/>
      <c r="I52" s="390"/>
      <c r="J52" s="390"/>
      <c r="K52" s="390"/>
      <c r="L52" s="390"/>
      <c r="M52" s="394" t="s">
        <v>67</v>
      </c>
      <c r="N52" s="390" t="s">
        <v>67</v>
      </c>
      <c r="O52" s="390" t="s">
        <v>67</v>
      </c>
      <c r="P52" s="390" t="s">
        <v>67</v>
      </c>
      <c r="Q52" s="390"/>
      <c r="R52" s="390"/>
      <c r="S52" s="390"/>
      <c r="T52" s="390"/>
      <c r="U52" s="390"/>
      <c r="V52" s="390"/>
      <c r="W52" s="390"/>
      <c r="X52" s="390"/>
      <c r="Y52" s="390"/>
      <c r="Z52" s="253"/>
      <c r="AA52" s="363"/>
    </row>
    <row r="53" spans="1:48" s="335" customFormat="1" ht="15">
      <c r="A53" s="386">
        <f t="shared" si="0"/>
        <v>43</v>
      </c>
      <c r="B53" s="386" t="s">
        <v>207</v>
      </c>
      <c r="C53" s="392" t="s">
        <v>204</v>
      </c>
      <c r="D53" s="389" t="s">
        <v>191</v>
      </c>
      <c r="E53" s="390">
        <v>4362000</v>
      </c>
      <c r="F53" s="390"/>
      <c r="G53" s="390"/>
      <c r="H53" s="390"/>
      <c r="I53" s="390"/>
      <c r="J53" s="390"/>
      <c r="K53" s="390"/>
      <c r="L53" s="390"/>
      <c r="M53" s="394" t="s">
        <v>67</v>
      </c>
      <c r="N53" s="390" t="s">
        <v>67</v>
      </c>
      <c r="O53" s="390" t="s">
        <v>67</v>
      </c>
      <c r="P53" s="390" t="s">
        <v>67</v>
      </c>
      <c r="Q53" s="390"/>
      <c r="R53" s="390"/>
      <c r="S53" s="390"/>
      <c r="T53" s="390"/>
      <c r="U53" s="390"/>
      <c r="V53" s="390"/>
      <c r="W53" s="390"/>
      <c r="X53" s="390"/>
      <c r="Y53" s="390"/>
      <c r="Z53" s="253"/>
      <c r="AA53" s="363"/>
    </row>
    <row r="54" spans="1:48" s="335" customFormat="1" ht="25.5">
      <c r="A54" s="386">
        <f t="shared" si="0"/>
        <v>44</v>
      </c>
      <c r="B54" s="386" t="s">
        <v>211</v>
      </c>
      <c r="C54" s="388" t="s">
        <v>212</v>
      </c>
      <c r="D54" s="386" t="s">
        <v>111</v>
      </c>
      <c r="E54" s="390">
        <v>3552000</v>
      </c>
      <c r="F54" s="390"/>
      <c r="G54" s="390"/>
      <c r="H54" s="390"/>
      <c r="I54" s="390"/>
      <c r="J54" s="390"/>
      <c r="K54" s="390"/>
      <c r="L54" s="390"/>
      <c r="M54" s="391"/>
      <c r="N54" s="395" t="s">
        <v>67</v>
      </c>
      <c r="O54" s="390" t="s">
        <v>67</v>
      </c>
      <c r="P54" s="390" t="s">
        <v>67</v>
      </c>
      <c r="Q54" s="390"/>
      <c r="R54" s="390"/>
      <c r="S54" s="390"/>
      <c r="T54" s="390"/>
      <c r="U54" s="390"/>
      <c r="V54" s="390"/>
      <c r="W54" s="390"/>
      <c r="X54" s="390"/>
      <c r="Y54" s="390"/>
      <c r="Z54" s="253"/>
      <c r="AA54" s="363"/>
    </row>
    <row r="55" spans="1:48" s="335" customFormat="1" ht="21.75" customHeight="1">
      <c r="A55" s="386">
        <f t="shared" si="0"/>
        <v>45</v>
      </c>
      <c r="B55" s="386" t="s">
        <v>206</v>
      </c>
      <c r="C55" s="388" t="s">
        <v>205</v>
      </c>
      <c r="D55" s="386" t="s">
        <v>111</v>
      </c>
      <c r="E55" s="390">
        <v>3552000</v>
      </c>
      <c r="F55" s="390"/>
      <c r="G55" s="390"/>
      <c r="H55" s="390"/>
      <c r="I55" s="390"/>
      <c r="J55" s="390"/>
      <c r="K55" s="390"/>
      <c r="L55" s="390"/>
      <c r="M55" s="394" t="s">
        <v>67</v>
      </c>
      <c r="N55" s="390" t="s">
        <v>67</v>
      </c>
      <c r="O55" s="390" t="s">
        <v>67</v>
      </c>
      <c r="P55" s="390" t="s">
        <v>67</v>
      </c>
      <c r="Q55" s="390"/>
      <c r="R55" s="390"/>
      <c r="S55" s="390"/>
      <c r="T55" s="390"/>
      <c r="U55" s="390"/>
      <c r="V55" s="390"/>
      <c r="W55" s="390"/>
      <c r="X55" s="390"/>
      <c r="Y55" s="390"/>
      <c r="Z55" s="253"/>
      <c r="AA55" s="363"/>
    </row>
    <row r="56" spans="1:48" s="335" customFormat="1" ht="25.5">
      <c r="A56" s="386">
        <f t="shared" si="0"/>
        <v>46</v>
      </c>
      <c r="B56" s="386" t="s">
        <v>210</v>
      </c>
      <c r="C56" s="388" t="s">
        <v>209</v>
      </c>
      <c r="D56" s="386" t="s">
        <v>111</v>
      </c>
      <c r="E56" s="390">
        <v>3552000</v>
      </c>
      <c r="F56" s="390"/>
      <c r="G56" s="390"/>
      <c r="H56" s="390"/>
      <c r="I56" s="390"/>
      <c r="J56" s="390"/>
      <c r="K56" s="390"/>
      <c r="L56" s="390"/>
      <c r="M56" s="393" t="s">
        <v>67</v>
      </c>
      <c r="N56" s="390" t="s">
        <v>67</v>
      </c>
      <c r="O56" s="390" t="s">
        <v>67</v>
      </c>
      <c r="P56" s="390" t="s">
        <v>67</v>
      </c>
      <c r="Q56" s="390"/>
      <c r="R56" s="390"/>
      <c r="S56" s="390"/>
      <c r="T56" s="390"/>
      <c r="U56" s="390"/>
      <c r="V56" s="390"/>
      <c r="W56" s="390"/>
      <c r="X56" s="390"/>
      <c r="Y56" s="390"/>
      <c r="Z56" s="253"/>
      <c r="AA56" s="363"/>
    </row>
    <row r="57" spans="1:48">
      <c r="A57" s="429" t="s">
        <v>25</v>
      </c>
      <c r="B57" s="430"/>
      <c r="C57" s="430"/>
      <c r="D57" s="238" t="s">
        <v>159</v>
      </c>
      <c r="E57" s="294">
        <f>SUM(E11:E56)</f>
        <v>126045000</v>
      </c>
      <c r="F57" s="235">
        <f>SUM(F11:F56)</f>
        <v>152620000</v>
      </c>
      <c r="G57" s="235">
        <f>SUM(G11:G56)</f>
        <v>137582000</v>
      </c>
      <c r="H57" s="235">
        <f>SUM(H11:H56)</f>
        <v>15990000</v>
      </c>
      <c r="I57" s="235">
        <f>SUM(I11:I56)</f>
        <v>0</v>
      </c>
      <c r="J57" s="235"/>
      <c r="K57" s="235">
        <f>SUMIF(K$11:K$56,"x",$E$11:$E$56)</f>
        <v>99561000</v>
      </c>
      <c r="L57" s="235">
        <f>SUMIF(L$11:L$56,"x",$E$11:$E$56)</f>
        <v>95993000</v>
      </c>
      <c r="M57" s="235">
        <f>SUMIF(M$11:M$56,"x",$E$11:$E$56)</f>
        <v>111821000</v>
      </c>
      <c r="N57" s="235">
        <f t="shared" ref="N57:O57" si="1">SUMIF(N$11:N$56,"x",$E$11:$E$56)</f>
        <v>115373000</v>
      </c>
      <c r="O57" s="235">
        <f t="shared" si="1"/>
        <v>115373000</v>
      </c>
      <c r="P57" s="235">
        <f t="shared" ref="P57:V57" si="2">SUMIF(P$11:P$56,"x",$F$11:$F$56)</f>
        <v>85797000</v>
      </c>
      <c r="Q57" s="235">
        <f t="shared" si="2"/>
        <v>0</v>
      </c>
      <c r="R57" s="235">
        <f t="shared" si="2"/>
        <v>0</v>
      </c>
      <c r="S57" s="235">
        <f t="shared" si="2"/>
        <v>0</v>
      </c>
      <c r="T57" s="235">
        <f t="shared" si="2"/>
        <v>0</v>
      </c>
      <c r="U57" s="235">
        <f t="shared" si="2"/>
        <v>0</v>
      </c>
      <c r="V57" s="235">
        <f t="shared" si="2"/>
        <v>0</v>
      </c>
      <c r="W57" s="235"/>
      <c r="X57" s="235"/>
      <c r="Y57" s="235"/>
      <c r="Z57" s="17"/>
    </row>
    <row r="58" spans="1:48">
      <c r="A58" s="431"/>
      <c r="B58" s="432"/>
      <c r="C58" s="432"/>
      <c r="D58" s="238" t="s">
        <v>160</v>
      </c>
      <c r="E58" s="294"/>
      <c r="F58" s="235"/>
      <c r="G58" s="235"/>
      <c r="H58" s="235"/>
      <c r="I58" s="235"/>
      <c r="J58" s="235"/>
      <c r="K58" s="235">
        <f t="array" ref="K58">SUM((K$11:K$56="x")*1)</f>
        <v>24</v>
      </c>
      <c r="L58" s="235">
        <f t="array" ref="L58">SUM((L$11:L$56="x")*1)</f>
        <v>23</v>
      </c>
      <c r="M58" s="235">
        <f t="array" ref="M58">SUM((M$11:M$56="x")*1)</f>
        <v>27</v>
      </c>
      <c r="N58" s="235">
        <f t="array" ref="N58">SUM((N$11:N$56="x")*1)</f>
        <v>28</v>
      </c>
      <c r="O58" s="235">
        <f t="array" ref="O58">SUM((O$11:O$56="x")*1)</f>
        <v>28</v>
      </c>
      <c r="P58" s="235">
        <f t="array" ref="P58">SUM((P$11:P$56="x")*1)</f>
        <v>26</v>
      </c>
      <c r="Q58" s="235">
        <f t="array" ref="Q58">SUM((Q$11:Q$56="x")*1)</f>
        <v>0</v>
      </c>
      <c r="R58" s="235">
        <f t="array" ref="R58">SUM((R$11:R$56="x")*1)</f>
        <v>0</v>
      </c>
      <c r="S58" s="235">
        <f t="array" ref="S58">SUM((S$11:S$56="x")*1)</f>
        <v>0</v>
      </c>
      <c r="T58" s="235">
        <f t="array" ref="T58">SUM((T$11:T$56="x")*1)</f>
        <v>0</v>
      </c>
      <c r="U58" s="235">
        <f t="array" ref="U58">SUM((U$11:U$56="x")*1)</f>
        <v>0</v>
      </c>
      <c r="V58" s="235">
        <f t="array" ref="V58">SUM((V$11:V$56="x")*1)</f>
        <v>0</v>
      </c>
      <c r="W58" s="235"/>
      <c r="X58" s="235"/>
      <c r="Y58" s="235"/>
      <c r="Z58" s="17"/>
    </row>
    <row r="59" spans="1:48" s="57" customFormat="1">
      <c r="A59" s="433"/>
      <c r="B59" s="434"/>
      <c r="C59" s="434"/>
      <c r="D59" s="238" t="s">
        <v>161</v>
      </c>
      <c r="E59" s="294"/>
      <c r="F59" s="351"/>
      <c r="G59" s="351"/>
      <c r="H59" s="351"/>
      <c r="I59" s="351"/>
      <c r="J59" s="351"/>
      <c r="K59" s="351"/>
      <c r="L59" s="405">
        <f>L57*32.5%</f>
        <v>31197725</v>
      </c>
      <c r="M59" s="405">
        <f>$M57*32.5%</f>
        <v>36341825</v>
      </c>
      <c r="N59" s="405">
        <f>N57*32.5%</f>
        <v>37496225</v>
      </c>
      <c r="O59" s="405">
        <f t="shared" ref="O59:Q59" si="3">O57*32.5%</f>
        <v>37496225</v>
      </c>
      <c r="P59" s="405">
        <f>P57*32%</f>
        <v>27455040</v>
      </c>
      <c r="Q59" s="405">
        <f t="shared" si="3"/>
        <v>0</v>
      </c>
      <c r="R59" s="351"/>
      <c r="S59" s="351"/>
      <c r="T59" s="351"/>
      <c r="U59" s="351"/>
      <c r="V59" s="351"/>
      <c r="W59" s="351"/>
      <c r="X59" s="351"/>
      <c r="Y59" s="351"/>
      <c r="Z59" s="17"/>
      <c r="AA59" s="374"/>
      <c r="AB59" s="336"/>
      <c r="AC59" s="336"/>
      <c r="AD59" s="336"/>
      <c r="AE59" s="336"/>
      <c r="AF59" s="336"/>
      <c r="AG59" s="336"/>
      <c r="AH59" s="336"/>
      <c r="AI59" s="336"/>
      <c r="AJ59" s="336"/>
      <c r="AK59" s="336"/>
      <c r="AL59" s="336"/>
      <c r="AM59" s="336"/>
      <c r="AN59" s="336"/>
      <c r="AO59" s="336"/>
      <c r="AP59" s="336"/>
      <c r="AQ59" s="336"/>
      <c r="AR59" s="336"/>
      <c r="AS59" s="336"/>
      <c r="AT59" s="336"/>
      <c r="AU59" s="336"/>
      <c r="AV59" s="336"/>
    </row>
    <row r="60" spans="1:48">
      <c r="A60" s="18"/>
      <c r="B60" s="18"/>
      <c r="C60" s="21"/>
      <c r="D60" s="21"/>
      <c r="E60" s="21"/>
      <c r="F60" s="21"/>
      <c r="G60" s="21"/>
      <c r="H60" s="68"/>
      <c r="I60" s="68"/>
      <c r="J60" s="29"/>
      <c r="K60" s="29"/>
      <c r="L60" s="29"/>
      <c r="M60" s="29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17"/>
    </row>
    <row r="61" spans="1:48">
      <c r="A61" s="18"/>
      <c r="B61" s="18"/>
      <c r="C61" s="21"/>
      <c r="D61" s="21"/>
      <c r="E61" s="21"/>
      <c r="F61" s="21"/>
      <c r="G61" s="21"/>
      <c r="H61" s="68"/>
      <c r="I61" s="68"/>
      <c r="J61" s="21"/>
      <c r="K61" s="29"/>
      <c r="L61" s="29"/>
      <c r="M61" s="29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97" t="s">
        <v>55</v>
      </c>
      <c r="Y61" s="68"/>
      <c r="Z61" s="390"/>
    </row>
    <row r="62" spans="1:48">
      <c r="A62" s="18"/>
      <c r="B62" s="18"/>
      <c r="C62" s="21" t="s">
        <v>14</v>
      </c>
      <c r="D62" s="21"/>
      <c r="E62" s="21"/>
      <c r="F62" s="21"/>
      <c r="G62" s="21"/>
      <c r="H62" s="29"/>
      <c r="I62" s="29"/>
      <c r="J62" s="22"/>
      <c r="K62" s="22"/>
      <c r="L62" s="22">
        <v>146766694</v>
      </c>
      <c r="M62" s="22">
        <f>L62-L59-M59-N59-O59</f>
        <v>4234694</v>
      </c>
      <c r="N62" s="22"/>
      <c r="O62" s="22"/>
      <c r="P62" s="22">
        <v>146766694</v>
      </c>
      <c r="Q62" s="22"/>
      <c r="R62" s="22"/>
      <c r="S62" s="22"/>
      <c r="T62" s="22"/>
      <c r="U62" s="22"/>
      <c r="V62" s="22"/>
      <c r="W62" s="22"/>
      <c r="X62" s="41" t="s">
        <v>22</v>
      </c>
      <c r="Y62" s="41"/>
      <c r="Z62" s="390"/>
    </row>
    <row r="63" spans="1:48" ht="11.25" customHeight="1">
      <c r="A63" s="18"/>
      <c r="B63" s="18"/>
      <c r="C63" s="19"/>
      <c r="D63" s="20"/>
      <c r="E63" s="21"/>
      <c r="F63" s="21"/>
      <c r="G63" s="29"/>
      <c r="H63" s="29"/>
      <c r="I63" s="29"/>
      <c r="J63" s="22"/>
      <c r="K63" s="22"/>
      <c r="L63" s="22"/>
      <c r="M63" s="22"/>
      <c r="N63" s="22"/>
      <c r="O63" s="22"/>
      <c r="P63" s="22">
        <f>P59+P62</f>
        <v>174221734</v>
      </c>
      <c r="Q63" s="22"/>
      <c r="R63" s="22"/>
      <c r="S63" s="22"/>
      <c r="T63" s="22"/>
      <c r="U63" s="22"/>
      <c r="V63" s="22"/>
      <c r="W63" s="22"/>
      <c r="X63" s="41"/>
      <c r="Y63" s="41"/>
      <c r="Z63" s="390"/>
    </row>
    <row r="64" spans="1:48" ht="11.25" customHeight="1">
      <c r="A64" s="18"/>
      <c r="B64" s="18"/>
      <c r="C64" s="19"/>
      <c r="D64" s="20"/>
      <c r="E64" s="21"/>
      <c r="F64" s="21"/>
      <c r="G64" s="29"/>
      <c r="H64" s="29"/>
      <c r="I64" s="2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1"/>
      <c r="Y64" s="41"/>
      <c r="Z64" s="390"/>
    </row>
    <row r="65" spans="1:25" ht="11.25" customHeight="1">
      <c r="A65" s="18"/>
      <c r="B65" s="18"/>
      <c r="C65" s="19"/>
      <c r="D65" s="20"/>
      <c r="E65" s="21"/>
      <c r="F65" s="21"/>
      <c r="G65" s="29"/>
      <c r="H65" s="29"/>
      <c r="I65" s="2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1"/>
      <c r="Y65" s="41"/>
    </row>
    <row r="66" spans="1:25" ht="11.25" customHeight="1">
      <c r="A66" s="18"/>
      <c r="B66" s="18"/>
      <c r="C66" s="19"/>
      <c r="D66" s="20"/>
      <c r="E66" s="21"/>
      <c r="F66" s="21"/>
      <c r="G66" s="29"/>
      <c r="H66" s="29"/>
      <c r="I66" s="2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1"/>
      <c r="Y66" s="41"/>
    </row>
    <row r="67" spans="1:25" ht="11.25" customHeight="1">
      <c r="A67" s="18"/>
      <c r="B67" s="18"/>
      <c r="C67" s="19"/>
      <c r="D67" s="20"/>
      <c r="E67" s="21"/>
      <c r="F67" s="21"/>
      <c r="G67" s="29"/>
      <c r="H67" s="29"/>
      <c r="I67" s="29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1"/>
      <c r="Y67" s="41"/>
    </row>
    <row r="68" spans="1:25">
      <c r="A68" s="23"/>
      <c r="B68" s="23"/>
      <c r="C68" s="28" t="s">
        <v>21</v>
      </c>
      <c r="D68" s="20"/>
      <c r="E68" s="21"/>
      <c r="F68" s="21"/>
      <c r="G68" s="29"/>
      <c r="H68" s="29"/>
      <c r="I68" s="29"/>
      <c r="J68" s="22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69"/>
      <c r="Y68" s="42"/>
    </row>
    <row r="69" spans="1:25" ht="9" customHeight="1">
      <c r="C69" s="39"/>
      <c r="D69" s="39"/>
      <c r="E69" s="44"/>
      <c r="F69" s="21"/>
      <c r="G69" s="43"/>
      <c r="H69" s="43"/>
      <c r="I69" s="43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44"/>
      <c r="Y69" s="44"/>
    </row>
    <row r="70" spans="1:25">
      <c r="F70" s="21"/>
    </row>
    <row r="71" spans="1:25">
      <c r="F71" s="21"/>
      <c r="M71" s="338"/>
      <c r="O71" s="57"/>
    </row>
    <row r="75" spans="1:25">
      <c r="C75" s="237"/>
      <c r="H75" s="252" t="s">
        <v>141</v>
      </c>
      <c r="K75" s="2" t="s">
        <v>84</v>
      </c>
      <c r="L75" s="2" t="s">
        <v>141</v>
      </c>
      <c r="N75" s="2" t="str">
        <f>VLOOKUP(L75,$H$75:$K$134,4,0)</f>
        <v>ALTP001</v>
      </c>
      <c r="O75" s="417" t="str">
        <f>N75</f>
        <v>ALTP001</v>
      </c>
    </row>
    <row r="76" spans="1:25">
      <c r="C76" s="237"/>
      <c r="H76" s="252" t="s">
        <v>142</v>
      </c>
      <c r="K76" s="2" t="s">
        <v>85</v>
      </c>
      <c r="L76" s="2" t="s">
        <v>142</v>
      </c>
      <c r="N76" s="2" t="str">
        <f t="shared" ref="N76:N105" si="4">VLOOKUP(L76,$H$75:$K$134,4,0)</f>
        <v>ALTP002</v>
      </c>
      <c r="O76" s="417"/>
    </row>
    <row r="77" spans="1:25">
      <c r="C77" s="237"/>
      <c r="H77" s="252" t="s">
        <v>143</v>
      </c>
      <c r="K77" s="2" t="s">
        <v>86</v>
      </c>
      <c r="L77" s="2" t="s">
        <v>143</v>
      </c>
      <c r="N77" s="2" t="str">
        <f t="shared" si="4"/>
        <v>ALTP003</v>
      </c>
      <c r="O77" s="417" t="str">
        <f>N76</f>
        <v>ALTP002</v>
      </c>
    </row>
    <row r="78" spans="1:25">
      <c r="C78" s="237"/>
      <c r="H78" s="252" t="s">
        <v>144</v>
      </c>
      <c r="K78" s="2" t="s">
        <v>87</v>
      </c>
      <c r="L78" s="2" t="s">
        <v>144</v>
      </c>
      <c r="N78" s="2" t="str">
        <f t="shared" si="4"/>
        <v>ALTP004</v>
      </c>
      <c r="O78" s="417"/>
    </row>
    <row r="79" spans="1:25">
      <c r="C79" s="237"/>
      <c r="H79" s="252" t="s">
        <v>145</v>
      </c>
      <c r="K79" s="2" t="s">
        <v>88</v>
      </c>
      <c r="L79" s="2" t="s">
        <v>145</v>
      </c>
      <c r="N79" s="2" t="str">
        <f t="shared" si="4"/>
        <v>ALTP005</v>
      </c>
      <c r="O79" s="417" t="str">
        <f>N77</f>
        <v>ALTP003</v>
      </c>
    </row>
    <row r="80" spans="1:25">
      <c r="C80" s="237"/>
      <c r="H80" s="252" t="s">
        <v>146</v>
      </c>
      <c r="K80" s="2" t="s">
        <v>89</v>
      </c>
      <c r="L80" s="2" t="s">
        <v>146</v>
      </c>
      <c r="N80" s="2" t="str">
        <f t="shared" si="4"/>
        <v>ALTP006</v>
      </c>
      <c r="O80" s="417"/>
    </row>
    <row r="81" spans="3:15">
      <c r="C81" s="237"/>
      <c r="H81" s="252" t="s">
        <v>147</v>
      </c>
      <c r="K81" s="2" t="s">
        <v>90</v>
      </c>
      <c r="L81" s="2" t="s">
        <v>147</v>
      </c>
      <c r="N81" s="2" t="str">
        <f t="shared" si="4"/>
        <v>ALTP007</v>
      </c>
      <c r="O81" s="417" t="str">
        <f>N78</f>
        <v>ALTP004</v>
      </c>
    </row>
    <row r="82" spans="3:15">
      <c r="C82" s="237"/>
      <c r="H82" s="252" t="s">
        <v>148</v>
      </c>
      <c r="K82" s="2" t="s">
        <v>91</v>
      </c>
      <c r="L82" s="2" t="s">
        <v>148</v>
      </c>
      <c r="N82" s="2" t="str">
        <f t="shared" si="4"/>
        <v>ALTP008</v>
      </c>
      <c r="O82" s="417"/>
    </row>
    <row r="83" spans="3:15">
      <c r="C83" s="237"/>
      <c r="H83" s="252" t="s">
        <v>149</v>
      </c>
      <c r="K83" s="2" t="s">
        <v>92</v>
      </c>
      <c r="L83" s="2" t="s">
        <v>149</v>
      </c>
      <c r="N83" s="2" t="str">
        <f t="shared" si="4"/>
        <v>ALTP009</v>
      </c>
      <c r="O83" s="417" t="str">
        <f>N79</f>
        <v>ALTP005</v>
      </c>
    </row>
    <row r="84" spans="3:15">
      <c r="C84" s="237"/>
      <c r="H84" s="252" t="s">
        <v>150</v>
      </c>
      <c r="K84" s="2" t="s">
        <v>93</v>
      </c>
      <c r="L84" s="2" t="s">
        <v>150</v>
      </c>
      <c r="N84" s="2" t="str">
        <f t="shared" si="4"/>
        <v>ALTP010</v>
      </c>
      <c r="O84" s="417"/>
    </row>
    <row r="85" spans="3:15">
      <c r="C85" s="237"/>
      <c r="H85" s="252" t="s">
        <v>151</v>
      </c>
      <c r="K85" s="2" t="s">
        <v>94</v>
      </c>
      <c r="L85" s="2" t="s">
        <v>151</v>
      </c>
      <c r="N85" s="2" t="str">
        <f t="shared" si="4"/>
        <v>ALTP011</v>
      </c>
      <c r="O85" s="417" t="str">
        <f>N80</f>
        <v>ALTP006</v>
      </c>
    </row>
    <row r="86" spans="3:15">
      <c r="C86" s="237"/>
      <c r="H86" s="252" t="s">
        <v>152</v>
      </c>
      <c r="K86" s="2" t="s">
        <v>95</v>
      </c>
      <c r="L86" s="2" t="s">
        <v>153</v>
      </c>
      <c r="N86" s="2" t="str">
        <f t="shared" si="4"/>
        <v>ALTP013</v>
      </c>
      <c r="O86" s="417"/>
    </row>
    <row r="87" spans="3:15">
      <c r="C87" s="237"/>
      <c r="H87" s="252" t="s">
        <v>153</v>
      </c>
      <c r="K87" s="2" t="s">
        <v>96</v>
      </c>
      <c r="L87" s="2" t="s">
        <v>154</v>
      </c>
      <c r="N87" s="2" t="str">
        <f t="shared" si="4"/>
        <v>ALTP014</v>
      </c>
      <c r="O87" s="417" t="str">
        <f>N81</f>
        <v>ALTP007</v>
      </c>
    </row>
    <row r="88" spans="3:15">
      <c r="C88" s="237"/>
      <c r="H88" s="252" t="s">
        <v>154</v>
      </c>
      <c r="K88" s="2" t="s">
        <v>97</v>
      </c>
      <c r="L88" s="2" t="s">
        <v>155</v>
      </c>
      <c r="N88" s="2" t="str">
        <f t="shared" si="4"/>
        <v>ALTP015</v>
      </c>
      <c r="O88" s="417"/>
    </row>
    <row r="89" spans="3:15">
      <c r="C89" s="237"/>
      <c r="H89" s="252" t="s">
        <v>155</v>
      </c>
      <c r="K89" s="2" t="s">
        <v>98</v>
      </c>
      <c r="L89" s="2" t="s">
        <v>156</v>
      </c>
      <c r="N89" s="2" t="str">
        <f t="shared" si="4"/>
        <v>ALTP016</v>
      </c>
      <c r="O89" s="417" t="str">
        <f>N82</f>
        <v>ALTP008</v>
      </c>
    </row>
    <row r="90" spans="3:15">
      <c r="C90" s="237"/>
      <c r="H90" s="252" t="s">
        <v>156</v>
      </c>
      <c r="K90" s="2" t="s">
        <v>99</v>
      </c>
      <c r="L90" s="2" t="s">
        <v>157</v>
      </c>
      <c r="N90" s="2" t="str">
        <f t="shared" si="4"/>
        <v>ALTP017</v>
      </c>
      <c r="O90" s="417"/>
    </row>
    <row r="91" spans="3:15">
      <c r="C91" s="237"/>
      <c r="H91" s="252" t="s">
        <v>157</v>
      </c>
      <c r="K91" s="2" t="s">
        <v>100</v>
      </c>
      <c r="L91" s="2" t="s">
        <v>158</v>
      </c>
      <c r="N91" s="2" t="str">
        <f t="shared" si="4"/>
        <v>ALTP018</v>
      </c>
      <c r="O91" s="417" t="str">
        <f>N83</f>
        <v>ALTP009</v>
      </c>
    </row>
    <row r="92" spans="3:15">
      <c r="C92" s="237"/>
      <c r="H92" s="252" t="s">
        <v>158</v>
      </c>
      <c r="K92" s="2" t="s">
        <v>101</v>
      </c>
      <c r="L92" s="2" t="s">
        <v>162</v>
      </c>
      <c r="N92" s="2" t="str">
        <f t="shared" si="4"/>
        <v>ALTP019</v>
      </c>
      <c r="O92" s="417"/>
    </row>
    <row r="93" spans="3:15">
      <c r="C93" s="237"/>
      <c r="H93" s="252" t="s">
        <v>162</v>
      </c>
      <c r="K93" s="2" t="s">
        <v>102</v>
      </c>
      <c r="L93" s="2" t="s">
        <v>164</v>
      </c>
      <c r="N93" s="2" t="str">
        <f t="shared" si="4"/>
        <v>ALTP020</v>
      </c>
      <c r="O93" s="417" t="str">
        <f>N84</f>
        <v>ALTP010</v>
      </c>
    </row>
    <row r="94" spans="3:15">
      <c r="C94" s="237"/>
      <c r="H94" s="252" t="s">
        <v>164</v>
      </c>
      <c r="K94" s="2" t="s">
        <v>103</v>
      </c>
      <c r="L94" s="2" t="s">
        <v>169</v>
      </c>
      <c r="N94" s="2" t="str">
        <f t="shared" si="4"/>
        <v>ALTP025</v>
      </c>
      <c r="O94" s="417"/>
    </row>
    <row r="95" spans="3:15">
      <c r="C95" s="237"/>
      <c r="H95" s="252" t="s">
        <v>165</v>
      </c>
      <c r="K95" s="2" t="s">
        <v>104</v>
      </c>
      <c r="L95" s="2" t="s">
        <v>177</v>
      </c>
      <c r="N95" s="2" t="str">
        <f t="shared" si="4"/>
        <v>ALTP027</v>
      </c>
      <c r="O95" s="417" t="str">
        <f>N85</f>
        <v>ALTP011</v>
      </c>
    </row>
    <row r="96" spans="3:15">
      <c r="C96" s="237"/>
      <c r="H96" s="252" t="s">
        <v>166</v>
      </c>
      <c r="K96" s="2" t="s">
        <v>105</v>
      </c>
      <c r="L96" s="2" t="s">
        <v>124</v>
      </c>
      <c r="N96" s="2" t="str">
        <f t="shared" si="4"/>
        <v>ALTN001</v>
      </c>
      <c r="O96" s="417"/>
    </row>
    <row r="97" spans="3:15">
      <c r="C97" s="237"/>
      <c r="H97" s="252" t="s">
        <v>177</v>
      </c>
      <c r="K97" s="2" t="s">
        <v>110</v>
      </c>
      <c r="L97" s="2" t="s">
        <v>125</v>
      </c>
      <c r="N97" s="2" t="str">
        <f t="shared" si="4"/>
        <v>ALTN002</v>
      </c>
      <c r="O97" s="417" t="str">
        <f>N86</f>
        <v>ALTP013</v>
      </c>
    </row>
    <row r="98" spans="3:15">
      <c r="C98" s="237"/>
      <c r="H98" s="2" t="s">
        <v>167</v>
      </c>
      <c r="K98" s="2" t="s">
        <v>106</v>
      </c>
      <c r="L98" s="2" t="s">
        <v>126</v>
      </c>
      <c r="N98" s="2" t="str">
        <f t="shared" si="4"/>
        <v>ALTN003</v>
      </c>
      <c r="O98" s="417"/>
    </row>
    <row r="99" spans="3:15">
      <c r="C99" s="237"/>
      <c r="H99" s="2" t="s">
        <v>168</v>
      </c>
      <c r="K99" s="2" t="s">
        <v>107</v>
      </c>
      <c r="L99" s="2" t="s">
        <v>176</v>
      </c>
      <c r="N99" s="2" t="str">
        <f t="shared" si="4"/>
        <v>ALTN004</v>
      </c>
      <c r="O99" s="417" t="str">
        <f>N87</f>
        <v>ALTP014</v>
      </c>
    </row>
    <row r="100" spans="3:15">
      <c r="C100" s="237"/>
      <c r="H100" s="2" t="s">
        <v>169</v>
      </c>
      <c r="K100" s="2" t="s">
        <v>108</v>
      </c>
      <c r="L100" s="2" t="s">
        <v>128</v>
      </c>
      <c r="N100" s="2" t="str">
        <f t="shared" si="4"/>
        <v>ALTN006</v>
      </c>
      <c r="O100" s="417"/>
    </row>
    <row r="101" spans="3:15">
      <c r="C101" s="237"/>
      <c r="H101" s="2" t="s">
        <v>175</v>
      </c>
      <c r="K101" s="2" t="s">
        <v>109</v>
      </c>
      <c r="L101" s="2" t="s">
        <v>163</v>
      </c>
      <c r="N101" s="2" t="str">
        <f t="shared" si="4"/>
        <v>ALTN007</v>
      </c>
      <c r="O101" s="417" t="str">
        <f>N88</f>
        <v>ALTP015</v>
      </c>
    </row>
    <row r="102" spans="3:15">
      <c r="C102" s="237"/>
      <c r="H102" s="2" t="s">
        <v>124</v>
      </c>
      <c r="K102" s="2" t="s">
        <v>113</v>
      </c>
      <c r="L102" s="2" t="s">
        <v>170</v>
      </c>
      <c r="N102" s="2" t="str">
        <f t="shared" si="4"/>
        <v>ALTN008</v>
      </c>
      <c r="O102" s="417"/>
    </row>
    <row r="103" spans="3:15">
      <c r="C103" s="237"/>
      <c r="H103" s="2" t="s">
        <v>125</v>
      </c>
      <c r="K103" s="2" t="s">
        <v>114</v>
      </c>
      <c r="L103" s="2" t="s">
        <v>171</v>
      </c>
      <c r="N103" s="2" t="str">
        <f t="shared" si="4"/>
        <v>ALTN009</v>
      </c>
      <c r="O103" s="417" t="str">
        <f>N89</f>
        <v>ALTP016</v>
      </c>
    </row>
    <row r="104" spans="3:15">
      <c r="C104" s="237"/>
      <c r="H104" s="2" t="s">
        <v>126</v>
      </c>
      <c r="K104" s="2" t="s">
        <v>115</v>
      </c>
      <c r="L104" s="2" t="s">
        <v>172</v>
      </c>
      <c r="N104" s="2" t="str">
        <f t="shared" si="4"/>
        <v>ALTN010</v>
      </c>
      <c r="O104" s="417"/>
    </row>
    <row r="105" spans="3:15">
      <c r="C105" s="237"/>
      <c r="H105" s="2" t="s">
        <v>176</v>
      </c>
      <c r="K105" s="2" t="s">
        <v>116</v>
      </c>
      <c r="L105" s="2" t="s">
        <v>173</v>
      </c>
      <c r="N105" s="2" t="str">
        <f t="shared" si="4"/>
        <v>ALTN011</v>
      </c>
      <c r="O105" s="417" t="str">
        <f>N90</f>
        <v>ALTP017</v>
      </c>
    </row>
    <row r="106" spans="3:15">
      <c r="C106" s="237"/>
      <c r="H106" s="2" t="s">
        <v>127</v>
      </c>
      <c r="K106" s="2" t="s">
        <v>117</v>
      </c>
      <c r="O106" s="417"/>
    </row>
    <row r="107" spans="3:15">
      <c r="C107" s="237"/>
      <c r="H107" s="30" t="s">
        <v>128</v>
      </c>
      <c r="K107" s="2" t="s">
        <v>118</v>
      </c>
      <c r="O107" s="417" t="str">
        <f>N91</f>
        <v>ALTP018</v>
      </c>
    </row>
    <row r="108" spans="3:15">
      <c r="C108" s="237"/>
      <c r="H108" s="30" t="s">
        <v>163</v>
      </c>
      <c r="K108" s="2" t="s">
        <v>119</v>
      </c>
      <c r="O108" s="417"/>
    </row>
    <row r="109" spans="3:15">
      <c r="C109" s="237"/>
      <c r="H109" s="30" t="s">
        <v>170</v>
      </c>
      <c r="K109" s="2" t="s">
        <v>120</v>
      </c>
      <c r="O109" s="417" t="str">
        <f>N92</f>
        <v>ALTP019</v>
      </c>
    </row>
    <row r="110" spans="3:15">
      <c r="C110" s="237"/>
      <c r="H110" s="30" t="s">
        <v>171</v>
      </c>
      <c r="K110" s="2" t="s">
        <v>121</v>
      </c>
      <c r="O110" s="417"/>
    </row>
    <row r="111" spans="3:15">
      <c r="C111" s="237"/>
      <c r="H111" s="30" t="s">
        <v>172</v>
      </c>
      <c r="K111" s="2" t="s">
        <v>122</v>
      </c>
      <c r="O111" s="417" t="str">
        <f>N93</f>
        <v>ALTP020</v>
      </c>
    </row>
    <row r="112" spans="3:15">
      <c r="C112" s="237"/>
      <c r="H112" s="30" t="s">
        <v>173</v>
      </c>
      <c r="K112" s="2" t="s">
        <v>123</v>
      </c>
      <c r="O112" s="417"/>
    </row>
    <row r="113" spans="3:15">
      <c r="C113" s="237"/>
      <c r="O113" s="417" t="str">
        <f>N94</f>
        <v>ALTP025</v>
      </c>
    </row>
    <row r="114" spans="3:15">
      <c r="C114" s="237"/>
      <c r="O114" s="417"/>
    </row>
    <row r="115" spans="3:15">
      <c r="C115" s="237"/>
      <c r="O115" s="417" t="str">
        <f>N95</f>
        <v>ALTP027</v>
      </c>
    </row>
    <row r="116" spans="3:15">
      <c r="C116" s="237"/>
      <c r="O116" s="417"/>
    </row>
    <row r="117" spans="3:15">
      <c r="C117" s="237"/>
      <c r="O117" s="417" t="str">
        <f>N96</f>
        <v>ALTN001</v>
      </c>
    </row>
    <row r="118" spans="3:15">
      <c r="C118" s="237"/>
      <c r="O118" s="417"/>
    </row>
    <row r="119" spans="3:15">
      <c r="C119" s="237"/>
      <c r="O119" s="417" t="str">
        <f>N97</f>
        <v>ALTN002</v>
      </c>
    </row>
    <row r="120" spans="3:15">
      <c r="C120" s="237"/>
      <c r="O120" s="417"/>
    </row>
    <row r="121" spans="3:15">
      <c r="C121" s="237"/>
      <c r="O121" s="417" t="str">
        <f>N98</f>
        <v>ALTN003</v>
      </c>
    </row>
    <row r="122" spans="3:15">
      <c r="C122" s="237"/>
      <c r="O122" s="417"/>
    </row>
    <row r="123" spans="3:15">
      <c r="C123" s="237"/>
      <c r="O123" s="417" t="str">
        <f>N99</f>
        <v>ALTN004</v>
      </c>
    </row>
    <row r="124" spans="3:15">
      <c r="C124" s="237"/>
      <c r="O124" s="417"/>
    </row>
    <row r="125" spans="3:15">
      <c r="C125" s="237"/>
      <c r="O125" s="417" t="str">
        <f>N100</f>
        <v>ALTN006</v>
      </c>
    </row>
    <row r="126" spans="3:15">
      <c r="C126" s="237"/>
      <c r="O126" s="417"/>
    </row>
    <row r="127" spans="3:15">
      <c r="C127" s="237"/>
      <c r="O127" s="417" t="str">
        <f>N101</f>
        <v>ALTN007</v>
      </c>
    </row>
    <row r="128" spans="3:15">
      <c r="C128" s="237"/>
      <c r="O128" s="417"/>
    </row>
    <row r="129" spans="3:15">
      <c r="C129" s="237"/>
      <c r="O129" s="417" t="str">
        <f>N102</f>
        <v>ALTN008</v>
      </c>
    </row>
    <row r="130" spans="3:15">
      <c r="C130" s="237"/>
      <c r="O130" s="417"/>
    </row>
    <row r="131" spans="3:15">
      <c r="C131" s="237"/>
      <c r="O131" s="417" t="str">
        <f>N103</f>
        <v>ALTN009</v>
      </c>
    </row>
    <row r="132" spans="3:15">
      <c r="C132" s="237"/>
      <c r="O132" s="417"/>
    </row>
    <row r="133" spans="3:15">
      <c r="C133" s="237"/>
      <c r="O133" s="417" t="str">
        <f>N104</f>
        <v>ALTN010</v>
      </c>
    </row>
    <row r="134" spans="3:15">
      <c r="C134" s="237"/>
      <c r="O134" s="417"/>
    </row>
    <row r="135" spans="3:15">
      <c r="C135" s="237"/>
      <c r="O135" s="417" t="str">
        <f>N105</f>
        <v>ALTN011</v>
      </c>
    </row>
    <row r="136" spans="3:15">
      <c r="C136" s="237"/>
      <c r="O136" s="417"/>
    </row>
  </sheetData>
  <protectedRanges>
    <protectedRange password="CC78" sqref="W13:JH55 X8:X9 G126:N126 Z8:JH12 G75 I75:K75 M75:JH75 M76:M102 G113:M125 O76:JH126 N76:N105 G127:JH65364 L103:M112 G76:K96 G98:K112 G97 I97:K97 G8:I8 B10:Y10 F11:I11 H13:I20 L11:Y11 N12:Y12 B8:D9 E9 L12:M19 F12:H12 I12:I19 F21:I55 K11:K19 M56:JH56 D60:E60 M21:M28 M33:M36 M30:M31 M38:M55 G69:JH74 C69:E65364 B60:B65364 F72:F65364 C57:I59 D56:I56 K56 A8:A65364 D42:E55 K57:JH59" name="Range1"/>
    <protectedRange password="CC78" sqref="C62:C67 F69:F71 X62:JH67 D62:I68" name="Range1_1_1"/>
    <protectedRange password="CC78" sqref="C68 X68:JH68" name="Range1_3_1"/>
    <protectedRange password="CC78" sqref="A5:JH7" name="Range1_2"/>
    <protectedRange password="CC78" sqref="J8:W9 J11:J59" name="Range1_3"/>
    <protectedRange password="CC78" sqref="B42:B51 B53:B59" name="Range1_1"/>
    <protectedRange password="CC78" sqref="E8 F9:G9" name="Range1_4"/>
    <protectedRange password="CC78" sqref="C13:E19 C20:D20" name="Range1_8"/>
    <protectedRange password="CC78" sqref="B13:B20" name="Range1_1_1_1"/>
    <protectedRange password="CC78" sqref="F13:G20 E20" name="Range1_9"/>
    <protectedRange password="CC78" sqref="B21:B41" name="Range1_6"/>
    <protectedRange password="CC78" sqref="D21:E41" name="Range1_7"/>
    <protectedRange password="CC78" sqref="M51:V55 K11:V50" name="Range1_11"/>
    <protectedRange password="CC78" sqref="B52" name="Range1_5"/>
    <protectedRange password="CC78" sqref="B52" name="Range1_3_2"/>
  </protectedRanges>
  <autoFilter ref="A10:AA62">
    <filterColumn colId="12"/>
    <filterColumn colId="13"/>
    <filterColumn colId="14"/>
  </autoFilter>
  <mergeCells count="46">
    <mergeCell ref="O119:O120"/>
    <mergeCell ref="O121:O122"/>
    <mergeCell ref="O123:O124"/>
    <mergeCell ref="A57:C59"/>
    <mergeCell ref="O95:O96"/>
    <mergeCell ref="O97:O98"/>
    <mergeCell ref="O99:O100"/>
    <mergeCell ref="O101:O102"/>
    <mergeCell ref="O75:O76"/>
    <mergeCell ref="O77:O78"/>
    <mergeCell ref="O79:O80"/>
    <mergeCell ref="O81:O82"/>
    <mergeCell ref="O83:O84"/>
    <mergeCell ref="O85:O86"/>
    <mergeCell ref="O87:O88"/>
    <mergeCell ref="O89:O90"/>
    <mergeCell ref="O117:O118"/>
    <mergeCell ref="O91:O92"/>
    <mergeCell ref="O93:O94"/>
    <mergeCell ref="A5:Y5"/>
    <mergeCell ref="A6:Y6"/>
    <mergeCell ref="B8:B9"/>
    <mergeCell ref="A8:A9"/>
    <mergeCell ref="C8:C9"/>
    <mergeCell ref="Y8:Y9"/>
    <mergeCell ref="X8:X9"/>
    <mergeCell ref="J8:J9"/>
    <mergeCell ref="D8:D9"/>
    <mergeCell ref="H8:I8"/>
    <mergeCell ref="E8:G8"/>
    <mergeCell ref="Z8:Z10"/>
    <mergeCell ref="O131:O132"/>
    <mergeCell ref="O133:O134"/>
    <mergeCell ref="O135:O136"/>
    <mergeCell ref="K8:V8"/>
    <mergeCell ref="W8:W9"/>
    <mergeCell ref="O103:O104"/>
    <mergeCell ref="O105:O106"/>
    <mergeCell ref="O107:O108"/>
    <mergeCell ref="O109:O110"/>
    <mergeCell ref="O111:O112"/>
    <mergeCell ref="O113:O114"/>
    <mergeCell ref="O127:O128"/>
    <mergeCell ref="O129:O130"/>
    <mergeCell ref="O125:O126"/>
    <mergeCell ref="O115:O116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0"/>
  <sheetViews>
    <sheetView zoomScaleNormal="115" workbookViewId="0">
      <pane xSplit="3" ySplit="6" topLeftCell="I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86" sqref="A86:XFD87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17.28515625" style="2" customWidth="1"/>
    <col min="4" max="4" width="6.85546875" style="28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50" t="s">
        <v>180</v>
      </c>
      <c r="AN1" s="451"/>
      <c r="AO1" s="451"/>
      <c r="AP1" s="451"/>
      <c r="AQ1" s="451"/>
      <c r="AR1" s="451"/>
      <c r="AS1" s="452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325">
        <v>42736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53" t="s">
        <v>28</v>
      </c>
      <c r="B5" s="453" t="s">
        <v>3</v>
      </c>
      <c r="C5" s="453" t="s">
        <v>1</v>
      </c>
      <c r="D5" s="455" t="s">
        <v>29</v>
      </c>
      <c r="E5" s="453" t="s">
        <v>30</v>
      </c>
      <c r="F5" s="105">
        <f>+E4</f>
        <v>42736</v>
      </c>
      <c r="G5" s="105">
        <f t="shared" ref="G5:AG5" si="0">F5+1</f>
        <v>42737</v>
      </c>
      <c r="H5" s="105">
        <f t="shared" si="0"/>
        <v>42738</v>
      </c>
      <c r="I5" s="105">
        <f t="shared" si="0"/>
        <v>42739</v>
      </c>
      <c r="J5" s="105">
        <f t="shared" si="0"/>
        <v>42740</v>
      </c>
      <c r="K5" s="105">
        <f t="shared" si="0"/>
        <v>42741</v>
      </c>
      <c r="L5" s="105">
        <f t="shared" si="0"/>
        <v>42742</v>
      </c>
      <c r="M5" s="105">
        <f t="shared" si="0"/>
        <v>42743</v>
      </c>
      <c r="N5" s="105">
        <f t="shared" si="0"/>
        <v>42744</v>
      </c>
      <c r="O5" s="105">
        <f t="shared" si="0"/>
        <v>42745</v>
      </c>
      <c r="P5" s="105">
        <f t="shared" si="0"/>
        <v>42746</v>
      </c>
      <c r="Q5" s="105">
        <f t="shared" si="0"/>
        <v>42747</v>
      </c>
      <c r="R5" s="105">
        <f t="shared" si="0"/>
        <v>42748</v>
      </c>
      <c r="S5" s="105">
        <f t="shared" si="0"/>
        <v>42749</v>
      </c>
      <c r="T5" s="105">
        <f t="shared" si="0"/>
        <v>42750</v>
      </c>
      <c r="U5" s="105">
        <f t="shared" si="0"/>
        <v>42751</v>
      </c>
      <c r="V5" s="105">
        <f t="shared" si="0"/>
        <v>42752</v>
      </c>
      <c r="W5" s="105">
        <f t="shared" si="0"/>
        <v>42753</v>
      </c>
      <c r="X5" s="105">
        <f t="shared" si="0"/>
        <v>42754</v>
      </c>
      <c r="Y5" s="105">
        <f t="shared" si="0"/>
        <v>42755</v>
      </c>
      <c r="Z5" s="105">
        <f t="shared" si="0"/>
        <v>42756</v>
      </c>
      <c r="AA5" s="105">
        <f t="shared" si="0"/>
        <v>42757</v>
      </c>
      <c r="AB5" s="105">
        <f t="shared" si="0"/>
        <v>42758</v>
      </c>
      <c r="AC5" s="105">
        <f t="shared" si="0"/>
        <v>42759</v>
      </c>
      <c r="AD5" s="105">
        <f t="shared" si="0"/>
        <v>42760</v>
      </c>
      <c r="AE5" s="105">
        <f t="shared" si="0"/>
        <v>42761</v>
      </c>
      <c r="AF5" s="105">
        <f t="shared" si="0"/>
        <v>42762</v>
      </c>
      <c r="AG5" s="105">
        <f t="shared" si="0"/>
        <v>42763</v>
      </c>
      <c r="AH5" s="105">
        <f>AG5+1</f>
        <v>42764</v>
      </c>
      <c r="AI5" s="105">
        <f>AH5+1</f>
        <v>42765</v>
      </c>
      <c r="AJ5" s="105">
        <v>31</v>
      </c>
      <c r="AK5" s="456" t="s">
        <v>15</v>
      </c>
      <c r="AL5" s="457"/>
      <c r="AM5" s="458"/>
      <c r="AN5" s="459" t="s">
        <v>45</v>
      </c>
      <c r="AO5" s="459" t="s">
        <v>41</v>
      </c>
      <c r="AP5" s="459" t="s">
        <v>42</v>
      </c>
      <c r="AQ5" s="459" t="s">
        <v>43</v>
      </c>
      <c r="AR5" s="459" t="s">
        <v>44</v>
      </c>
      <c r="AS5" s="455" t="s">
        <v>0</v>
      </c>
      <c r="AT5" s="4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54"/>
      <c r="B6" s="454"/>
      <c r="C6" s="454"/>
      <c r="D6" s="454"/>
      <c r="E6" s="454"/>
      <c r="F6" s="263" t="str">
        <f>CHOOSE(WEEKDAY(F5),"C.Nhật","T.Hai","T.Ba","T.Tư","T.Năm","T.Sáu","T.Bảy")</f>
        <v>C.Nhật</v>
      </c>
      <c r="G6" s="263" t="str">
        <f t="shared" ref="G6:AI6" si="1">CHOOSE(WEEKDAY(G5),"C.Nhật","T.Hai","T.Ba","T.Tư","T.Năm","T.Sáu","T.Bảy")</f>
        <v>T.Hai</v>
      </c>
      <c r="H6" s="263" t="str">
        <f t="shared" si="1"/>
        <v>T.Ba</v>
      </c>
      <c r="I6" s="263" t="str">
        <f t="shared" si="1"/>
        <v>T.Tư</v>
      </c>
      <c r="J6" s="263" t="str">
        <f t="shared" si="1"/>
        <v>T.Năm</v>
      </c>
      <c r="K6" s="263" t="str">
        <f t="shared" si="1"/>
        <v>T.Sáu</v>
      </c>
      <c r="L6" s="263" t="str">
        <f t="shared" si="1"/>
        <v>T.Bảy</v>
      </c>
      <c r="M6" s="263" t="str">
        <f t="shared" si="1"/>
        <v>C.Nhật</v>
      </c>
      <c r="N6" s="263" t="str">
        <f t="shared" si="1"/>
        <v>T.Hai</v>
      </c>
      <c r="O6" s="263" t="str">
        <f t="shared" si="1"/>
        <v>T.Ba</v>
      </c>
      <c r="P6" s="263" t="str">
        <f t="shared" si="1"/>
        <v>T.Tư</v>
      </c>
      <c r="Q6" s="263" t="str">
        <f t="shared" si="1"/>
        <v>T.Năm</v>
      </c>
      <c r="R6" s="263" t="str">
        <f t="shared" si="1"/>
        <v>T.Sáu</v>
      </c>
      <c r="S6" s="263" t="str">
        <f t="shared" si="1"/>
        <v>T.Bảy</v>
      </c>
      <c r="T6" s="263" t="str">
        <f t="shared" si="1"/>
        <v>C.Nhật</v>
      </c>
      <c r="U6" s="263" t="str">
        <f t="shared" si="1"/>
        <v>T.Hai</v>
      </c>
      <c r="V6" s="263" t="str">
        <f t="shared" si="1"/>
        <v>T.Ba</v>
      </c>
      <c r="W6" s="263" t="str">
        <f t="shared" si="1"/>
        <v>T.Tư</v>
      </c>
      <c r="X6" s="263" t="str">
        <f t="shared" si="1"/>
        <v>T.Năm</v>
      </c>
      <c r="Y6" s="263" t="str">
        <f t="shared" si="1"/>
        <v>T.Sáu</v>
      </c>
      <c r="Z6" s="263" t="str">
        <f t="shared" si="1"/>
        <v>T.Bảy</v>
      </c>
      <c r="AA6" s="263" t="str">
        <f t="shared" si="1"/>
        <v>C.Nhật</v>
      </c>
      <c r="AB6" s="263" t="str">
        <f t="shared" si="1"/>
        <v>T.Hai</v>
      </c>
      <c r="AC6" s="263" t="str">
        <f t="shared" si="1"/>
        <v>T.Ba</v>
      </c>
      <c r="AD6" s="263" t="str">
        <f t="shared" si="1"/>
        <v>T.Tư</v>
      </c>
      <c r="AE6" s="263" t="str">
        <f t="shared" si="1"/>
        <v>T.Năm</v>
      </c>
      <c r="AF6" s="263" t="str">
        <f t="shared" si="1"/>
        <v>T.Sáu</v>
      </c>
      <c r="AG6" s="263" t="str">
        <f t="shared" si="1"/>
        <v>T.Bảy</v>
      </c>
      <c r="AH6" s="263" t="str">
        <f t="shared" si="1"/>
        <v>C.Nhật</v>
      </c>
      <c r="AI6" s="263" t="str">
        <f t="shared" si="1"/>
        <v>T.Hai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60"/>
      <c r="AO6" s="460"/>
      <c r="AP6" s="460"/>
      <c r="AQ6" s="460"/>
      <c r="AR6" s="460"/>
      <c r="AS6" s="454"/>
      <c r="AT6" s="4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2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1" customHeight="1">
      <c r="A8" s="267" t="s">
        <v>183</v>
      </c>
      <c r="B8" s="324" t="s">
        <v>184</v>
      </c>
      <c r="C8" s="267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439">
        <v>1</v>
      </c>
      <c r="B9" s="439" t="s">
        <v>61</v>
      </c>
      <c r="C9" s="462" t="str">
        <f>VLOOKUP(B9,DS,2,0)</f>
        <v>Mai Út Hiền</v>
      </c>
      <c r="D9" s="442" t="str">
        <f>VLOOKUP(B9,DS,3,0)</f>
        <v>Cơ Điện</v>
      </c>
      <c r="E9" s="58" t="s">
        <v>32</v>
      </c>
      <c r="F9" s="153"/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>
        <v>8</v>
      </c>
      <c r="M9" s="153"/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/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/>
      <c r="AB9" s="153">
        <v>8</v>
      </c>
      <c r="AC9" s="153">
        <v>8</v>
      </c>
      <c r="AD9" s="153"/>
      <c r="AE9" s="153"/>
      <c r="AF9" s="153"/>
      <c r="AG9" s="153"/>
      <c r="AH9" s="153"/>
      <c r="AI9" s="153"/>
      <c r="AJ9" s="153"/>
      <c r="AK9" s="444">
        <f>((SUM(F9:AJ9))/8)-(SUMIF($F$6:$AJ$6,"C.Nhật",F9:AJ9)/8)</f>
        <v>20</v>
      </c>
      <c r="AL9" s="444">
        <f>SUM(F10:AI10)/8*1.5</f>
        <v>0</v>
      </c>
      <c r="AM9" s="446">
        <f>SUMIF($F$6:$AI$6,"C.Nhật",$F9:$AI10)/8*2</f>
        <v>0</v>
      </c>
      <c r="AN9" s="435">
        <f>SUM(AK9:AM10)</f>
        <v>20</v>
      </c>
      <c r="AO9" s="448">
        <v>0</v>
      </c>
      <c r="AP9" s="435"/>
      <c r="AQ9" s="435"/>
      <c r="AR9" s="435"/>
      <c r="AS9" s="437"/>
      <c r="AT9" s="2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439"/>
      <c r="B10" s="439"/>
      <c r="C10" s="462"/>
      <c r="D10" s="44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45"/>
      <c r="AL10" s="445"/>
      <c r="AM10" s="447"/>
      <c r="AN10" s="436"/>
      <c r="AO10" s="449"/>
      <c r="AP10" s="436"/>
      <c r="AQ10" s="436"/>
      <c r="AR10" s="436"/>
      <c r="AS10" s="438"/>
      <c r="AT10" s="2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439">
        <f>A9+1</f>
        <v>2</v>
      </c>
      <c r="B11" s="439" t="s">
        <v>62</v>
      </c>
      <c r="C11" s="462" t="str">
        <f>VLOOKUP(B11,DS,2,0)</f>
        <v>Nguyễn Thị Xuân Thảo</v>
      </c>
      <c r="D11" s="442" t="str">
        <f>VLOOKUP(B11,DS,3,0)</f>
        <v>KCS</v>
      </c>
      <c r="E11" s="58" t="s">
        <v>32</v>
      </c>
      <c r="F11" s="153"/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>
        <v>8</v>
      </c>
      <c r="M11" s="153"/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/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/>
      <c r="AB11" s="153">
        <v>8</v>
      </c>
      <c r="AC11" s="153">
        <v>8</v>
      </c>
      <c r="AD11" s="153"/>
      <c r="AE11" s="153"/>
      <c r="AF11" s="153"/>
      <c r="AG11" s="153"/>
      <c r="AH11" s="153"/>
      <c r="AI11" s="153"/>
      <c r="AJ11" s="153"/>
      <c r="AK11" s="444">
        <f>((SUM(F11:AJ11))/8)-(SUMIF($F$6:$AJ$6,"C.Nhật",F11:AJ11)/8)</f>
        <v>20</v>
      </c>
      <c r="AL11" s="444">
        <f>SUM(F12:AI12)/8*1.5</f>
        <v>0</v>
      </c>
      <c r="AM11" s="446">
        <f>SUMIF($F$6:$AI$6,"C.Nhật",$F11:$AI12)/8*2</f>
        <v>0</v>
      </c>
      <c r="AN11" s="435">
        <f>SUM(AK11:AM12)</f>
        <v>20</v>
      </c>
      <c r="AO11" s="448">
        <v>0</v>
      </c>
      <c r="AP11" s="435"/>
      <c r="AQ11" s="435"/>
      <c r="AR11" s="435"/>
      <c r="AS11" s="437"/>
      <c r="AT11" s="28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439"/>
      <c r="B12" s="439"/>
      <c r="C12" s="462"/>
      <c r="D12" s="44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45"/>
      <c r="AL12" s="445"/>
      <c r="AM12" s="447"/>
      <c r="AN12" s="436"/>
      <c r="AO12" s="449"/>
      <c r="AP12" s="436"/>
      <c r="AQ12" s="436"/>
      <c r="AR12" s="436"/>
      <c r="AS12" s="438"/>
      <c r="AT12" s="28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1" customHeight="1">
      <c r="A13" s="267" t="s">
        <v>185</v>
      </c>
      <c r="B13" s="324" t="s">
        <v>186</v>
      </c>
      <c r="C13" s="267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439">
        <v>3</v>
      </c>
      <c r="B14" s="439" t="s">
        <v>85</v>
      </c>
      <c r="C14" s="462" t="str">
        <f>VLOOKUP(B14,DS,2,0)</f>
        <v>Huỳnh Thị Hường</v>
      </c>
      <c r="D14" s="442" t="str">
        <f>VLOOKUP(B14,DS,3,0)</f>
        <v>Công nhân</v>
      </c>
      <c r="E14" s="58" t="s">
        <v>32</v>
      </c>
      <c r="F14" s="153"/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>
        <v>8</v>
      </c>
      <c r="M14" s="153"/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/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/>
      <c r="AB14" s="153">
        <v>8</v>
      </c>
      <c r="AC14" s="153">
        <v>8</v>
      </c>
      <c r="AD14" s="153"/>
      <c r="AE14" s="153"/>
      <c r="AF14" s="153"/>
      <c r="AG14" s="153"/>
      <c r="AH14" s="153"/>
      <c r="AI14" s="153"/>
      <c r="AJ14" s="153"/>
      <c r="AK14" s="444">
        <f>((SUM(F14:AJ14))/8)-(SUMIF($F$6:$AJ$6,"C.Nhật",F14:AJ14)/8)</f>
        <v>20</v>
      </c>
      <c r="AL14" s="444">
        <f>SUM(F15:AI15)/8*1.5</f>
        <v>0</v>
      </c>
      <c r="AM14" s="446">
        <f>SUMIF($F$6:$AI$6,"C.Nhật",$F14:$AI15)/8*2</f>
        <v>0</v>
      </c>
      <c r="AN14" s="435">
        <f>SUM(AK14:AM15)</f>
        <v>20</v>
      </c>
      <c r="AO14" s="448">
        <v>0</v>
      </c>
      <c r="AP14" s="435"/>
      <c r="AQ14" s="435"/>
      <c r="AR14" s="435"/>
      <c r="AS14" s="437"/>
      <c r="AT14" s="28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439"/>
      <c r="B15" s="439"/>
      <c r="C15" s="462"/>
      <c r="D15" s="44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45"/>
      <c r="AL15" s="445"/>
      <c r="AM15" s="447"/>
      <c r="AN15" s="436"/>
      <c r="AO15" s="449"/>
      <c r="AP15" s="436"/>
      <c r="AQ15" s="436"/>
      <c r="AR15" s="436"/>
      <c r="AS15" s="438"/>
      <c r="AT15" s="28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439">
        <f>A14+1</f>
        <v>4</v>
      </c>
      <c r="B16" s="439" t="s">
        <v>86</v>
      </c>
      <c r="C16" s="462" t="str">
        <f>VLOOKUP(B16,DS,2,0)</f>
        <v>Nguyễn Thị Rong</v>
      </c>
      <c r="D16" s="442" t="str">
        <f>VLOOKUP(B16,DS,3,0)</f>
        <v>Công nhân</v>
      </c>
      <c r="E16" s="58" t="s">
        <v>32</v>
      </c>
      <c r="F16" s="153"/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>
        <v>8</v>
      </c>
      <c r="M16" s="153"/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/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/>
      <c r="AB16" s="153">
        <v>8</v>
      </c>
      <c r="AC16" s="153">
        <v>8</v>
      </c>
      <c r="AD16" s="153"/>
      <c r="AE16" s="153"/>
      <c r="AF16" s="153"/>
      <c r="AG16" s="153"/>
      <c r="AH16" s="153"/>
      <c r="AI16" s="153"/>
      <c r="AJ16" s="153"/>
      <c r="AK16" s="444">
        <f>((SUM(F16:AJ16))/8)-(SUMIF($F$6:$AJ$6,"C.Nhật",F16:AJ16)/8)</f>
        <v>20</v>
      </c>
      <c r="AL16" s="444">
        <f>SUM(F17:AI17)/8*1.5</f>
        <v>0</v>
      </c>
      <c r="AM16" s="446">
        <f>SUMIF($F$6:$AI$6,"C.Nhật",$F16:$AI17)/8*2</f>
        <v>0</v>
      </c>
      <c r="AN16" s="435">
        <f>SUM(AK16:AM17)</f>
        <v>20</v>
      </c>
      <c r="AO16" s="448">
        <v>0</v>
      </c>
      <c r="AP16" s="435"/>
      <c r="AQ16" s="435"/>
      <c r="AR16" s="435"/>
      <c r="AS16" s="437"/>
      <c r="AT16" s="28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439"/>
      <c r="B17" s="439"/>
      <c r="C17" s="462"/>
      <c r="D17" s="44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45"/>
      <c r="AL17" s="445"/>
      <c r="AM17" s="447"/>
      <c r="AN17" s="436"/>
      <c r="AO17" s="449"/>
      <c r="AP17" s="436"/>
      <c r="AQ17" s="436"/>
      <c r="AR17" s="436"/>
      <c r="AS17" s="438"/>
      <c r="AT17" s="28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439">
        <f t="shared" ref="A18" si="2">A16+1</f>
        <v>5</v>
      </c>
      <c r="B18" s="439" t="s">
        <v>87</v>
      </c>
      <c r="C18" s="462" t="str">
        <f>VLOOKUP(B18,DS,2,0)</f>
        <v>Sơn Thị Nil</v>
      </c>
      <c r="D18" s="442" t="str">
        <f>VLOOKUP(B18,DS,3,0)</f>
        <v>Công nhân</v>
      </c>
      <c r="E18" s="58" t="s">
        <v>32</v>
      </c>
      <c r="F18" s="153"/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>
        <v>8</v>
      </c>
      <c r="M18" s="153"/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/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/>
      <c r="AB18" s="153">
        <v>8</v>
      </c>
      <c r="AC18" s="153">
        <v>8</v>
      </c>
      <c r="AD18" s="153"/>
      <c r="AE18" s="153"/>
      <c r="AF18" s="153"/>
      <c r="AG18" s="153"/>
      <c r="AH18" s="153"/>
      <c r="AI18" s="153"/>
      <c r="AJ18" s="153"/>
      <c r="AK18" s="444">
        <f>((SUM(F18:AJ18))/8)-(SUMIF($F$6:$AJ$6,"C.Nhật",F18:AJ18)/8)</f>
        <v>20</v>
      </c>
      <c r="AL18" s="444">
        <f>SUM(F19:AI19)/8*1.5</f>
        <v>0</v>
      </c>
      <c r="AM18" s="446">
        <f>SUMIF($F$6:$AI$6,"C.Nhật",$F18:$AI19)/8*2</f>
        <v>0</v>
      </c>
      <c r="AN18" s="435">
        <f>SUM(AK18:AM19)</f>
        <v>20</v>
      </c>
      <c r="AO18" s="448">
        <v>0</v>
      </c>
      <c r="AP18" s="435"/>
      <c r="AQ18" s="435"/>
      <c r="AR18" s="435"/>
      <c r="AS18" s="437"/>
      <c r="AT18" s="28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439"/>
      <c r="B19" s="439"/>
      <c r="C19" s="462"/>
      <c r="D19" s="44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45"/>
      <c r="AL19" s="445"/>
      <c r="AM19" s="447"/>
      <c r="AN19" s="436"/>
      <c r="AO19" s="449"/>
      <c r="AP19" s="436"/>
      <c r="AQ19" s="436"/>
      <c r="AR19" s="436"/>
      <c r="AS19" s="438"/>
      <c r="AT19" s="28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439">
        <f>A18+1</f>
        <v>6</v>
      </c>
      <c r="B20" s="439" t="s">
        <v>91</v>
      </c>
      <c r="C20" s="462" t="str">
        <f>VLOOKUP(B20,DS,2,0)</f>
        <v>Nguyễn Thị Lựu</v>
      </c>
      <c r="D20" s="442" t="str">
        <f>VLOOKUP(B20,DS,3,0)</f>
        <v>Công nhân</v>
      </c>
      <c r="E20" s="58" t="s">
        <v>32</v>
      </c>
      <c r="F20" s="153"/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>
        <v>8</v>
      </c>
      <c r="M20" s="153"/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/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/>
      <c r="AB20" s="153">
        <v>8</v>
      </c>
      <c r="AC20" s="153">
        <v>8</v>
      </c>
      <c r="AD20" s="153"/>
      <c r="AE20" s="153"/>
      <c r="AF20" s="153"/>
      <c r="AG20" s="153"/>
      <c r="AH20" s="153"/>
      <c r="AI20" s="153"/>
      <c r="AJ20" s="153"/>
      <c r="AK20" s="444">
        <f>((SUM(F20:AJ20))/8)-(SUMIF($F$6:$AJ$6,"C.Nhật",F20:AJ20)/8)</f>
        <v>20</v>
      </c>
      <c r="AL20" s="444">
        <f>SUM(F21:AI21)/8*1.5</f>
        <v>0</v>
      </c>
      <c r="AM20" s="446">
        <f>SUMIF($F$6:$AI$6,"C.Nhật",$F20:$AI21)/8*2</f>
        <v>0</v>
      </c>
      <c r="AN20" s="435">
        <f>SUM(AK20:AM21)</f>
        <v>20</v>
      </c>
      <c r="AO20" s="448">
        <v>0</v>
      </c>
      <c r="AP20" s="435"/>
      <c r="AQ20" s="435"/>
      <c r="AR20" s="435"/>
      <c r="AS20" s="437"/>
      <c r="AT20" s="28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439"/>
      <c r="B21" s="439"/>
      <c r="C21" s="462"/>
      <c r="D21" s="44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45"/>
      <c r="AL21" s="445"/>
      <c r="AM21" s="447"/>
      <c r="AN21" s="436"/>
      <c r="AO21" s="449"/>
      <c r="AP21" s="436"/>
      <c r="AQ21" s="436"/>
      <c r="AR21" s="436"/>
      <c r="AS21" s="438"/>
      <c r="AT21" s="28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439">
        <v>7</v>
      </c>
      <c r="B22" s="439" t="s">
        <v>94</v>
      </c>
      <c r="C22" s="462" t="str">
        <f>VLOOKUP(B22,DS,2,0)</f>
        <v>Trà Thị Soi</v>
      </c>
      <c r="D22" s="442" t="str">
        <f>VLOOKUP(B22,DS,3,0)</f>
        <v>Công nhân</v>
      </c>
      <c r="E22" s="58" t="s">
        <v>32</v>
      </c>
      <c r="F22" s="153"/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>
        <v>8</v>
      </c>
      <c r="M22" s="153"/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/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/>
      <c r="AB22" s="153">
        <v>8</v>
      </c>
      <c r="AC22" s="153">
        <v>8</v>
      </c>
      <c r="AD22" s="153"/>
      <c r="AE22" s="153"/>
      <c r="AF22" s="153"/>
      <c r="AG22" s="153"/>
      <c r="AH22" s="153"/>
      <c r="AI22" s="153"/>
      <c r="AJ22" s="153"/>
      <c r="AK22" s="444">
        <f>((SUM(F22:AJ22))/8)-(SUMIF($F$6:$AJ$6,"C.Nhật",F22:AJ22)/8)</f>
        <v>20</v>
      </c>
      <c r="AL22" s="444">
        <f>SUM(F23:AI23)/8*1.5</f>
        <v>0</v>
      </c>
      <c r="AM22" s="446">
        <f>SUMIF($F$6:$AI$6,"C.Nhật",$F22:$AI23)/8*2</f>
        <v>0</v>
      </c>
      <c r="AN22" s="435">
        <f>SUM(AK22:AM23)</f>
        <v>20</v>
      </c>
      <c r="AO22" s="448">
        <v>0</v>
      </c>
      <c r="AP22" s="435"/>
      <c r="AQ22" s="435"/>
      <c r="AR22" s="435"/>
      <c r="AS22" s="437"/>
      <c r="AT22" s="28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439"/>
      <c r="B23" s="439"/>
      <c r="C23" s="462"/>
      <c r="D23" s="44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45"/>
      <c r="AL23" s="445"/>
      <c r="AM23" s="447"/>
      <c r="AN23" s="436"/>
      <c r="AO23" s="449"/>
      <c r="AP23" s="436"/>
      <c r="AQ23" s="436"/>
      <c r="AR23" s="436"/>
      <c r="AS23" s="438"/>
      <c r="AT23" s="28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439">
        <f t="shared" ref="A24" si="3">A22+1</f>
        <v>8</v>
      </c>
      <c r="B24" s="439" t="s">
        <v>101</v>
      </c>
      <c r="C24" s="462" t="str">
        <f>VLOOKUP(B24,DS,2,0)</f>
        <v>Trần Thị Bích Phượng</v>
      </c>
      <c r="D24" s="442" t="str">
        <f>VLOOKUP(B24,DS,3,0)</f>
        <v>Công nhân</v>
      </c>
      <c r="E24" s="58" t="s">
        <v>32</v>
      </c>
      <c r="F24" s="153"/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>
        <v>8</v>
      </c>
      <c r="M24" s="153"/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/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/>
      <c r="AB24" s="153">
        <v>8</v>
      </c>
      <c r="AC24" s="153">
        <v>8</v>
      </c>
      <c r="AD24" s="153"/>
      <c r="AE24" s="153"/>
      <c r="AF24" s="153"/>
      <c r="AG24" s="153"/>
      <c r="AH24" s="153"/>
      <c r="AI24" s="153"/>
      <c r="AJ24" s="153"/>
      <c r="AK24" s="444">
        <f>((SUM(F24:AJ24))/8)-(SUMIF($F$6:$AJ$6,"C.Nhật",F24:AJ24)/8)</f>
        <v>20</v>
      </c>
      <c r="AL24" s="444">
        <f>SUM(F25:AI25)/8*1.5</f>
        <v>0</v>
      </c>
      <c r="AM24" s="446">
        <f>SUMIF($F$6:$AI$6,"C.Nhật",$F24:$AI25)/8*2</f>
        <v>0</v>
      </c>
      <c r="AN24" s="435">
        <f>SUM(AK24:AM25)</f>
        <v>20</v>
      </c>
      <c r="AO24" s="448">
        <v>0</v>
      </c>
      <c r="AP24" s="435"/>
      <c r="AQ24" s="435"/>
      <c r="AR24" s="435"/>
      <c r="AS24" s="437"/>
      <c r="AT24" s="28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439"/>
      <c r="B25" s="439"/>
      <c r="C25" s="462"/>
      <c r="D25" s="44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45"/>
      <c r="AL25" s="445"/>
      <c r="AM25" s="447"/>
      <c r="AN25" s="436"/>
      <c r="AO25" s="449"/>
      <c r="AP25" s="436"/>
      <c r="AQ25" s="436"/>
      <c r="AR25" s="436"/>
      <c r="AS25" s="438"/>
      <c r="AT25" s="28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439">
        <v>9</v>
      </c>
      <c r="B26" s="439" t="s">
        <v>102</v>
      </c>
      <c r="C26" s="462" t="str">
        <f>VLOOKUP(B26,DS,2,0)</f>
        <v>Sơn Thị Trường Sa</v>
      </c>
      <c r="D26" s="442" t="str">
        <f>VLOOKUP(B26,DS,3,0)</f>
        <v>Công nhân</v>
      </c>
      <c r="E26" s="58" t="s">
        <v>32</v>
      </c>
      <c r="F26" s="153"/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>
        <v>8</v>
      </c>
      <c r="M26" s="153"/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/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/>
      <c r="AB26" s="153">
        <v>8</v>
      </c>
      <c r="AC26" s="153">
        <v>8</v>
      </c>
      <c r="AD26" s="153"/>
      <c r="AE26" s="153"/>
      <c r="AF26" s="153"/>
      <c r="AG26" s="153"/>
      <c r="AH26" s="153"/>
      <c r="AI26" s="153"/>
      <c r="AJ26" s="153"/>
      <c r="AK26" s="444">
        <f>((SUM(F26:AJ26))/8)-(SUMIF($F$6:$AJ$6,"C.Nhật",F26:AJ26)/8)</f>
        <v>20</v>
      </c>
      <c r="AL26" s="444">
        <f>SUM(F27:AI27)/8*1.5</f>
        <v>0</v>
      </c>
      <c r="AM26" s="446">
        <f>SUMIF($F$6:$AI$6,"C.Nhật",$F26:$AI27)/8*2</f>
        <v>0</v>
      </c>
      <c r="AN26" s="435">
        <f>SUM(AK26:AM27)</f>
        <v>20</v>
      </c>
      <c r="AO26" s="448">
        <v>0</v>
      </c>
      <c r="AP26" s="435"/>
      <c r="AQ26" s="435"/>
      <c r="AR26" s="435"/>
      <c r="AS26" s="437"/>
      <c r="AT26" s="28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439"/>
      <c r="B27" s="439"/>
      <c r="C27" s="462"/>
      <c r="D27" s="44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45"/>
      <c r="AL27" s="445"/>
      <c r="AM27" s="447"/>
      <c r="AN27" s="436"/>
      <c r="AO27" s="449"/>
      <c r="AP27" s="436"/>
      <c r="AQ27" s="436"/>
      <c r="AR27" s="436"/>
      <c r="AS27" s="438"/>
      <c r="AT27" s="28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439">
        <v>10</v>
      </c>
      <c r="B28" s="439" t="s">
        <v>103</v>
      </c>
      <c r="C28" s="462" t="str">
        <f>VLOOKUP(B28,DS,2,0)</f>
        <v>Lý Thị Sà Kha</v>
      </c>
      <c r="D28" s="442" t="str">
        <f>VLOOKUP(B28,DS,3,0)</f>
        <v>Công nhân</v>
      </c>
      <c r="E28" s="58" t="s">
        <v>32</v>
      </c>
      <c r="F28" s="153"/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>
        <v>8</v>
      </c>
      <c r="M28" s="153"/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/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/>
      <c r="AB28" s="153">
        <v>8</v>
      </c>
      <c r="AC28" s="153">
        <v>8</v>
      </c>
      <c r="AD28" s="153"/>
      <c r="AE28" s="153"/>
      <c r="AF28" s="153"/>
      <c r="AG28" s="153"/>
      <c r="AH28" s="153"/>
      <c r="AI28" s="153"/>
      <c r="AJ28" s="153"/>
      <c r="AK28" s="444">
        <f>((SUM(F28:AJ28))/8)-(SUMIF($F$6:$AJ$6,"C.Nhật",F28:AJ28)/8)</f>
        <v>20</v>
      </c>
      <c r="AL28" s="444">
        <f>SUM(F29:AI29)/8*1.5</f>
        <v>0</v>
      </c>
      <c r="AM28" s="446">
        <f>SUMIF($F$6:$AI$6,"C.Nhật",$F28:$AI29)/8*2</f>
        <v>0</v>
      </c>
      <c r="AN28" s="435">
        <f>SUM(AK28:AM29)</f>
        <v>20</v>
      </c>
      <c r="AO28" s="448">
        <v>0</v>
      </c>
      <c r="AP28" s="435"/>
      <c r="AQ28" s="435"/>
      <c r="AR28" s="435"/>
      <c r="AS28" s="437"/>
      <c r="AT28" s="28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439"/>
      <c r="B29" s="439"/>
      <c r="C29" s="462"/>
      <c r="D29" s="44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45"/>
      <c r="AL29" s="445"/>
      <c r="AM29" s="447"/>
      <c r="AN29" s="436"/>
      <c r="AO29" s="449"/>
      <c r="AP29" s="436"/>
      <c r="AQ29" s="436"/>
      <c r="AR29" s="436"/>
      <c r="AS29" s="438"/>
      <c r="AT29" s="28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439">
        <v>11</v>
      </c>
      <c r="B30" s="439" t="s">
        <v>104</v>
      </c>
      <c r="C30" s="462" t="str">
        <f>VLOOKUP(B30,DS,2,0)</f>
        <v xml:space="preserve"> Lâm Thị Mộng Thường</v>
      </c>
      <c r="D30" s="442" t="str">
        <f>VLOOKUP(B30,DS,3,0)</f>
        <v>Công nhân</v>
      </c>
      <c r="E30" s="58" t="s">
        <v>32</v>
      </c>
      <c r="F30" s="153"/>
      <c r="G30" s="153">
        <v>8</v>
      </c>
      <c r="H30" s="153">
        <v>8</v>
      </c>
      <c r="I30" s="153">
        <v>8</v>
      </c>
      <c r="J30" s="153">
        <v>8</v>
      </c>
      <c r="K30" s="153">
        <v>8</v>
      </c>
      <c r="L30" s="153">
        <v>8</v>
      </c>
      <c r="M30" s="153"/>
      <c r="N30" s="153">
        <v>8</v>
      </c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/>
      <c r="U30" s="153">
        <v>8</v>
      </c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/>
      <c r="AB30" s="153">
        <v>8</v>
      </c>
      <c r="AC30" s="153">
        <v>8</v>
      </c>
      <c r="AD30" s="153"/>
      <c r="AE30" s="153"/>
      <c r="AF30" s="153"/>
      <c r="AG30" s="153"/>
      <c r="AH30" s="153"/>
      <c r="AI30" s="153"/>
      <c r="AJ30" s="153"/>
      <c r="AK30" s="444">
        <f>((SUM(F30:AJ30))/8)-(SUMIF($F$6:$AJ$6,"C.Nhật",F30:AJ30)/8)</f>
        <v>20</v>
      </c>
      <c r="AL30" s="444">
        <f>SUM(F31:AI31)/8*1.5</f>
        <v>0</v>
      </c>
      <c r="AM30" s="446">
        <f>SUMIF($F$6:$AI$6,"C.Nhật",$F30:$AI31)/8*2</f>
        <v>0</v>
      </c>
      <c r="AN30" s="435">
        <f>SUM(AK30:AM31)</f>
        <v>20</v>
      </c>
      <c r="AO30" s="448">
        <v>0</v>
      </c>
      <c r="AP30" s="435"/>
      <c r="AQ30" s="435"/>
      <c r="AR30" s="435"/>
      <c r="AS30" s="437"/>
      <c r="AT30" s="28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439"/>
      <c r="B31" s="439"/>
      <c r="C31" s="462"/>
      <c r="D31" s="443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45"/>
      <c r="AL31" s="445"/>
      <c r="AM31" s="447"/>
      <c r="AN31" s="436"/>
      <c r="AO31" s="449"/>
      <c r="AP31" s="436"/>
      <c r="AQ31" s="436"/>
      <c r="AR31" s="436"/>
      <c r="AS31" s="438"/>
      <c r="AT31" s="28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439">
        <v>12</v>
      </c>
      <c r="B32" s="440" t="s">
        <v>88</v>
      </c>
      <c r="C32" s="441" t="s">
        <v>145</v>
      </c>
      <c r="D32" s="442" t="str">
        <f>VLOOKUP(B32,DS,3,0)</f>
        <v>Công nhân</v>
      </c>
      <c r="E32" s="58" t="s">
        <v>32</v>
      </c>
      <c r="F32" s="153"/>
      <c r="G32" s="153"/>
      <c r="H32" s="153"/>
      <c r="I32" s="153"/>
      <c r="J32" s="153"/>
      <c r="K32" s="153"/>
      <c r="L32" s="153">
        <v>8</v>
      </c>
      <c r="M32" s="153"/>
      <c r="N32" s="153">
        <v>8</v>
      </c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/>
      <c r="U32" s="153">
        <v>8</v>
      </c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/>
      <c r="AB32" s="153">
        <v>8</v>
      </c>
      <c r="AC32" s="153">
        <v>8</v>
      </c>
      <c r="AD32" s="153"/>
      <c r="AE32" s="153"/>
      <c r="AF32" s="153"/>
      <c r="AG32" s="153"/>
      <c r="AH32" s="153"/>
      <c r="AI32" s="153"/>
      <c r="AJ32" s="153"/>
      <c r="AK32" s="444">
        <f>((SUM(F32:AJ32))/8)-(SUMIF($F$6:$AJ$6,"C.Nhật",F32:AJ32)/8)</f>
        <v>15</v>
      </c>
      <c r="AL32" s="444">
        <f>SUM(F33:AI33)/8*1.5</f>
        <v>0</v>
      </c>
      <c r="AM32" s="446">
        <f>SUMIF($F$6:$AI$6,"C.Nhật",$F32:$AI33)/8*2</f>
        <v>0</v>
      </c>
      <c r="AN32" s="435">
        <f>SUM(AK32:AM33)</f>
        <v>15</v>
      </c>
      <c r="AO32" s="448">
        <v>1</v>
      </c>
      <c r="AP32" s="435"/>
      <c r="AQ32" s="435"/>
      <c r="AR32" s="435"/>
      <c r="AS32" s="437"/>
      <c r="AT32" s="2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439"/>
      <c r="B33" s="440"/>
      <c r="C33" s="441"/>
      <c r="D33" s="443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45"/>
      <c r="AL33" s="445"/>
      <c r="AM33" s="447"/>
      <c r="AN33" s="436"/>
      <c r="AO33" s="449"/>
      <c r="AP33" s="436"/>
      <c r="AQ33" s="436"/>
      <c r="AR33" s="436"/>
      <c r="AS33" s="438"/>
      <c r="AT33" s="2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24" customHeight="1">
      <c r="A34" s="267" t="s">
        <v>187</v>
      </c>
      <c r="B34" s="324" t="s">
        <v>188</v>
      </c>
      <c r="C34" s="267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439">
        <v>13</v>
      </c>
      <c r="B35" s="439" t="s">
        <v>113</v>
      </c>
      <c r="C35" s="462" t="str">
        <f>VLOOKUP(B35,DS,2,0)</f>
        <v>Nguyễn Văn Bé Hai</v>
      </c>
      <c r="D35" s="442" t="str">
        <f>VLOOKUP(B35,DS,3,0)</f>
        <v>Công nhân</v>
      </c>
      <c r="E35" s="58" t="s">
        <v>32</v>
      </c>
      <c r="F35" s="153"/>
      <c r="G35" s="153">
        <v>8</v>
      </c>
      <c r="H35" s="153">
        <v>8</v>
      </c>
      <c r="I35" s="153">
        <v>8</v>
      </c>
      <c r="J35" s="153">
        <v>8</v>
      </c>
      <c r="K35" s="153">
        <v>8</v>
      </c>
      <c r="L35" s="153">
        <v>8</v>
      </c>
      <c r="M35" s="153"/>
      <c r="N35" s="153">
        <v>8</v>
      </c>
      <c r="O35" s="153">
        <v>8</v>
      </c>
      <c r="P35" s="153">
        <v>8</v>
      </c>
      <c r="Q35" s="153">
        <v>8</v>
      </c>
      <c r="R35" s="153">
        <v>8</v>
      </c>
      <c r="S35" s="153">
        <v>8</v>
      </c>
      <c r="T35" s="153"/>
      <c r="U35" s="153">
        <v>8</v>
      </c>
      <c r="V35" s="153">
        <v>8</v>
      </c>
      <c r="W35" s="153">
        <v>8</v>
      </c>
      <c r="X35" s="153">
        <v>8</v>
      </c>
      <c r="Y35" s="153">
        <v>8</v>
      </c>
      <c r="Z35" s="153">
        <v>8</v>
      </c>
      <c r="AA35" s="153"/>
      <c r="AB35" s="153">
        <v>8</v>
      </c>
      <c r="AC35" s="153">
        <v>8</v>
      </c>
      <c r="AD35" s="153"/>
      <c r="AE35" s="153"/>
      <c r="AF35" s="153"/>
      <c r="AG35" s="153"/>
      <c r="AH35" s="153"/>
      <c r="AI35" s="153"/>
      <c r="AJ35" s="153"/>
      <c r="AK35" s="444">
        <f>((SUM(F35:AJ35))/8)-(SUMIF($F$6:$AJ$6,"C.Nhật",F35:AJ35)/8)</f>
        <v>20</v>
      </c>
      <c r="AL35" s="444">
        <f>SUM(F36:AI36)/8*1.5</f>
        <v>0</v>
      </c>
      <c r="AM35" s="446">
        <f>SUMIF($F$6:$AI$6,"C.Nhật",$F35:$AI36)/8*2</f>
        <v>0</v>
      </c>
      <c r="AN35" s="435">
        <f>SUM(AK35:AM36)</f>
        <v>20</v>
      </c>
      <c r="AO35" s="448">
        <v>0</v>
      </c>
      <c r="AP35" s="435"/>
      <c r="AQ35" s="435"/>
      <c r="AR35" s="435"/>
      <c r="AS35" s="437"/>
      <c r="AT35" s="28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439"/>
      <c r="B36" s="439"/>
      <c r="C36" s="462"/>
      <c r="D36" s="44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445"/>
      <c r="AL36" s="445"/>
      <c r="AM36" s="447"/>
      <c r="AN36" s="436"/>
      <c r="AO36" s="449"/>
      <c r="AP36" s="436"/>
      <c r="AQ36" s="436"/>
      <c r="AR36" s="436"/>
      <c r="AS36" s="438"/>
      <c r="AT36" s="28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8" customHeight="1">
      <c r="A37" s="439">
        <v>14</v>
      </c>
      <c r="B37" s="439" t="s">
        <v>118</v>
      </c>
      <c r="C37" s="462" t="str">
        <f>VLOOKUP(B37,DS,2,0)</f>
        <v>Trần Nhiên</v>
      </c>
      <c r="D37" s="442" t="str">
        <f>VLOOKUP(B37,DS,3,0)</f>
        <v>Công nhân</v>
      </c>
      <c r="E37" s="58" t="s">
        <v>32</v>
      </c>
      <c r="F37" s="153"/>
      <c r="G37" s="153">
        <v>8</v>
      </c>
      <c r="H37" s="153">
        <v>8</v>
      </c>
      <c r="I37" s="153">
        <v>8</v>
      </c>
      <c r="J37" s="153">
        <v>8</v>
      </c>
      <c r="K37" s="153">
        <v>8</v>
      </c>
      <c r="L37" s="153">
        <v>8</v>
      </c>
      <c r="M37" s="153"/>
      <c r="N37" s="153">
        <v>8</v>
      </c>
      <c r="O37" s="153">
        <v>8</v>
      </c>
      <c r="P37" s="153">
        <v>8</v>
      </c>
      <c r="Q37" s="153">
        <v>8</v>
      </c>
      <c r="R37" s="153">
        <v>8</v>
      </c>
      <c r="S37" s="153">
        <v>8</v>
      </c>
      <c r="T37" s="153"/>
      <c r="U37" s="153">
        <v>8</v>
      </c>
      <c r="V37" s="153">
        <v>8</v>
      </c>
      <c r="W37" s="153">
        <v>8</v>
      </c>
      <c r="X37" s="153">
        <v>8</v>
      </c>
      <c r="Y37" s="153">
        <v>8</v>
      </c>
      <c r="Z37" s="153">
        <v>8</v>
      </c>
      <c r="AA37" s="153"/>
      <c r="AB37" s="153">
        <v>8</v>
      </c>
      <c r="AC37" s="153">
        <v>8</v>
      </c>
      <c r="AD37" s="153"/>
      <c r="AE37" s="153"/>
      <c r="AF37" s="153"/>
      <c r="AG37" s="153"/>
      <c r="AH37" s="153"/>
      <c r="AI37" s="153"/>
      <c r="AJ37" s="153"/>
      <c r="AK37" s="444">
        <f>((SUM(F37:AJ37))/8)-(SUMIF($F$6:$AJ$6,"C.Nhật",F37:AJ37)/8)</f>
        <v>20</v>
      </c>
      <c r="AL37" s="444">
        <f>SUM(F38:AI38)/8*1.5</f>
        <v>0</v>
      </c>
      <c r="AM37" s="446">
        <f>SUMIF($F$6:$AI$6,"C.Nhật",$F37:$AI38)/8*2</f>
        <v>0</v>
      </c>
      <c r="AN37" s="435">
        <f>SUM(AK37:AM38)</f>
        <v>20</v>
      </c>
      <c r="AO37" s="448">
        <v>0</v>
      </c>
      <c r="AP37" s="435"/>
      <c r="AQ37" s="435"/>
      <c r="AR37" s="435"/>
      <c r="AS37" s="437"/>
      <c r="AT37" s="284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439"/>
      <c r="B38" s="439"/>
      <c r="C38" s="462"/>
      <c r="D38" s="443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445"/>
      <c r="AL38" s="445"/>
      <c r="AM38" s="447"/>
      <c r="AN38" s="436"/>
      <c r="AO38" s="449"/>
      <c r="AP38" s="436"/>
      <c r="AQ38" s="436"/>
      <c r="AR38" s="436"/>
      <c r="AS38" s="438"/>
      <c r="AT38" s="284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57" customFormat="1" ht="18" customHeight="1">
      <c r="A39" s="439">
        <v>15</v>
      </c>
      <c r="B39" s="439" t="s">
        <v>119</v>
      </c>
      <c r="C39" s="462" t="str">
        <f>VLOOKUP(B39,DS,2,0)</f>
        <v>Thạch Giang</v>
      </c>
      <c r="D39" s="442" t="str">
        <f>VLOOKUP(B39,DS,3,0)</f>
        <v>Công nhân</v>
      </c>
      <c r="E39" s="58" t="s">
        <v>32</v>
      </c>
      <c r="F39" s="153"/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>
        <v>8</v>
      </c>
      <c r="M39" s="153"/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>
        <v>8</v>
      </c>
      <c r="T39" s="153"/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>
        <v>8</v>
      </c>
      <c r="AA39" s="153"/>
      <c r="AB39" s="153">
        <v>8</v>
      </c>
      <c r="AC39" s="153">
        <v>8</v>
      </c>
      <c r="AD39" s="153"/>
      <c r="AE39" s="153"/>
      <c r="AF39" s="153"/>
      <c r="AG39" s="153"/>
      <c r="AH39" s="153"/>
      <c r="AI39" s="153"/>
      <c r="AJ39" s="153"/>
      <c r="AK39" s="444">
        <f>((SUM(F39:AJ39))/8)-(SUMIF($F$6:$AJ$6,"C.Nhật",F39:AJ39)/8)</f>
        <v>20</v>
      </c>
      <c r="AL39" s="444">
        <f>SUM(F40:AI40)/8*1.5</f>
        <v>0</v>
      </c>
      <c r="AM39" s="446">
        <f>SUMIF($F$6:$AI$6,"C.Nhật",$F39:$AI40)/8*2</f>
        <v>0</v>
      </c>
      <c r="AN39" s="435">
        <f>SUM(AK39:AM40)</f>
        <v>20</v>
      </c>
      <c r="AO39" s="448">
        <v>0</v>
      </c>
      <c r="AP39" s="435"/>
      <c r="AQ39" s="435"/>
      <c r="AR39" s="435"/>
      <c r="AS39" s="437"/>
      <c r="AT39" s="28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439"/>
      <c r="B40" s="439"/>
      <c r="C40" s="462"/>
      <c r="D40" s="44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45"/>
      <c r="AL40" s="445"/>
      <c r="AM40" s="447"/>
      <c r="AN40" s="436"/>
      <c r="AO40" s="449"/>
      <c r="AP40" s="436"/>
      <c r="AQ40" s="436"/>
      <c r="AR40" s="436"/>
      <c r="AS40" s="438"/>
      <c r="AT40" s="28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439">
        <v>16</v>
      </c>
      <c r="B41" s="439" t="s">
        <v>122</v>
      </c>
      <c r="C41" s="462" t="str">
        <f>VLOOKUP(B41,DS,2,0)</f>
        <v>Lâm Chanh Đa Ra</v>
      </c>
      <c r="D41" s="442" t="str">
        <f>VLOOKUP(B41,DS,3,0)</f>
        <v>Công nhân</v>
      </c>
      <c r="E41" s="58" t="s">
        <v>32</v>
      </c>
      <c r="F41" s="153"/>
      <c r="G41" s="153">
        <v>8</v>
      </c>
      <c r="H41" s="153">
        <v>8</v>
      </c>
      <c r="I41" s="153">
        <v>8</v>
      </c>
      <c r="J41" s="153">
        <v>8</v>
      </c>
      <c r="K41" s="153">
        <v>8</v>
      </c>
      <c r="L41" s="153">
        <v>8</v>
      </c>
      <c r="M41" s="153"/>
      <c r="N41" s="153">
        <v>8</v>
      </c>
      <c r="O41" s="153">
        <v>8</v>
      </c>
      <c r="P41" s="153">
        <v>8</v>
      </c>
      <c r="Q41" s="153">
        <v>8</v>
      </c>
      <c r="R41" s="153">
        <v>8</v>
      </c>
      <c r="S41" s="153">
        <v>8</v>
      </c>
      <c r="T41" s="153"/>
      <c r="U41" s="153">
        <v>8</v>
      </c>
      <c r="V41" s="153">
        <v>8</v>
      </c>
      <c r="W41" s="153">
        <v>8</v>
      </c>
      <c r="X41" s="153">
        <v>8</v>
      </c>
      <c r="Y41" s="153">
        <v>8</v>
      </c>
      <c r="Z41" s="153">
        <v>8</v>
      </c>
      <c r="AA41" s="153"/>
      <c r="AB41" s="153">
        <v>8</v>
      </c>
      <c r="AC41" s="153">
        <v>8</v>
      </c>
      <c r="AD41" s="153"/>
      <c r="AE41" s="153"/>
      <c r="AF41" s="153"/>
      <c r="AG41" s="153"/>
      <c r="AH41" s="153"/>
      <c r="AI41" s="153"/>
      <c r="AJ41" s="153"/>
      <c r="AK41" s="444">
        <f>((SUM(F41:AJ41))/8)-(SUMIF($F$6:$AJ$6,"C.Nhật",F41:AJ41)/8)</f>
        <v>20</v>
      </c>
      <c r="AL41" s="444">
        <f>SUM(F42:AI42)/8*1.5</f>
        <v>0</v>
      </c>
      <c r="AM41" s="446">
        <f>SUMIF($F$6:$AI$6,"C.Nhật",$F41:$AI42)/8*2</f>
        <v>0</v>
      </c>
      <c r="AN41" s="435">
        <f>SUM(AK41:AM42)</f>
        <v>20</v>
      </c>
      <c r="AO41" s="448">
        <v>0</v>
      </c>
      <c r="AP41" s="435"/>
      <c r="AQ41" s="435"/>
      <c r="AR41" s="435"/>
      <c r="AS41" s="437"/>
      <c r="AT41" s="28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439"/>
      <c r="B42" s="439"/>
      <c r="C42" s="462"/>
      <c r="D42" s="443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445"/>
      <c r="AL42" s="445"/>
      <c r="AM42" s="447"/>
      <c r="AN42" s="436"/>
      <c r="AO42" s="449"/>
      <c r="AP42" s="436"/>
      <c r="AQ42" s="436"/>
      <c r="AR42" s="436"/>
      <c r="AS42" s="438"/>
      <c r="AT42" s="28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3" customFormat="1" ht="81.75" customHeight="1">
      <c r="A43" s="11"/>
      <c r="B43" s="11"/>
      <c r="C43" s="3"/>
      <c r="D43" s="101"/>
      <c r="E43" s="3" t="s">
        <v>202</v>
      </c>
      <c r="F43" s="318"/>
      <c r="G43" s="318"/>
      <c r="H43" s="319"/>
      <c r="I43" s="319"/>
      <c r="J43" s="319"/>
      <c r="K43" s="318"/>
      <c r="L43" s="319"/>
      <c r="M43" s="318"/>
      <c r="N43" s="318"/>
      <c r="O43" s="318"/>
      <c r="P43" s="318"/>
      <c r="Q43" s="318"/>
      <c r="R43" s="318"/>
      <c r="S43" s="318"/>
      <c r="T43" s="318"/>
      <c r="U43" s="318"/>
      <c r="V43" s="318"/>
      <c r="W43" s="318"/>
      <c r="X43" s="318"/>
      <c r="Y43" s="318"/>
      <c r="Z43" s="318"/>
      <c r="AA43" s="318"/>
      <c r="AB43" s="318"/>
      <c r="AC43" s="318"/>
      <c r="AD43" s="319"/>
      <c r="AE43" s="318"/>
      <c r="AF43" s="318"/>
      <c r="AG43" s="318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0" s="63" customFormat="1" ht="18" customHeight="1">
      <c r="A44" s="9"/>
      <c r="B44" s="9"/>
      <c r="C44" s="13"/>
      <c r="D44" s="102"/>
      <c r="E44" s="67"/>
      <c r="F44" s="107"/>
      <c r="G44" s="109"/>
      <c r="H44" s="62"/>
      <c r="I44" s="62"/>
      <c r="J44" s="62"/>
      <c r="K44" s="109"/>
      <c r="L44" s="62"/>
      <c r="M44" s="109"/>
      <c r="N44" s="109"/>
      <c r="O44" s="109"/>
      <c r="P44" s="109"/>
      <c r="Q44" s="62"/>
      <c r="R44" s="107"/>
      <c r="S44" s="109"/>
      <c r="T44" s="109"/>
      <c r="U44" s="62"/>
      <c r="V44" s="109"/>
      <c r="W44" s="109"/>
      <c r="X44" s="62"/>
      <c r="Y44" s="109"/>
      <c r="Z44" s="109"/>
      <c r="AA44" s="109"/>
      <c r="AB44" s="109"/>
      <c r="AC44" s="109"/>
      <c r="AD44" s="62"/>
      <c r="AE44" s="109"/>
      <c r="AF44" s="109"/>
      <c r="AG44" s="109"/>
      <c r="AH44" s="109"/>
      <c r="AI44" s="109"/>
      <c r="AJ44" s="109"/>
      <c r="AK44" s="67"/>
      <c r="AM44" s="89"/>
      <c r="AN44" s="9"/>
      <c r="AO44" s="9"/>
      <c r="AP44" s="9"/>
      <c r="AQ44" s="9"/>
      <c r="AR44" s="9"/>
      <c r="AS44" s="13"/>
      <c r="AT44" s="3"/>
    </row>
    <row r="45" spans="1:90" s="63" customFormat="1" ht="18" customHeight="1">
      <c r="A45" s="2"/>
      <c r="B45" s="2" t="s">
        <v>0</v>
      </c>
      <c r="C45" s="2"/>
      <c r="D45" s="282"/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0" s="63" customFormat="1" ht="18" customHeight="1">
      <c r="A46" s="2"/>
      <c r="B46" s="2"/>
      <c r="C46" s="2" t="s">
        <v>46</v>
      </c>
      <c r="D46" s="282"/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0" ht="18" customHeight="1">
      <c r="C47" s="2" t="s">
        <v>47</v>
      </c>
    </row>
    <row r="48" spans="1:90" ht="18" customHeight="1">
      <c r="C48" s="2" t="s">
        <v>48</v>
      </c>
    </row>
    <row r="49" spans="3:3" ht="18" customHeight="1">
      <c r="C49" s="2" t="s">
        <v>49</v>
      </c>
    </row>
    <row r="50" spans="3:3" ht="18" customHeight="1">
      <c r="C50" s="2" t="s">
        <v>50</v>
      </c>
    </row>
    <row r="51" spans="3:3" ht="18" customHeight="1">
      <c r="C51" s="2" t="s">
        <v>51</v>
      </c>
    </row>
    <row r="52" spans="3:3" ht="18" customHeight="1">
      <c r="C52" s="2" t="s">
        <v>52</v>
      </c>
    </row>
    <row r="53" spans="3:3" ht="18" customHeight="1">
      <c r="C53" s="2" t="s">
        <v>53</v>
      </c>
    </row>
    <row r="54" spans="3:3" ht="15" customHeight="1">
      <c r="C54" s="2" t="s">
        <v>54</v>
      </c>
    </row>
    <row r="65" spans="1:91" s="133" customFormat="1" ht="20.25">
      <c r="A65" s="124"/>
      <c r="B65" s="127"/>
      <c r="C65" s="127"/>
      <c r="D65" s="128"/>
      <c r="E65" s="127"/>
      <c r="F65" s="128"/>
      <c r="G65" s="128"/>
      <c r="H65" s="128"/>
      <c r="I65" s="128"/>
      <c r="J65" s="128"/>
      <c r="K65" s="129"/>
      <c r="L65" s="129"/>
      <c r="M65" s="129"/>
      <c r="N65" s="129"/>
      <c r="O65" s="129"/>
      <c r="P65" s="129"/>
      <c r="Q65" s="129"/>
      <c r="R65" s="129"/>
      <c r="S65" s="130" t="str">
        <f>S1</f>
        <v>BẢNG CHẤM CÔNG THÁNG 01 NĂM 2017</v>
      </c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463" t="s">
        <v>112</v>
      </c>
      <c r="AN65" s="464"/>
      <c r="AO65" s="464"/>
      <c r="AP65" s="464"/>
      <c r="AQ65" s="464"/>
      <c r="AR65" s="464"/>
      <c r="AS65" s="465"/>
      <c r="AT65" s="132"/>
    </row>
    <row r="66" spans="1:91" s="133" customFormat="1" ht="20.25">
      <c r="A66" s="124" t="str">
        <f>$A$2</f>
        <v>Công ty TNHH Hải sản An Lạc</v>
      </c>
      <c r="B66" s="128"/>
      <c r="C66" s="128"/>
      <c r="D66" s="128"/>
      <c r="E66" s="128"/>
      <c r="F66" s="128"/>
      <c r="G66" s="128"/>
      <c r="H66" s="128"/>
      <c r="I66" s="128"/>
      <c r="J66" s="128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31"/>
      <c r="AL66" s="131"/>
      <c r="AM66" s="134"/>
      <c r="AN66" s="135"/>
      <c r="AO66" s="135"/>
      <c r="AP66" s="135"/>
      <c r="AQ66" s="135"/>
      <c r="AR66" s="135"/>
      <c r="AS66" s="136"/>
      <c r="AT66" s="136"/>
    </row>
    <row r="67" spans="1:91" s="133" customFormat="1" ht="21" customHeight="1">
      <c r="A67" s="124" t="str">
        <f>$A$3</f>
        <v>Địa chỉ: Lô A14, đường 4A, KCN Hải Sơn, Đức Hòa, Long An</v>
      </c>
      <c r="B67" s="137"/>
      <c r="C67" s="137"/>
      <c r="D67" s="138"/>
      <c r="E67" s="138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134"/>
      <c r="AN67" s="132"/>
      <c r="AO67" s="132"/>
      <c r="AP67" s="132"/>
      <c r="AQ67" s="132"/>
      <c r="AR67" s="132"/>
      <c r="AS67" s="139"/>
      <c r="AT67" s="139"/>
    </row>
    <row r="68" spans="1:91" s="133" customFormat="1" ht="14.25" customHeight="1">
      <c r="A68" s="140"/>
      <c r="B68" s="140"/>
      <c r="C68" s="141"/>
      <c r="D68" s="142"/>
      <c r="E68" s="143">
        <f>$E$4</f>
        <v>42736</v>
      </c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5"/>
      <c r="AI68" s="145"/>
      <c r="AJ68" s="145"/>
      <c r="AK68" s="140"/>
      <c r="AL68" s="140"/>
      <c r="AM68" s="146"/>
      <c r="AN68" s="140"/>
      <c r="AO68" s="140"/>
      <c r="AP68" s="140"/>
      <c r="AQ68" s="140"/>
      <c r="AR68" s="140"/>
      <c r="AS68" s="140"/>
      <c r="AT68" s="147"/>
    </row>
    <row r="69" spans="1:91" s="149" customFormat="1" ht="18.75" customHeight="1">
      <c r="A69" s="466" t="s">
        <v>28</v>
      </c>
      <c r="B69" s="466" t="s">
        <v>3</v>
      </c>
      <c r="C69" s="466" t="s">
        <v>1</v>
      </c>
      <c r="D69" s="468" t="s">
        <v>29</v>
      </c>
      <c r="E69" s="466" t="s">
        <v>30</v>
      </c>
      <c r="F69" s="148">
        <f>+E68</f>
        <v>42736</v>
      </c>
      <c r="G69" s="148">
        <f t="shared" ref="G69:AG69" si="4">F69+1</f>
        <v>42737</v>
      </c>
      <c r="H69" s="148">
        <f t="shared" si="4"/>
        <v>42738</v>
      </c>
      <c r="I69" s="148">
        <f t="shared" si="4"/>
        <v>42739</v>
      </c>
      <c r="J69" s="148">
        <f t="shared" si="4"/>
        <v>42740</v>
      </c>
      <c r="K69" s="148">
        <f t="shared" si="4"/>
        <v>42741</v>
      </c>
      <c r="L69" s="148">
        <f t="shared" si="4"/>
        <v>42742</v>
      </c>
      <c r="M69" s="148">
        <f t="shared" si="4"/>
        <v>42743</v>
      </c>
      <c r="N69" s="148">
        <f t="shared" si="4"/>
        <v>42744</v>
      </c>
      <c r="O69" s="148">
        <f t="shared" si="4"/>
        <v>42745</v>
      </c>
      <c r="P69" s="148">
        <f t="shared" si="4"/>
        <v>42746</v>
      </c>
      <c r="Q69" s="148">
        <f t="shared" si="4"/>
        <v>42747</v>
      </c>
      <c r="R69" s="148">
        <f t="shared" si="4"/>
        <v>42748</v>
      </c>
      <c r="S69" s="148">
        <f t="shared" si="4"/>
        <v>42749</v>
      </c>
      <c r="T69" s="148">
        <f t="shared" si="4"/>
        <v>42750</v>
      </c>
      <c r="U69" s="148">
        <f t="shared" si="4"/>
        <v>42751</v>
      </c>
      <c r="V69" s="148">
        <f t="shared" si="4"/>
        <v>42752</v>
      </c>
      <c r="W69" s="148">
        <f t="shared" si="4"/>
        <v>42753</v>
      </c>
      <c r="X69" s="148">
        <f t="shared" si="4"/>
        <v>42754</v>
      </c>
      <c r="Y69" s="148">
        <f t="shared" si="4"/>
        <v>42755</v>
      </c>
      <c r="Z69" s="148">
        <f t="shared" si="4"/>
        <v>42756</v>
      </c>
      <c r="AA69" s="148">
        <f t="shared" si="4"/>
        <v>42757</v>
      </c>
      <c r="AB69" s="148">
        <f t="shared" si="4"/>
        <v>42758</v>
      </c>
      <c r="AC69" s="148">
        <f t="shared" si="4"/>
        <v>42759</v>
      </c>
      <c r="AD69" s="148">
        <f t="shared" si="4"/>
        <v>42760</v>
      </c>
      <c r="AE69" s="148">
        <f t="shared" si="4"/>
        <v>42761</v>
      </c>
      <c r="AF69" s="148">
        <f t="shared" si="4"/>
        <v>42762</v>
      </c>
      <c r="AG69" s="148">
        <f t="shared" si="4"/>
        <v>42763</v>
      </c>
      <c r="AH69" s="148">
        <f>AG69+1</f>
        <v>42764</v>
      </c>
      <c r="AI69" s="148">
        <f>AH69+1</f>
        <v>42765</v>
      </c>
      <c r="AJ69" s="148"/>
      <c r="AK69" s="476" t="s">
        <v>15</v>
      </c>
      <c r="AL69" s="477"/>
      <c r="AM69" s="478"/>
      <c r="AN69" s="479" t="s">
        <v>45</v>
      </c>
      <c r="AO69" s="479" t="s">
        <v>41</v>
      </c>
      <c r="AP69" s="479" t="s">
        <v>42</v>
      </c>
      <c r="AQ69" s="479" t="s">
        <v>43</v>
      </c>
      <c r="AR69" s="479" t="s">
        <v>44</v>
      </c>
      <c r="AS69" s="468" t="s">
        <v>0</v>
      </c>
      <c r="AT69" s="469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43.5" customHeight="1">
      <c r="A70" s="467"/>
      <c r="B70" s="467"/>
      <c r="C70" s="467"/>
      <c r="D70" s="467"/>
      <c r="E70" s="467"/>
      <c r="F70" s="278" t="str">
        <f>CHOOSE(WEEKDAY(F69),"C.Nhật","T.Hai","T.Ba","T.Tư","T.Năm","T.Sáu","T.Bảy")</f>
        <v>C.Nhật</v>
      </c>
      <c r="G70" s="278" t="str">
        <f t="shared" ref="G70:AI70" si="5">CHOOSE(WEEKDAY(G69),"C.Nhật","T.Hai","T.Ba","T.Tư","T.Năm","T.Sáu","T.Bảy")</f>
        <v>T.Hai</v>
      </c>
      <c r="H70" s="278" t="str">
        <f t="shared" si="5"/>
        <v>T.Ba</v>
      </c>
      <c r="I70" s="278" t="str">
        <f t="shared" si="5"/>
        <v>T.Tư</v>
      </c>
      <c r="J70" s="278" t="str">
        <f t="shared" si="5"/>
        <v>T.Năm</v>
      </c>
      <c r="K70" s="150" t="str">
        <f t="shared" si="5"/>
        <v>T.Sáu</v>
      </c>
      <c r="L70" s="150" t="str">
        <f t="shared" si="5"/>
        <v>T.Bảy</v>
      </c>
      <c r="M70" s="150" t="str">
        <f t="shared" si="5"/>
        <v>C.Nhật</v>
      </c>
      <c r="N70" s="150" t="str">
        <f t="shared" si="5"/>
        <v>T.Hai</v>
      </c>
      <c r="O70" s="150" t="str">
        <f t="shared" si="5"/>
        <v>T.Ba</v>
      </c>
      <c r="P70" s="150" t="str">
        <f t="shared" si="5"/>
        <v>T.Tư</v>
      </c>
      <c r="Q70" s="150" t="str">
        <f t="shared" si="5"/>
        <v>T.Năm</v>
      </c>
      <c r="R70" s="150" t="str">
        <f t="shared" si="5"/>
        <v>T.Sáu</v>
      </c>
      <c r="S70" s="150" t="str">
        <f t="shared" si="5"/>
        <v>T.Bảy</v>
      </c>
      <c r="T70" s="150" t="str">
        <f t="shared" si="5"/>
        <v>C.Nhật</v>
      </c>
      <c r="U70" s="150" t="str">
        <f t="shared" si="5"/>
        <v>T.Hai</v>
      </c>
      <c r="V70" s="150" t="str">
        <f t="shared" si="5"/>
        <v>T.Ba</v>
      </c>
      <c r="W70" s="150" t="str">
        <f t="shared" si="5"/>
        <v>T.Tư</v>
      </c>
      <c r="X70" s="150" t="str">
        <f t="shared" si="5"/>
        <v>T.Năm</v>
      </c>
      <c r="Y70" s="150" t="str">
        <f t="shared" si="5"/>
        <v>T.Sáu</v>
      </c>
      <c r="Z70" s="150" t="str">
        <f t="shared" si="5"/>
        <v>T.Bảy</v>
      </c>
      <c r="AA70" s="150" t="str">
        <f t="shared" si="5"/>
        <v>C.Nhật</v>
      </c>
      <c r="AB70" s="150" t="str">
        <f t="shared" si="5"/>
        <v>T.Hai</v>
      </c>
      <c r="AC70" s="150" t="str">
        <f t="shared" si="5"/>
        <v>T.Ba</v>
      </c>
      <c r="AD70" s="150" t="str">
        <f t="shared" si="5"/>
        <v>T.Tư</v>
      </c>
      <c r="AE70" s="150" t="str">
        <f t="shared" si="5"/>
        <v>T.Năm</v>
      </c>
      <c r="AF70" s="150" t="str">
        <f t="shared" si="5"/>
        <v>T.Sáu</v>
      </c>
      <c r="AG70" s="150" t="str">
        <f t="shared" si="5"/>
        <v>T.Bảy</v>
      </c>
      <c r="AH70" s="150" t="str">
        <f t="shared" si="5"/>
        <v>C.Nhật</v>
      </c>
      <c r="AI70" s="150" t="str">
        <f t="shared" si="5"/>
        <v>T.Hai</v>
      </c>
      <c r="AJ70" s="150"/>
      <c r="AK70" s="151" t="s">
        <v>16</v>
      </c>
      <c r="AL70" s="151" t="s">
        <v>31</v>
      </c>
      <c r="AM70" s="152" t="s">
        <v>17</v>
      </c>
      <c r="AN70" s="480"/>
      <c r="AO70" s="480"/>
      <c r="AP70" s="480"/>
      <c r="AQ70" s="480"/>
      <c r="AR70" s="480"/>
      <c r="AS70" s="467"/>
      <c r="AT70" s="469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2.75" customHeight="1">
      <c r="A71" s="279">
        <v>1</v>
      </c>
      <c r="B71" s="279">
        <v>2</v>
      </c>
      <c r="C71" s="279">
        <v>3</v>
      </c>
      <c r="D71" s="279">
        <v>4</v>
      </c>
      <c r="E71" s="279">
        <v>5</v>
      </c>
      <c r="F71" s="279">
        <v>6</v>
      </c>
      <c r="G71" s="279">
        <v>7</v>
      </c>
      <c r="H71" s="279">
        <v>8</v>
      </c>
      <c r="I71" s="279">
        <v>9</v>
      </c>
      <c r="J71" s="279">
        <v>10</v>
      </c>
      <c r="K71" s="279">
        <v>11</v>
      </c>
      <c r="L71" s="279">
        <v>12</v>
      </c>
      <c r="M71" s="279">
        <v>13</v>
      </c>
      <c r="N71" s="279">
        <v>14</v>
      </c>
      <c r="O71" s="279">
        <v>15</v>
      </c>
      <c r="P71" s="279">
        <v>16</v>
      </c>
      <c r="Q71" s="279">
        <v>17</v>
      </c>
      <c r="R71" s="279">
        <v>18</v>
      </c>
      <c r="S71" s="279">
        <v>19</v>
      </c>
      <c r="T71" s="279">
        <v>20</v>
      </c>
      <c r="U71" s="279">
        <v>21</v>
      </c>
      <c r="V71" s="279">
        <v>22</v>
      </c>
      <c r="W71" s="279">
        <v>23</v>
      </c>
      <c r="X71" s="279">
        <v>24</v>
      </c>
      <c r="Y71" s="279">
        <v>25</v>
      </c>
      <c r="Z71" s="279">
        <v>26</v>
      </c>
      <c r="AA71" s="279">
        <v>27</v>
      </c>
      <c r="AB71" s="279">
        <v>28</v>
      </c>
      <c r="AC71" s="279">
        <v>29</v>
      </c>
      <c r="AD71" s="279">
        <v>30</v>
      </c>
      <c r="AE71" s="279">
        <v>31</v>
      </c>
      <c r="AF71" s="279">
        <v>32</v>
      </c>
      <c r="AG71" s="279">
        <v>33</v>
      </c>
      <c r="AH71" s="279">
        <v>34</v>
      </c>
      <c r="AI71" s="279">
        <v>35</v>
      </c>
      <c r="AJ71" s="279">
        <v>36</v>
      </c>
      <c r="AK71" s="279">
        <v>37</v>
      </c>
      <c r="AL71" s="279">
        <v>38</v>
      </c>
      <c r="AM71" s="279">
        <v>39</v>
      </c>
      <c r="AN71" s="279">
        <v>40</v>
      </c>
      <c r="AO71" s="279">
        <v>41</v>
      </c>
      <c r="AP71" s="279">
        <v>42</v>
      </c>
      <c r="AQ71" s="279">
        <v>43</v>
      </c>
      <c r="AR71" s="279">
        <v>44</v>
      </c>
      <c r="AS71" s="279">
        <v>45</v>
      </c>
      <c r="AT71" s="285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470">
        <v>1</v>
      </c>
      <c r="B72" s="470" t="s">
        <v>68</v>
      </c>
      <c r="C72" s="472" t="str">
        <f>VLOOKUP(B72,DS,2,0)</f>
        <v>Nguyễn Thiện Duy</v>
      </c>
      <c r="D72" s="474" t="str">
        <f>VLOOKUP(B72,DS,3,0)</f>
        <v>Giám đốc</v>
      </c>
      <c r="E72" s="58" t="s">
        <v>32</v>
      </c>
      <c r="F72" s="153"/>
      <c r="G72" s="153">
        <v>8</v>
      </c>
      <c r="H72" s="153">
        <v>8</v>
      </c>
      <c r="I72" s="153">
        <v>8</v>
      </c>
      <c r="J72" s="153">
        <v>8</v>
      </c>
      <c r="K72" s="153">
        <v>8</v>
      </c>
      <c r="L72" s="153"/>
      <c r="M72" s="153"/>
      <c r="N72" s="153">
        <v>8</v>
      </c>
      <c r="O72" s="153">
        <v>8</v>
      </c>
      <c r="P72" s="153">
        <v>8</v>
      </c>
      <c r="Q72" s="153">
        <v>8</v>
      </c>
      <c r="R72" s="153">
        <v>8</v>
      </c>
      <c r="S72" s="153"/>
      <c r="T72" s="153"/>
      <c r="U72" s="153">
        <v>8</v>
      </c>
      <c r="V72" s="153">
        <v>8</v>
      </c>
      <c r="W72" s="153">
        <v>8</v>
      </c>
      <c r="X72" s="153">
        <v>8</v>
      </c>
      <c r="Y72" s="153">
        <v>8</v>
      </c>
      <c r="Z72" s="153"/>
      <c r="AA72" s="153"/>
      <c r="AB72" s="153">
        <v>8</v>
      </c>
      <c r="AC72" s="153">
        <v>8</v>
      </c>
      <c r="AD72" s="153"/>
      <c r="AE72" s="153"/>
      <c r="AF72" s="153"/>
      <c r="AG72" s="153"/>
      <c r="AH72" s="153"/>
      <c r="AI72" s="153"/>
      <c r="AJ72" s="153"/>
      <c r="AK72" s="444">
        <f>((SUM(F72:AJ72))/8)-(SUMIF($F$6:$AJ$6,"C.Nhật",F72:AJ72)/8)</f>
        <v>17</v>
      </c>
      <c r="AL72" s="444">
        <f>SUM(F73:AI73)/8*1.5</f>
        <v>0</v>
      </c>
      <c r="AM72" s="446">
        <f>SUMIF($F$6:$AI$6,"C.Nhật",$F72:$AI73)/8*2</f>
        <v>0</v>
      </c>
      <c r="AN72" s="435">
        <f>SUM(AK72:AM73)</f>
        <v>17</v>
      </c>
      <c r="AO72" s="481">
        <v>0</v>
      </c>
      <c r="AP72" s="483"/>
      <c r="AQ72" s="483"/>
      <c r="AR72" s="483"/>
      <c r="AS72" s="485"/>
      <c r="AT72" s="285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471"/>
      <c r="B73" s="471"/>
      <c r="C73" s="473"/>
      <c r="D73" s="475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445"/>
      <c r="AL73" s="445"/>
      <c r="AM73" s="447"/>
      <c r="AN73" s="436"/>
      <c r="AO73" s="482"/>
      <c r="AP73" s="484"/>
      <c r="AQ73" s="484"/>
      <c r="AR73" s="484"/>
      <c r="AS73" s="486"/>
      <c r="AT73" s="285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470">
        <f>A72+1</f>
        <v>2</v>
      </c>
      <c r="B74" s="470" t="s">
        <v>70</v>
      </c>
      <c r="C74" s="472" t="str">
        <f>VLOOKUP(B74,DS,2,0)</f>
        <v>Nguyễn Văn Sẽ</v>
      </c>
      <c r="D74" s="474" t="str">
        <f>VLOOKUP(B74,DS,3,0)</f>
        <v>Kỹ Thuật</v>
      </c>
      <c r="E74" s="58" t="s">
        <v>32</v>
      </c>
      <c r="F74" s="153"/>
      <c r="G74" s="153">
        <v>8</v>
      </c>
      <c r="H74" s="153">
        <v>8</v>
      </c>
      <c r="I74" s="153">
        <v>8</v>
      </c>
      <c r="J74" s="153">
        <v>8</v>
      </c>
      <c r="K74" s="153">
        <v>8</v>
      </c>
      <c r="L74" s="153">
        <v>8</v>
      </c>
      <c r="M74" s="153"/>
      <c r="N74" s="153">
        <v>8</v>
      </c>
      <c r="O74" s="153">
        <v>8</v>
      </c>
      <c r="P74" s="153">
        <v>8</v>
      </c>
      <c r="Q74" s="153">
        <v>8</v>
      </c>
      <c r="R74" s="153">
        <v>8</v>
      </c>
      <c r="S74" s="153">
        <v>8</v>
      </c>
      <c r="T74" s="153"/>
      <c r="U74" s="153">
        <v>8</v>
      </c>
      <c r="V74" s="153">
        <v>8</v>
      </c>
      <c r="W74" s="153">
        <v>8</v>
      </c>
      <c r="X74" s="153">
        <v>8</v>
      </c>
      <c r="Y74" s="153">
        <v>8</v>
      </c>
      <c r="Z74" s="153">
        <v>8</v>
      </c>
      <c r="AA74" s="153"/>
      <c r="AB74" s="153">
        <v>8</v>
      </c>
      <c r="AC74" s="153">
        <v>8</v>
      </c>
      <c r="AD74" s="153"/>
      <c r="AE74" s="153"/>
      <c r="AF74" s="153"/>
      <c r="AG74" s="153"/>
      <c r="AH74" s="153"/>
      <c r="AI74" s="153"/>
      <c r="AJ74" s="153"/>
      <c r="AK74" s="444">
        <f>((SUM(F74:AJ74))/8)-(SUMIF($F$6:$AJ$6,"C.Nhật",F74:AJ74)/8)</f>
        <v>20</v>
      </c>
      <c r="AL74" s="444">
        <f>SUM(F75:AI75)/8*1.5</f>
        <v>0</v>
      </c>
      <c r="AM74" s="446">
        <f>SUMIF($F$6:$AI$6,"C.Nhật",$F74:$AI75)/8*2</f>
        <v>0</v>
      </c>
      <c r="AN74" s="435">
        <f>SUM(AK74:AM75)</f>
        <v>20</v>
      </c>
      <c r="AO74" s="481">
        <v>0</v>
      </c>
      <c r="AP74" s="483"/>
      <c r="AQ74" s="483"/>
      <c r="AR74" s="483"/>
      <c r="AS74" s="485"/>
      <c r="AT74" s="285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471"/>
      <c r="B75" s="471"/>
      <c r="C75" s="473"/>
      <c r="D75" s="475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445"/>
      <c r="AL75" s="445"/>
      <c r="AM75" s="447"/>
      <c r="AN75" s="436"/>
      <c r="AO75" s="482"/>
      <c r="AP75" s="484"/>
      <c r="AQ75" s="484"/>
      <c r="AR75" s="484"/>
      <c r="AS75" s="486"/>
      <c r="AT75" s="285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487">
        <f>A74+1</f>
        <v>3</v>
      </c>
      <c r="B76" s="487" t="s">
        <v>72</v>
      </c>
      <c r="C76" s="472" t="str">
        <f>VLOOKUP(B76,DS,2,0)</f>
        <v>Võ Uyên Phương</v>
      </c>
      <c r="D76" s="474" t="str">
        <f>VLOOKUP(B76,DS,3,0)</f>
        <v>Kế toán</v>
      </c>
      <c r="E76" s="58" t="s">
        <v>32</v>
      </c>
      <c r="F76" s="153"/>
      <c r="G76" s="153">
        <v>8</v>
      </c>
      <c r="H76" s="153">
        <v>8</v>
      </c>
      <c r="I76" s="153">
        <v>8</v>
      </c>
      <c r="J76" s="153">
        <v>8</v>
      </c>
      <c r="K76" s="153">
        <v>8</v>
      </c>
      <c r="L76" s="153">
        <v>8</v>
      </c>
      <c r="M76" s="153"/>
      <c r="N76" s="153">
        <v>8</v>
      </c>
      <c r="O76" s="153">
        <v>8</v>
      </c>
      <c r="P76" s="153">
        <v>8</v>
      </c>
      <c r="Q76" s="153">
        <v>8</v>
      </c>
      <c r="R76" s="153">
        <v>8</v>
      </c>
      <c r="S76" s="153">
        <v>8</v>
      </c>
      <c r="T76" s="153"/>
      <c r="U76" s="153">
        <v>8</v>
      </c>
      <c r="V76" s="153">
        <v>8</v>
      </c>
      <c r="W76" s="153">
        <v>8</v>
      </c>
      <c r="X76" s="153">
        <v>8</v>
      </c>
      <c r="Y76" s="153">
        <v>8</v>
      </c>
      <c r="Z76" s="153">
        <v>8</v>
      </c>
      <c r="AA76" s="153"/>
      <c r="AB76" s="153">
        <v>8</v>
      </c>
      <c r="AC76" s="153">
        <v>8</v>
      </c>
      <c r="AD76" s="153"/>
      <c r="AE76" s="153"/>
      <c r="AF76" s="153"/>
      <c r="AG76" s="153"/>
      <c r="AH76" s="153"/>
      <c r="AI76" s="153"/>
      <c r="AJ76" s="153"/>
      <c r="AK76" s="444">
        <f>((SUM(F76:AJ76))/8)-(SUMIF($F$6:$AJ$6,"C.Nhật",F76:AJ76)/8)</f>
        <v>20</v>
      </c>
      <c r="AL76" s="444">
        <f>SUM(F77:AI77)/8*1.5</f>
        <v>0</v>
      </c>
      <c r="AM76" s="446">
        <f>SUMIF($F$6:$AI$6,"C.Nhật",$F76:$AI77)/8*2</f>
        <v>0</v>
      </c>
      <c r="AN76" s="435">
        <f>SUM(AK76:AM77)</f>
        <v>20</v>
      </c>
      <c r="AO76" s="481">
        <v>0</v>
      </c>
      <c r="AP76" s="483"/>
      <c r="AQ76" s="483"/>
      <c r="AR76" s="483"/>
      <c r="AS76" s="485"/>
      <c r="AT76" s="285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487"/>
      <c r="B77" s="487"/>
      <c r="C77" s="473"/>
      <c r="D77" s="475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445"/>
      <c r="AL77" s="445"/>
      <c r="AM77" s="447"/>
      <c r="AN77" s="436"/>
      <c r="AO77" s="482"/>
      <c r="AP77" s="484"/>
      <c r="AQ77" s="484"/>
      <c r="AR77" s="484"/>
      <c r="AS77" s="486"/>
      <c r="AT77" s="285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87">
        <f>A76+1</f>
        <v>4</v>
      </c>
      <c r="B78" s="487" t="s">
        <v>75</v>
      </c>
      <c r="C78" s="472" t="str">
        <f>VLOOKUP(B78,DS,2,0)</f>
        <v>Lê Nguyễn Huy Cường</v>
      </c>
      <c r="D78" s="474" t="str">
        <f>VLOOKUP(B78,DS,3,0)</f>
        <v>XNK</v>
      </c>
      <c r="E78" s="58" t="s">
        <v>32</v>
      </c>
      <c r="F78" s="153"/>
      <c r="G78" s="153">
        <v>8</v>
      </c>
      <c r="H78" s="153">
        <v>8</v>
      </c>
      <c r="I78" s="153">
        <v>8</v>
      </c>
      <c r="J78" s="153">
        <v>8</v>
      </c>
      <c r="K78" s="153">
        <v>8</v>
      </c>
      <c r="L78" s="153">
        <v>8</v>
      </c>
      <c r="M78" s="153"/>
      <c r="N78" s="153">
        <v>8</v>
      </c>
      <c r="O78" s="153">
        <v>8</v>
      </c>
      <c r="P78" s="153">
        <v>8</v>
      </c>
      <c r="Q78" s="153">
        <v>8</v>
      </c>
      <c r="R78" s="153">
        <v>8</v>
      </c>
      <c r="S78" s="153">
        <v>8</v>
      </c>
      <c r="T78" s="153"/>
      <c r="U78" s="153">
        <v>8</v>
      </c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>
        <v>8</v>
      </c>
      <c r="AC78" s="153">
        <v>8</v>
      </c>
      <c r="AD78" s="153"/>
      <c r="AE78" s="153"/>
      <c r="AF78" s="153"/>
      <c r="AG78" s="153"/>
      <c r="AH78" s="153"/>
      <c r="AI78" s="153"/>
      <c r="AJ78" s="153"/>
      <c r="AK78" s="444">
        <f>((SUM(F78:AJ78))/8)-(SUMIF($F$6:$AJ$6,"C.Nhật",F78:AJ78)/8)</f>
        <v>20</v>
      </c>
      <c r="AL78" s="444">
        <f>SUM(F79:AI79)/8*1.5</f>
        <v>0</v>
      </c>
      <c r="AM78" s="446">
        <f>SUMIF($F$6:$AI$6,"C.Nhật",$F78:$AI79)/8*2</f>
        <v>0</v>
      </c>
      <c r="AN78" s="435">
        <f>SUM(AK78:AM79)</f>
        <v>20</v>
      </c>
      <c r="AO78" s="481">
        <v>0</v>
      </c>
      <c r="AP78" s="483"/>
      <c r="AQ78" s="483"/>
      <c r="AR78" s="483"/>
      <c r="AS78" s="485"/>
      <c r="AT78" s="285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87"/>
      <c r="B79" s="487"/>
      <c r="C79" s="473"/>
      <c r="D79" s="475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45"/>
      <c r="AL79" s="445"/>
      <c r="AM79" s="447"/>
      <c r="AN79" s="436"/>
      <c r="AO79" s="482"/>
      <c r="AP79" s="484"/>
      <c r="AQ79" s="484"/>
      <c r="AR79" s="484"/>
      <c r="AS79" s="486"/>
      <c r="AT79" s="285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87">
        <f>A78+1</f>
        <v>5</v>
      </c>
      <c r="B80" s="487" t="s">
        <v>77</v>
      </c>
      <c r="C80" s="472" t="str">
        <f>VLOOKUP(B80,DS,2,0)</f>
        <v>Nguyễn Văn Bé Tư</v>
      </c>
      <c r="D80" s="474" t="str">
        <f>VLOOKUP(B80,DS,3,0)</f>
        <v>Tài xế</v>
      </c>
      <c r="E80" s="58" t="s">
        <v>32</v>
      </c>
      <c r="F80" s="153"/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>
        <v>8</v>
      </c>
      <c r="M80" s="153"/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/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/>
      <c r="AB80" s="153">
        <v>8</v>
      </c>
      <c r="AC80" s="153">
        <v>8</v>
      </c>
      <c r="AD80" s="153"/>
      <c r="AE80" s="153"/>
      <c r="AF80" s="153"/>
      <c r="AG80" s="153"/>
      <c r="AH80" s="153"/>
      <c r="AI80" s="153"/>
      <c r="AJ80" s="153"/>
      <c r="AK80" s="444">
        <f>((SUM(F80:AJ80))/8)-(SUMIF($F$6:$AJ$6,"C.Nhật",F80:AJ80)/8)</f>
        <v>20</v>
      </c>
      <c r="AL80" s="444">
        <f>SUM(F81:AI81)/8*1.5</f>
        <v>0</v>
      </c>
      <c r="AM80" s="446">
        <f>SUMIF($F$6:$AI$6,"C.Nhật",$F80:$AI81)/8*2</f>
        <v>0</v>
      </c>
      <c r="AN80" s="435">
        <f>SUM(AK80:AM81)</f>
        <v>20</v>
      </c>
      <c r="AO80" s="481">
        <v>0</v>
      </c>
      <c r="AP80" s="483"/>
      <c r="AQ80" s="483"/>
      <c r="AR80" s="483"/>
      <c r="AS80" s="485"/>
      <c r="AT80" s="285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87"/>
      <c r="B81" s="487"/>
      <c r="C81" s="473"/>
      <c r="D81" s="475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45"/>
      <c r="AL81" s="445"/>
      <c r="AM81" s="447"/>
      <c r="AN81" s="436"/>
      <c r="AO81" s="482"/>
      <c r="AP81" s="484"/>
      <c r="AQ81" s="484"/>
      <c r="AR81" s="484"/>
      <c r="AS81" s="486"/>
      <c r="AT81" s="285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87">
        <f>A80+1</f>
        <v>6</v>
      </c>
      <c r="B82" s="487" t="s">
        <v>78</v>
      </c>
      <c r="C82" s="472" t="str">
        <f>VLOOKUP(B82,DS,2,0)</f>
        <v>Dương Thanh Tuấn</v>
      </c>
      <c r="D82" s="474" t="str">
        <f>VLOOKUP(B82,DS,3,0)</f>
        <v>Nhân sự</v>
      </c>
      <c r="E82" s="58" t="s">
        <v>32</v>
      </c>
      <c r="F82" s="153"/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>
        <v>8</v>
      </c>
      <c r="M82" s="153"/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/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/>
      <c r="AB82" s="153">
        <v>8</v>
      </c>
      <c r="AC82" s="153">
        <v>8</v>
      </c>
      <c r="AD82" s="153"/>
      <c r="AE82" s="153"/>
      <c r="AF82" s="153"/>
      <c r="AG82" s="153"/>
      <c r="AH82" s="153"/>
      <c r="AI82" s="153"/>
      <c r="AJ82" s="153"/>
      <c r="AK82" s="444">
        <f>((SUM(F82:AJ82))/8)-(SUMIF($F$6:$AJ$6,"C.Nhật",F82:AJ82)/8)</f>
        <v>19</v>
      </c>
      <c r="AL82" s="444">
        <f>SUM(F83:AI83)/8*1.5</f>
        <v>0</v>
      </c>
      <c r="AM82" s="446">
        <f>SUMIF($F$6:$AI$6,"C.Nhật",$F82:$AI83)/8*2</f>
        <v>0</v>
      </c>
      <c r="AN82" s="435">
        <f>SUM(AK82:AM83)</f>
        <v>19</v>
      </c>
      <c r="AO82" s="481">
        <v>0</v>
      </c>
      <c r="AP82" s="483"/>
      <c r="AQ82" s="483"/>
      <c r="AR82" s="483"/>
      <c r="AS82" s="485"/>
      <c r="AT82" s="285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87"/>
      <c r="B83" s="487"/>
      <c r="C83" s="473"/>
      <c r="D83" s="475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45"/>
      <c r="AL83" s="445"/>
      <c r="AM83" s="447"/>
      <c r="AN83" s="436"/>
      <c r="AO83" s="482"/>
      <c r="AP83" s="484"/>
      <c r="AQ83" s="484"/>
      <c r="AR83" s="484"/>
      <c r="AS83" s="486"/>
      <c r="AT83" s="285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88">
        <v>7</v>
      </c>
      <c r="B84" s="487" t="s">
        <v>192</v>
      </c>
      <c r="C84" s="489" t="str">
        <f t="shared" ref="C84" si="6">VLOOKUP(B84,DS,2,0)</f>
        <v>Trần Đình Thái</v>
      </c>
      <c r="D84" s="491" t="str">
        <f t="shared" ref="D84" si="7">VLOOKUP(B84,DS,3,0)</f>
        <v>Cơ Điện</v>
      </c>
      <c r="E84" s="58" t="s">
        <v>32</v>
      </c>
      <c r="F84" s="153"/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>
        <v>8</v>
      </c>
      <c r="M84" s="153"/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/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/>
      <c r="AB84" s="153">
        <v>8</v>
      </c>
      <c r="AC84" s="153">
        <v>8</v>
      </c>
      <c r="AD84" s="153"/>
      <c r="AE84" s="153"/>
      <c r="AF84" s="153"/>
      <c r="AG84" s="153"/>
      <c r="AH84" s="153"/>
      <c r="AI84" s="153"/>
      <c r="AJ84" s="153"/>
      <c r="AK84" s="444">
        <f>((SUM(F84:AJ84))/8)-(SUMIF($F$6:$AJ$6,"C.Nhật",F84:AJ84)/8)</f>
        <v>20</v>
      </c>
      <c r="AL84" s="444">
        <f>SUM(F85:AI85)/8*1.5</f>
        <v>0</v>
      </c>
      <c r="AM84" s="446">
        <f>SUMIF($F$6:$AI$6,"C.Nhật",$F84:$AI85)/8*2</f>
        <v>0</v>
      </c>
      <c r="AN84" s="435">
        <f>SUM(AK84:AM85)</f>
        <v>20</v>
      </c>
      <c r="AO84" s="481">
        <v>0</v>
      </c>
      <c r="AP84" s="483"/>
      <c r="AQ84" s="483"/>
      <c r="AR84" s="483"/>
      <c r="AS84" s="298"/>
      <c r="AT84" s="285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88"/>
      <c r="B85" s="487"/>
      <c r="C85" s="490"/>
      <c r="D85" s="492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45"/>
      <c r="AL85" s="445"/>
      <c r="AM85" s="447"/>
      <c r="AN85" s="436"/>
      <c r="AO85" s="482"/>
      <c r="AP85" s="484"/>
      <c r="AQ85" s="484"/>
      <c r="AR85" s="484"/>
      <c r="AS85" s="298"/>
      <c r="AT85" s="285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87">
        <v>8</v>
      </c>
      <c r="B86" s="487" t="s">
        <v>81</v>
      </c>
      <c r="C86" s="472" t="str">
        <f>VLOOKUP(B86,DS,2,0)</f>
        <v>Nguyễn Thiện Duyệt</v>
      </c>
      <c r="D86" s="474" t="str">
        <f>VLOOKUP(B86,DS,3,0)</f>
        <v>XNK</v>
      </c>
      <c r="E86" s="58" t="s">
        <v>32</v>
      </c>
      <c r="F86" s="153"/>
      <c r="G86" s="153">
        <v>8</v>
      </c>
      <c r="H86" s="153">
        <v>8</v>
      </c>
      <c r="I86" s="153">
        <v>8</v>
      </c>
      <c r="J86" s="153">
        <v>8</v>
      </c>
      <c r="K86" s="153">
        <v>8</v>
      </c>
      <c r="L86" s="153">
        <v>8</v>
      </c>
      <c r="M86" s="153"/>
      <c r="N86" s="153">
        <v>8</v>
      </c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/>
      <c r="U86" s="153">
        <v>8</v>
      </c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/>
      <c r="AB86" s="153">
        <v>8</v>
      </c>
      <c r="AC86" s="153">
        <v>8</v>
      </c>
      <c r="AD86" s="153"/>
      <c r="AE86" s="153"/>
      <c r="AF86" s="153"/>
      <c r="AG86" s="153"/>
      <c r="AH86" s="153"/>
      <c r="AI86" s="153"/>
      <c r="AJ86" s="153"/>
      <c r="AK86" s="444">
        <f>((SUM(F86:AJ86))/8)-(SUMIF($F$6:$AJ$6,"C.Nhật",F86:AJ86)/8)</f>
        <v>20</v>
      </c>
      <c r="AL86" s="444">
        <f>SUM(F87:AI87)/8*1.5</f>
        <v>0</v>
      </c>
      <c r="AM86" s="446">
        <f>SUMIF($F$6:$AI$6,"C.Nhật",$F86:$AI87)/8*2</f>
        <v>0</v>
      </c>
      <c r="AN86" s="435">
        <f>SUM(AK86:AM87)</f>
        <v>20</v>
      </c>
      <c r="AO86" s="481">
        <v>0</v>
      </c>
      <c r="AP86" s="483"/>
      <c r="AQ86" s="483"/>
      <c r="AR86" s="483"/>
      <c r="AS86" s="485"/>
      <c r="AT86" s="285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87"/>
      <c r="B87" s="487"/>
      <c r="C87" s="473"/>
      <c r="D87" s="475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45"/>
      <c r="AL87" s="445"/>
      <c r="AM87" s="447"/>
      <c r="AN87" s="436"/>
      <c r="AO87" s="482"/>
      <c r="AP87" s="484"/>
      <c r="AQ87" s="484"/>
      <c r="AR87" s="484"/>
      <c r="AS87" s="486"/>
      <c r="AT87" s="285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65" customFormat="1" ht="12.75">
      <c r="A88" s="155"/>
      <c r="B88" s="156"/>
      <c r="C88" s="157"/>
      <c r="D88" s="158"/>
      <c r="E88" s="157"/>
      <c r="F88" s="159"/>
      <c r="G88" s="159"/>
      <c r="H88" s="160"/>
      <c r="I88" s="160"/>
      <c r="J88" s="161"/>
      <c r="K88" s="159"/>
      <c r="L88" s="160"/>
      <c r="M88" s="159"/>
      <c r="N88" s="159"/>
      <c r="O88" s="159"/>
      <c r="P88" s="159"/>
      <c r="Q88" s="160"/>
      <c r="R88" s="159"/>
      <c r="S88" s="159"/>
      <c r="T88" s="161"/>
      <c r="U88" s="159"/>
      <c r="V88" s="159"/>
      <c r="W88" s="159"/>
      <c r="X88" s="156"/>
      <c r="Y88" s="159"/>
      <c r="Z88" s="159"/>
      <c r="AA88" s="159"/>
      <c r="AB88" s="159"/>
      <c r="AC88" s="159"/>
      <c r="AD88" s="160"/>
      <c r="AE88" s="159"/>
      <c r="AF88" s="159"/>
      <c r="AG88" s="159"/>
      <c r="AH88" s="159"/>
      <c r="AI88" s="159"/>
      <c r="AJ88" s="159"/>
      <c r="AK88" s="157"/>
      <c r="AL88" s="157"/>
      <c r="AM88" s="162"/>
      <c r="AN88" s="163"/>
      <c r="AO88" s="163"/>
      <c r="AP88" s="163"/>
      <c r="AQ88" s="163"/>
      <c r="AR88" s="163"/>
      <c r="AS88" s="157"/>
      <c r="AT88" s="164"/>
    </row>
    <row r="89" spans="1:91" s="165" customFormat="1" ht="12.75">
      <c r="A89" s="155"/>
      <c r="B89" s="156"/>
      <c r="C89" s="166" t="s">
        <v>14</v>
      </c>
      <c r="D89" s="158"/>
      <c r="E89" s="157"/>
      <c r="F89" s="159"/>
      <c r="G89" s="159"/>
      <c r="H89" s="160"/>
      <c r="I89" s="160"/>
      <c r="J89" s="161"/>
      <c r="K89" s="159"/>
      <c r="L89" s="160"/>
      <c r="M89" s="159"/>
      <c r="N89" s="159"/>
      <c r="O89" s="159"/>
      <c r="P89" s="159"/>
      <c r="Q89" s="160"/>
      <c r="R89" s="159"/>
      <c r="S89" s="159"/>
      <c r="T89" s="161"/>
      <c r="U89" s="159"/>
      <c r="V89" s="159"/>
      <c r="W89" s="159"/>
      <c r="X89" s="156"/>
      <c r="Y89" s="159"/>
      <c r="Z89" s="159"/>
      <c r="AA89" s="159"/>
      <c r="AB89" s="159"/>
      <c r="AC89" s="159"/>
      <c r="AD89" s="160"/>
      <c r="AE89" s="159"/>
      <c r="AF89" s="159"/>
      <c r="AG89" s="159"/>
      <c r="AH89" s="159"/>
      <c r="AI89" s="159"/>
      <c r="AJ89" s="159"/>
      <c r="AK89" s="157"/>
      <c r="AL89" s="157"/>
      <c r="AM89" s="162"/>
      <c r="AN89" s="163"/>
      <c r="AO89" s="163"/>
      <c r="AP89" s="163"/>
      <c r="AQ89" s="163"/>
      <c r="AR89" s="163"/>
      <c r="AS89" s="157"/>
      <c r="AT89" s="164"/>
    </row>
    <row r="90" spans="1:91" s="165" customFormat="1" ht="12.75">
      <c r="A90" s="167"/>
      <c r="B90" s="167"/>
      <c r="C90" s="157"/>
      <c r="D90" s="158"/>
      <c r="E90" s="157"/>
      <c r="F90" s="159"/>
      <c r="G90" s="159"/>
      <c r="H90" s="168"/>
      <c r="I90" s="168"/>
      <c r="J90" s="168"/>
      <c r="K90" s="159"/>
      <c r="L90" s="168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68"/>
      <c r="AE90" s="159"/>
      <c r="AF90" s="159"/>
      <c r="AG90" s="159"/>
      <c r="AH90" s="159"/>
      <c r="AI90" s="159"/>
      <c r="AJ90" s="159"/>
      <c r="AK90" s="157"/>
      <c r="AL90" s="157"/>
      <c r="AM90" s="162"/>
      <c r="AN90" s="169"/>
      <c r="AO90" s="169"/>
      <c r="AP90" s="169"/>
      <c r="AQ90" s="169"/>
      <c r="AR90" s="169"/>
      <c r="AS90" s="157"/>
      <c r="AT90" s="164"/>
    </row>
    <row r="91" spans="1:91" s="170" customFormat="1" ht="15" customHeight="1">
      <c r="A91" s="167"/>
      <c r="B91" s="167"/>
      <c r="C91" s="157"/>
      <c r="D91" s="158"/>
      <c r="E91" s="157"/>
      <c r="F91" s="159"/>
      <c r="G91" s="159"/>
      <c r="H91" s="168"/>
      <c r="I91" s="168"/>
      <c r="J91" s="168"/>
      <c r="K91" s="159"/>
      <c r="L91" s="16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8"/>
      <c r="AE91" s="159"/>
      <c r="AF91" s="159"/>
      <c r="AG91" s="159"/>
      <c r="AH91" s="159"/>
      <c r="AI91" s="159"/>
      <c r="AJ91" s="159"/>
      <c r="AK91" s="157"/>
      <c r="AL91" s="157"/>
      <c r="AM91" s="162"/>
      <c r="AN91" s="169"/>
      <c r="AO91" s="169"/>
      <c r="AP91" s="169"/>
      <c r="AQ91" s="169"/>
      <c r="AR91" s="169"/>
      <c r="AS91" s="157"/>
      <c r="AT91" s="157"/>
    </row>
    <row r="92" spans="1:91" s="170" customFormat="1" ht="11.25">
      <c r="A92" s="167"/>
      <c r="B92" s="167"/>
      <c r="C92" s="157"/>
      <c r="D92" s="158"/>
      <c r="E92" s="157"/>
      <c r="F92" s="159"/>
      <c r="G92" s="159"/>
      <c r="H92" s="168"/>
      <c r="I92" s="168"/>
      <c r="J92" s="168"/>
      <c r="K92" s="159"/>
      <c r="L92" s="168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8"/>
      <c r="AE92" s="159"/>
      <c r="AF92" s="159"/>
      <c r="AG92" s="159"/>
      <c r="AH92" s="159"/>
      <c r="AI92" s="159"/>
      <c r="AJ92" s="159"/>
      <c r="AK92" s="157"/>
      <c r="AL92" s="157"/>
      <c r="AM92" s="162"/>
      <c r="AN92" s="169"/>
      <c r="AO92" s="169"/>
      <c r="AP92" s="169"/>
      <c r="AQ92" s="169"/>
      <c r="AR92" s="169"/>
      <c r="AS92" s="157"/>
      <c r="AT92" s="157"/>
    </row>
    <row r="93" spans="1:91" s="170" customFormat="1" ht="12.75">
      <c r="A93" s="167"/>
      <c r="B93" s="194"/>
      <c r="C93" s="195"/>
      <c r="D93" s="196"/>
      <c r="E93" s="157"/>
      <c r="F93" s="159"/>
      <c r="G93" s="159"/>
      <c r="H93" s="168"/>
      <c r="I93" s="168"/>
      <c r="J93" s="168"/>
      <c r="K93" s="159"/>
      <c r="L93" s="168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68"/>
      <c r="AE93" s="159"/>
      <c r="AF93" s="159"/>
      <c r="AG93" s="159"/>
      <c r="AH93" s="159"/>
      <c r="AI93" s="159"/>
      <c r="AJ93" s="159"/>
      <c r="AK93" s="157"/>
      <c r="AL93" s="157"/>
      <c r="AM93" s="162"/>
      <c r="AN93" s="169"/>
      <c r="AO93" s="169"/>
      <c r="AP93" s="169"/>
      <c r="AQ93" s="169"/>
      <c r="AR93" s="169"/>
      <c r="AS93" s="157"/>
      <c r="AT93" s="157"/>
    </row>
    <row r="94" spans="1:91" s="170" customFormat="1" ht="11.25">
      <c r="A94" s="166"/>
      <c r="B94" s="166"/>
      <c r="C94" s="155"/>
      <c r="D94" s="171"/>
      <c r="E94" s="172"/>
      <c r="F94" s="161"/>
      <c r="G94" s="173"/>
      <c r="H94" s="160"/>
      <c r="I94" s="160"/>
      <c r="J94" s="160"/>
      <c r="K94" s="173"/>
      <c r="L94" s="160"/>
      <c r="M94" s="173"/>
      <c r="N94" s="173"/>
      <c r="O94" s="173"/>
      <c r="P94" s="173"/>
      <c r="Q94" s="160"/>
      <c r="R94" s="161"/>
      <c r="S94" s="173"/>
      <c r="T94" s="173"/>
      <c r="U94" s="160"/>
      <c r="V94" s="173"/>
      <c r="W94" s="173"/>
      <c r="X94" s="160"/>
      <c r="Y94" s="173"/>
      <c r="Z94" s="173"/>
      <c r="AA94" s="173"/>
      <c r="AB94" s="173"/>
      <c r="AC94" s="173"/>
      <c r="AD94" s="160"/>
      <c r="AE94" s="173"/>
      <c r="AF94" s="173"/>
      <c r="AG94" s="173"/>
      <c r="AH94" s="173"/>
      <c r="AI94" s="173"/>
      <c r="AJ94" s="173"/>
      <c r="AK94" s="172"/>
      <c r="AM94" s="174"/>
      <c r="AN94" s="166"/>
      <c r="AO94" s="166"/>
      <c r="AP94" s="166"/>
      <c r="AQ94" s="166"/>
      <c r="AR94" s="166"/>
      <c r="AS94" s="155"/>
      <c r="AT94" s="157"/>
    </row>
    <row r="95" spans="1:91" s="170" customFormat="1" ht="12.75">
      <c r="A95" s="133"/>
      <c r="B95" s="133" t="s">
        <v>0</v>
      </c>
      <c r="C95" s="133"/>
      <c r="D95" s="175"/>
      <c r="E95" s="133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7"/>
      <c r="AI95" s="177"/>
      <c r="AJ95" s="177"/>
      <c r="AK95" s="133"/>
      <c r="AL95" s="133"/>
      <c r="AM95" s="178"/>
      <c r="AN95" s="133"/>
      <c r="AO95" s="133"/>
      <c r="AP95" s="133"/>
      <c r="AQ95" s="133"/>
      <c r="AR95" s="133"/>
      <c r="AS95" s="133"/>
      <c r="AT95" s="157"/>
    </row>
    <row r="96" spans="1:91" s="170" customFormat="1" ht="12.75">
      <c r="A96" s="133"/>
      <c r="B96" s="133"/>
      <c r="C96" s="133" t="s">
        <v>46</v>
      </c>
      <c r="D96" s="175"/>
      <c r="E96" s="133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7"/>
      <c r="AI96" s="177"/>
      <c r="AJ96" s="177"/>
      <c r="AK96" s="133"/>
      <c r="AL96" s="133"/>
      <c r="AM96" s="178"/>
      <c r="AN96" s="133"/>
      <c r="AO96" s="133"/>
      <c r="AP96" s="133"/>
      <c r="AQ96" s="133"/>
      <c r="AR96" s="133"/>
      <c r="AS96" s="133"/>
      <c r="AT96" s="155"/>
    </row>
    <row r="97" spans="3:39" s="133" customFormat="1" ht="15" customHeight="1">
      <c r="C97" s="133" t="s">
        <v>47</v>
      </c>
      <c r="D97" s="175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M97" s="178"/>
    </row>
    <row r="98" spans="3:39" s="133" customFormat="1" ht="15" customHeight="1">
      <c r="C98" s="133" t="s">
        <v>48</v>
      </c>
      <c r="D98" s="175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M98" s="178"/>
    </row>
    <row r="99" spans="3:39" s="133" customFormat="1" ht="15" customHeight="1">
      <c r="C99" s="133" t="s">
        <v>49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3:39" s="133" customFormat="1" ht="15" customHeight="1">
      <c r="C100" s="133" t="s">
        <v>50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3:39" s="133" customFormat="1" ht="15" customHeight="1">
      <c r="C101" s="133" t="s">
        <v>51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3:39" s="133" customFormat="1" ht="15" customHeight="1">
      <c r="C102" s="133" t="s">
        <v>52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3:39" s="133" customFormat="1" ht="15" customHeight="1">
      <c r="C103" s="133" t="s">
        <v>53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3:39" s="133" customFormat="1" ht="15" customHeight="1">
      <c r="C104" s="133" t="s">
        <v>54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18" ht="12.75"/>
    <row r="119" ht="12.75"/>
    <row r="120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J44" name="Range1_3_1_1_2"/>
    <protectedRange password="CC78" sqref="A65:A67" name="Range1_2_1_1_1"/>
    <protectedRange password="CC78" sqref="A72:A83 B85 A86:A87" name="Range1_1_1_2"/>
    <protectedRange password="CC78" sqref="A72:A83 B85 D84:D85 C72:D83 C86:D87 A86:A87 E72:E87" name="Range1_6_1_1"/>
    <protectedRange password="CC78" sqref="B72:B83 C85 B86:B87" name="Range1_4_1_1"/>
    <protectedRange password="CC78" sqref="J90:J93 Q88:Q89" name="Range1_1_1_1_1_1"/>
    <protectedRange password="CC78" sqref="J94" name="Range1_3_1_1_1_1"/>
    <protectedRange password="CC78" sqref="A14:A33 A35:A42" name="Range1_1_2_1"/>
    <protectedRange password="CC78" sqref="C33 D32:E33 C14:E31 A14:A33 C35:E42 A35:A42" name="Range1_6_2_1"/>
    <protectedRange password="CC78" sqref="B35:B36 B14:B31 B33 B37:B42" name="Range1_4_2_1"/>
    <protectedRange password="CC78" sqref="B93 B84" name="Range1"/>
    <protectedRange password="CC78" sqref="B93 B84" name="Range1_3"/>
    <protectedRange password="CC78" sqref="B32" name="Range1_1"/>
  </protectedRanges>
  <mergeCells count="339">
    <mergeCell ref="AN86:AN87"/>
    <mergeCell ref="AO86:AO87"/>
    <mergeCell ref="AP86:AP87"/>
    <mergeCell ref="AQ86:AQ87"/>
    <mergeCell ref="AR86:AR87"/>
    <mergeCell ref="AO84:AO85"/>
    <mergeCell ref="AP84:AP85"/>
    <mergeCell ref="AQ84:AQ85"/>
    <mergeCell ref="AR84:AR85"/>
    <mergeCell ref="A86:A87"/>
    <mergeCell ref="B86:B87"/>
    <mergeCell ref="C86:C87"/>
    <mergeCell ref="D86:D87"/>
    <mergeCell ref="AK86:AK87"/>
    <mergeCell ref="AL86:AL87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L82:AL83"/>
    <mergeCell ref="AM82:AM83"/>
    <mergeCell ref="AN82:AN83"/>
    <mergeCell ref="AO82:AO83"/>
    <mergeCell ref="AP82:AP83"/>
    <mergeCell ref="AQ82:AQ83"/>
    <mergeCell ref="AS86:AS87"/>
    <mergeCell ref="AM86:AM87"/>
    <mergeCell ref="AO80:AO81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O78:AO79"/>
    <mergeCell ref="AP78:AP79"/>
    <mergeCell ref="AQ78:AQ79"/>
    <mergeCell ref="A74:A75"/>
    <mergeCell ref="B74:B75"/>
    <mergeCell ref="C74:C75"/>
    <mergeCell ref="D74:D75"/>
    <mergeCell ref="AK74:AK75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L74:AL75"/>
    <mergeCell ref="AM74:AM75"/>
    <mergeCell ref="AN74:AN75"/>
    <mergeCell ref="AO74:AO75"/>
    <mergeCell ref="AP74:AP75"/>
    <mergeCell ref="AQ74:AQ75"/>
    <mergeCell ref="AO76:AO77"/>
    <mergeCell ref="AP76:AP77"/>
    <mergeCell ref="AQ76:AQ77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K69:AM69"/>
    <mergeCell ref="AN69:AN70"/>
    <mergeCell ref="AO69:AO70"/>
    <mergeCell ref="AP69:AP70"/>
    <mergeCell ref="AQ69:AQ70"/>
    <mergeCell ref="AR69:AR70"/>
    <mergeCell ref="AO72:AO73"/>
    <mergeCell ref="AP72:AP73"/>
    <mergeCell ref="AQ72:AQ73"/>
    <mergeCell ref="AR72:AR73"/>
    <mergeCell ref="AS72:AS73"/>
    <mergeCell ref="AL37:AL38"/>
    <mergeCell ref="AM37:AM38"/>
    <mergeCell ref="AP41:AP42"/>
    <mergeCell ref="AQ41:AQ42"/>
    <mergeCell ref="AR41:AR42"/>
    <mergeCell ref="AS41:AS42"/>
    <mergeCell ref="AM65:AS65"/>
    <mergeCell ref="A69:A70"/>
    <mergeCell ref="B69:B70"/>
    <mergeCell ref="C69:C70"/>
    <mergeCell ref="D69:D70"/>
    <mergeCell ref="E69:E70"/>
    <mergeCell ref="AS69:AS7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N37:AN38"/>
    <mergeCell ref="AO37:AO38"/>
    <mergeCell ref="AP35:AP36"/>
    <mergeCell ref="AQ35:AQ36"/>
    <mergeCell ref="AR35:AR36"/>
    <mergeCell ref="AS35:AS36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P37:AP38"/>
    <mergeCell ref="AQ37:AQ38"/>
    <mergeCell ref="AR37:AR38"/>
    <mergeCell ref="AS37:AS38"/>
    <mergeCell ref="A37:A38"/>
    <mergeCell ref="B37:B38"/>
    <mergeCell ref="C37:C38"/>
    <mergeCell ref="D37:D38"/>
    <mergeCell ref="AK37:AK38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C16:C17"/>
    <mergeCell ref="D16:D17"/>
    <mergeCell ref="AK16:AK17"/>
    <mergeCell ref="AL16:AL17"/>
    <mergeCell ref="AM16:AM17"/>
    <mergeCell ref="AP20:AP21"/>
    <mergeCell ref="AQ20:AQ21"/>
    <mergeCell ref="AR20:AR21"/>
    <mergeCell ref="AS20:AS21"/>
    <mergeCell ref="AN16:AN17"/>
    <mergeCell ref="AO16:AO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32:AQ33"/>
    <mergeCell ref="AR32:AR33"/>
    <mergeCell ref="AS32:AS33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32:AP33"/>
  </mergeCells>
  <conditionalFormatting sqref="F95:AJ96 F5:AJ6 F44:AJ63 F98:AJ111 F9:AJ12 F14:AJ42">
    <cfRule type="expression" dxfId="572" priority="29" stopIfTrue="1">
      <formula>IF(WEEKDAY(F$5)=1,TRUE,FALSE)</formula>
    </cfRule>
  </conditionalFormatting>
  <conditionalFormatting sqref="F5:AJ6 F69:AJ70 F9:AJ12 F72:AJ87">
    <cfRule type="expression" dxfId="571" priority="28" stopIfTrue="1">
      <formula>IF(WEEKDAY(F$5)=1,TRUE,FALSE)</formula>
    </cfRule>
  </conditionalFormatting>
  <conditionalFormatting sqref="K35:P35">
    <cfRule type="expression" dxfId="570" priority="27" stopIfTrue="1">
      <formula>IF(WEEKDAY(K$5)=1,TRUE,FALSE)</formula>
    </cfRule>
  </conditionalFormatting>
  <conditionalFormatting sqref="K37:P37">
    <cfRule type="expression" dxfId="569" priority="25" stopIfTrue="1">
      <formula>IF(WEEKDAY(K$5)=1,TRUE,FALSE)</formula>
    </cfRule>
  </conditionalFormatting>
  <conditionalFormatting sqref="K39:P39">
    <cfRule type="expression" dxfId="568" priority="24" stopIfTrue="1">
      <formula>IF(WEEKDAY(K$5)=1,TRUE,FALSE)</formula>
    </cfRule>
  </conditionalFormatting>
  <conditionalFormatting sqref="K41:P41">
    <cfRule type="expression" dxfId="567" priority="23" stopIfTrue="1">
      <formula>IF(WEEKDAY(K$5)=1,TRUE,FALSE)</formula>
    </cfRule>
  </conditionalFormatting>
  <conditionalFormatting sqref="R41:W41">
    <cfRule type="expression" dxfId="566" priority="22" stopIfTrue="1">
      <formula>IF(WEEKDAY(R$5)=1,TRUE,FALSE)</formula>
    </cfRule>
  </conditionalFormatting>
  <conditionalFormatting sqref="R39:W39">
    <cfRule type="expression" dxfId="565" priority="21" stopIfTrue="1">
      <formula>IF(WEEKDAY(R$5)=1,TRUE,FALSE)</formula>
    </cfRule>
  </conditionalFormatting>
  <conditionalFormatting sqref="R37:W37">
    <cfRule type="expression" dxfId="564" priority="20" stopIfTrue="1">
      <formula>IF(WEEKDAY(R$5)=1,TRUE,FALSE)</formula>
    </cfRule>
  </conditionalFormatting>
  <conditionalFormatting sqref="R35:W35">
    <cfRule type="expression" dxfId="563" priority="18" stopIfTrue="1">
      <formula>IF(WEEKDAY(R$5)=1,TRUE,FALSE)</formula>
    </cfRule>
  </conditionalFormatting>
  <conditionalFormatting sqref="Y35:AD35">
    <cfRule type="expression" dxfId="562" priority="17" stopIfTrue="1">
      <formula>IF(WEEKDAY(Y$5)=1,TRUE,FALSE)</formula>
    </cfRule>
  </conditionalFormatting>
  <conditionalFormatting sqref="Y37:AD37">
    <cfRule type="expression" dxfId="561" priority="15" stopIfTrue="1">
      <formula>IF(WEEKDAY(Y$5)=1,TRUE,FALSE)</formula>
    </cfRule>
  </conditionalFormatting>
  <conditionalFormatting sqref="Y39:AD39">
    <cfRule type="expression" dxfId="560" priority="14" stopIfTrue="1">
      <formula>IF(WEEKDAY(Y$5)=1,TRUE,FALSE)</formula>
    </cfRule>
  </conditionalFormatting>
  <conditionalFormatting sqref="Y41:AD41">
    <cfRule type="expression" dxfId="559" priority="13" stopIfTrue="1">
      <formula>IF(WEEKDAY(Y$5)=1,TRUE,FALSE)</formula>
    </cfRule>
  </conditionalFormatting>
  <conditionalFormatting sqref="G35:L35">
    <cfRule type="expression" dxfId="558" priority="12" stopIfTrue="1">
      <formula>IF(WEEKDAY(G$5)=1,TRUE,FALSE)</formula>
    </cfRule>
  </conditionalFormatting>
  <conditionalFormatting sqref="N35:S35">
    <cfRule type="expression" dxfId="557" priority="11" stopIfTrue="1">
      <formula>IF(WEEKDAY(N$5)=1,TRUE,FALSE)</formula>
    </cfRule>
  </conditionalFormatting>
  <conditionalFormatting sqref="U35:Z35">
    <cfRule type="expression" dxfId="556" priority="10" stopIfTrue="1">
      <formula>IF(WEEKDAY(U$5)=1,TRUE,FALSE)</formula>
    </cfRule>
  </conditionalFormatting>
  <conditionalFormatting sqref="G37:L37">
    <cfRule type="expression" dxfId="555" priority="9" stopIfTrue="1">
      <formula>IF(WEEKDAY(G$5)=1,TRUE,FALSE)</formula>
    </cfRule>
  </conditionalFormatting>
  <conditionalFormatting sqref="N37:S37">
    <cfRule type="expression" dxfId="554" priority="8" stopIfTrue="1">
      <formula>IF(WEEKDAY(N$5)=1,TRUE,FALSE)</formula>
    </cfRule>
  </conditionalFormatting>
  <conditionalFormatting sqref="U37:Z37">
    <cfRule type="expression" dxfId="553" priority="7" stopIfTrue="1">
      <formula>IF(WEEKDAY(U$5)=1,TRUE,FALSE)</formula>
    </cfRule>
  </conditionalFormatting>
  <conditionalFormatting sqref="G39:L39">
    <cfRule type="expression" dxfId="552" priority="6" stopIfTrue="1">
      <formula>IF(WEEKDAY(G$5)=1,TRUE,FALSE)</formula>
    </cfRule>
  </conditionalFormatting>
  <conditionalFormatting sqref="G41:L41">
    <cfRule type="expression" dxfId="551" priority="5" stopIfTrue="1">
      <formula>IF(WEEKDAY(G$5)=1,TRUE,FALSE)</formula>
    </cfRule>
  </conditionalFormatting>
  <conditionalFormatting sqref="N39:S39">
    <cfRule type="expression" dxfId="550" priority="4" stopIfTrue="1">
      <formula>IF(WEEKDAY(N$5)=1,TRUE,FALSE)</formula>
    </cfRule>
  </conditionalFormatting>
  <conditionalFormatting sqref="N41:S41">
    <cfRule type="expression" dxfId="549" priority="3" stopIfTrue="1">
      <formula>IF(WEEKDAY(N$5)=1,TRUE,FALSE)</formula>
    </cfRule>
  </conditionalFormatting>
  <conditionalFormatting sqref="U39:Z39">
    <cfRule type="expression" dxfId="548" priority="2" stopIfTrue="1">
      <formula>IF(WEEKDAY(U$5)=1,TRUE,FALSE)</formula>
    </cfRule>
  </conditionalFormatting>
  <conditionalFormatting sqref="U41:Z41">
    <cfRule type="expression" dxfId="547" priority="1" stopIfTrue="1">
      <formula>IF(WEEKDAY(U$5)=1,TRUE,FALSE)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zoomScaleNormal="70" workbookViewId="0">
      <pane xSplit="3" ySplit="8" topLeftCell="H5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41" sqref="A41:T62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286"/>
      <c r="C1" s="286"/>
      <c r="D1" s="493" t="str">
        <f>"BẢNG THANH TOÁN LƯƠNG THÁNG"&amp;" "&amp;TEXT($E$4,"mm")&amp;" / "&amp;TEXT($E$4,"yyyy")</f>
        <v>BẢNG THANH TOÁN LƯƠNG THÁNG 01 / 2017</v>
      </c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4"/>
      <c r="R1" s="495" t="s">
        <v>179</v>
      </c>
      <c r="S1" s="496"/>
      <c r="T1" s="497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286"/>
      <c r="C2" s="286"/>
      <c r="D2" s="286"/>
      <c r="E2" s="71"/>
      <c r="F2" s="286"/>
      <c r="G2" s="286"/>
      <c r="H2" s="286"/>
      <c r="I2" s="286"/>
      <c r="J2" s="72"/>
      <c r="K2" s="286"/>
      <c r="L2" s="286"/>
      <c r="M2" s="286"/>
      <c r="N2" s="286"/>
      <c r="O2" s="286"/>
      <c r="P2" s="286"/>
      <c r="Q2" s="286"/>
      <c r="R2" s="286"/>
      <c r="S2" s="286"/>
      <c r="T2" s="50"/>
      <c r="U2" s="70">
        <v>20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286"/>
      <c r="C3" s="286"/>
      <c r="D3" s="286"/>
      <c r="E3" s="71"/>
      <c r="F3" s="286"/>
      <c r="G3" s="286"/>
      <c r="H3" s="286"/>
      <c r="I3" s="286"/>
      <c r="J3" s="72"/>
      <c r="K3" s="286"/>
      <c r="L3" s="286"/>
      <c r="M3" s="286"/>
      <c r="N3" s="286"/>
      <c r="O3" s="286"/>
      <c r="P3" s="286"/>
      <c r="Q3" s="286"/>
      <c r="R3" s="286"/>
      <c r="S3" s="286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42736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98" t="s">
        <v>19</v>
      </c>
      <c r="B5" s="498" t="s">
        <v>20</v>
      </c>
      <c r="C5" s="425" t="s">
        <v>1</v>
      </c>
      <c r="D5" s="425" t="s">
        <v>2</v>
      </c>
      <c r="E5" s="418" t="s">
        <v>56</v>
      </c>
      <c r="F5" s="501" t="s">
        <v>26</v>
      </c>
      <c r="G5" s="502"/>
      <c r="H5" s="502"/>
      <c r="I5" s="502"/>
      <c r="J5" s="502"/>
      <c r="K5" s="503"/>
      <c r="L5" s="500" t="s">
        <v>57</v>
      </c>
      <c r="M5" s="500" t="s">
        <v>5</v>
      </c>
      <c r="N5" s="425" t="s">
        <v>6</v>
      </c>
      <c r="O5" s="425"/>
      <c r="P5" s="425"/>
      <c r="Q5" s="500" t="s">
        <v>7</v>
      </c>
      <c r="R5" s="500" t="s">
        <v>8</v>
      </c>
      <c r="S5" s="500" t="s">
        <v>9</v>
      </c>
      <c r="T5" s="419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99"/>
      <c r="B6" s="499"/>
      <c r="C6" s="425"/>
      <c r="D6" s="425"/>
      <c r="E6" s="418"/>
      <c r="F6" s="501" t="s">
        <v>59</v>
      </c>
      <c r="G6" s="503"/>
      <c r="H6" s="501" t="s">
        <v>189</v>
      </c>
      <c r="I6" s="502"/>
      <c r="J6" s="519" t="s">
        <v>27</v>
      </c>
      <c r="K6" s="500" t="s">
        <v>4</v>
      </c>
      <c r="L6" s="504"/>
      <c r="M6" s="504"/>
      <c r="N6" s="506" t="s">
        <v>12</v>
      </c>
      <c r="O6" s="500" t="s">
        <v>13</v>
      </c>
      <c r="P6" s="500" t="s">
        <v>34</v>
      </c>
      <c r="Q6" s="504"/>
      <c r="R6" s="504"/>
      <c r="S6" s="504"/>
      <c r="T6" s="420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99"/>
      <c r="B7" s="499"/>
      <c r="C7" s="500"/>
      <c r="D7" s="500"/>
      <c r="E7" s="418"/>
      <c r="F7" s="287" t="s">
        <v>40</v>
      </c>
      <c r="G7" s="283" t="s">
        <v>18</v>
      </c>
      <c r="H7" s="287" t="s">
        <v>40</v>
      </c>
      <c r="I7" s="290" t="s">
        <v>18</v>
      </c>
      <c r="J7" s="520"/>
      <c r="K7" s="504"/>
      <c r="L7" s="505"/>
      <c r="M7" s="505"/>
      <c r="N7" s="507"/>
      <c r="O7" s="504"/>
      <c r="P7" s="504"/>
      <c r="Q7" s="504"/>
      <c r="R7" s="504"/>
      <c r="S7" s="504"/>
      <c r="T7" s="420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- 01'!$B$8:$AS$63,36,0)</f>
        <v>20</v>
      </c>
      <c r="G10" s="198">
        <f>ROUND(E10/$U$2*F10,0)</f>
        <v>4336000</v>
      </c>
      <c r="H10" s="82">
        <f>(VLOOKUP(B10,'CC - 01'!$B$8:$AS$59,37,0)+VLOOKUP(B10,'CC - 01'!$B$8:$AS$59,38,0))</f>
        <v>0</v>
      </c>
      <c r="I10" s="198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- 01'!$B$8:$AS$63,36,0)</f>
        <v>20</v>
      </c>
      <c r="G11" s="198">
        <f>ROUND(E11/$U$2*F11,0)</f>
        <v>4056000</v>
      </c>
      <c r="H11" s="82">
        <f>(VLOOKUP(B11,'CC - 01'!$B$8:$AS$59,37,0)+VLOOKUP(B11,'CC - 01'!$B$8:$AS$59,38,0))</f>
        <v>0</v>
      </c>
      <c r="I11" s="198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- 01'!$B$8:$AS$63,36,0)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6" si="0">VLOOKUP(B13,DS,2,0)</f>
        <v>Huỳnh Thị Hường</v>
      </c>
      <c r="D13" s="103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 - 01'!$B$8:$AS$63,36,0)</f>
        <v>20</v>
      </c>
      <c r="G13" s="198">
        <f t="shared" ref="G13:G27" si="3">ROUND(E13/$U$2*F13,0)</f>
        <v>3552000</v>
      </c>
      <c r="H13" s="82">
        <f>(VLOOKUP(B13,'CC - 01'!$B$8:$AS$59,37,0)+VLOOKUP(B13,'CC - 01'!$B$8:$AS$59,38,0))</f>
        <v>0</v>
      </c>
      <c r="I13" s="198">
        <f t="shared" ref="I13:I26" si="4">ROUND(E13/$U$2*H13,0)</f>
        <v>0</v>
      </c>
      <c r="J13" s="199">
        <f t="shared" ref="J13:K25" si="5">F13+H13</f>
        <v>20</v>
      </c>
      <c r="K13" s="36">
        <f t="shared" si="5"/>
        <v>3552000</v>
      </c>
      <c r="L13" s="80">
        <f t="shared" ref="L13:L26" si="6">+F13*15000</f>
        <v>300000</v>
      </c>
      <c r="M13" s="37">
        <f t="shared" ref="M13:M26" si="7">K13+L13</f>
        <v>3852000</v>
      </c>
      <c r="N13" s="37">
        <f t="shared" ref="N13:N21" si="8">IF(VLOOKUP(B13,DS,10,0)="x",E13*$N$4,0)</f>
        <v>284160</v>
      </c>
      <c r="O13" s="37">
        <f t="shared" ref="O13:O21" si="9">IF(VLOOKUP(B13,DS,10,0)="x",E13*$O$4,0)</f>
        <v>53280</v>
      </c>
      <c r="P13" s="37">
        <f t="shared" ref="P13:P21" si="10">IF(VLOOKUP(B13,DS,10,0)="x",E13*$P$4,0)</f>
        <v>35520</v>
      </c>
      <c r="Q13" s="36">
        <f t="shared" ref="Q13:Q26" si="11">M13-SUM(N13:P13)</f>
        <v>3479040</v>
      </c>
      <c r="R13" s="36">
        <f t="shared" ref="R13:R26" si="12">VLOOKUP(B13,DS,23,0)</f>
        <v>0</v>
      </c>
      <c r="S13" s="38">
        <f t="shared" ref="S13:S26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- 01'!$B$8:$AS$63,36,0)</f>
        <v>20</v>
      </c>
      <c r="G14" s="198">
        <f t="shared" si="3"/>
        <v>3552000</v>
      </c>
      <c r="H14" s="82">
        <f>(VLOOKUP(B14,'CC - 01'!$B$8:$AS$59,37,0)+VLOOKUP(B14,'CC - 01'!$B$8:$AS$59,38,0))</f>
        <v>0</v>
      </c>
      <c r="I14" s="198">
        <f t="shared" si="4"/>
        <v>0</v>
      </c>
      <c r="J14" s="199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- 01'!$B$8:$AS$63,36,0)</f>
        <v>20</v>
      </c>
      <c r="G15" s="198">
        <f t="shared" si="3"/>
        <v>3552000</v>
      </c>
      <c r="H15" s="82">
        <f>(VLOOKUP(B15,'CC - 01'!$B$8:$AS$59,37,0)+VLOOKUP(B15,'CC - 01'!$B$8:$AS$59,38,0))</f>
        <v>0</v>
      </c>
      <c r="I15" s="198">
        <f t="shared" si="4"/>
        <v>0</v>
      </c>
      <c r="J15" s="199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- 01'!$B$8:$AS$63,36,0)</f>
        <v>20</v>
      </c>
      <c r="G16" s="198">
        <f t="shared" si="3"/>
        <v>3552000</v>
      </c>
      <c r="H16" s="82">
        <f>(VLOOKUP(B16,'CC - 01'!$B$8:$AS$59,37,0)+VLOOKUP(B16,'CC - 01'!$B$8:$AS$59,38,0))</f>
        <v>0</v>
      </c>
      <c r="I16" s="198">
        <f t="shared" si="4"/>
        <v>0</v>
      </c>
      <c r="J16" s="199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- 01'!$B$8:$AS$63,36,0)</f>
        <v>20</v>
      </c>
      <c r="G17" s="198">
        <f t="shared" si="3"/>
        <v>3552000</v>
      </c>
      <c r="H17" s="82">
        <f>(VLOOKUP(B17,'CC - 01'!$B$8:$AS$59,37,0)+VLOOKUP(B17,'CC - 01'!$B$8:$AS$59,38,0))</f>
        <v>0</v>
      </c>
      <c r="I17" s="198">
        <f t="shared" si="4"/>
        <v>0</v>
      </c>
      <c r="J17" s="199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- 01'!$B$8:$AS$63,36,0)</f>
        <v>20</v>
      </c>
      <c r="G18" s="198">
        <f t="shared" si="3"/>
        <v>3552000</v>
      </c>
      <c r="H18" s="82">
        <f>(VLOOKUP(B18,'CC - 01'!$B$8:$AS$59,37,0)+VLOOKUP(B18,'CC - 01'!$B$8:$AS$59,38,0))</f>
        <v>0</v>
      </c>
      <c r="I18" s="198">
        <f t="shared" si="4"/>
        <v>0</v>
      </c>
      <c r="J18" s="199">
        <f t="shared" si="5"/>
        <v>20</v>
      </c>
      <c r="K18" s="36">
        <f t="shared" si="5"/>
        <v>3552000</v>
      </c>
      <c r="L18" s="80">
        <f t="shared" si="6"/>
        <v>300000</v>
      </c>
      <c r="M18" s="37">
        <f t="shared" si="7"/>
        <v>3852000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3479040</v>
      </c>
      <c r="R18" s="36">
        <f t="shared" si="12"/>
        <v>0</v>
      </c>
      <c r="S18" s="38">
        <f t="shared" si="13"/>
        <v>3479040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6" t="s">
        <v>102</v>
      </c>
      <c r="C19" s="79" t="str">
        <f t="shared" si="0"/>
        <v>Sơn Thị Trường Sa</v>
      </c>
      <c r="D19" s="103" t="str">
        <f t="shared" si="1"/>
        <v>Công nhân</v>
      </c>
      <c r="E19" s="80">
        <f t="shared" si="2"/>
        <v>3552000</v>
      </c>
      <c r="F19" s="82">
        <f>VLOOKUP(B19,'CC - 01'!$B$8:$AS$63,36,0)</f>
        <v>20</v>
      </c>
      <c r="G19" s="198">
        <f t="shared" si="3"/>
        <v>3552000</v>
      </c>
      <c r="H19" s="82">
        <f>(VLOOKUP(B19,'CC - 01'!$B$8:$AS$59,37,0)+VLOOKUP(B19,'CC - 01'!$B$8:$AS$59,38,0))</f>
        <v>0</v>
      </c>
      <c r="I19" s="198">
        <f t="shared" si="4"/>
        <v>0</v>
      </c>
      <c r="J19" s="199">
        <f t="shared" si="5"/>
        <v>20</v>
      </c>
      <c r="K19" s="36">
        <f t="shared" si="5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6" t="s">
        <v>103</v>
      </c>
      <c r="C20" s="79" t="str">
        <f t="shared" si="0"/>
        <v>Lý Thị Sà Kha</v>
      </c>
      <c r="D20" s="103" t="str">
        <f t="shared" si="1"/>
        <v>Công nhân</v>
      </c>
      <c r="E20" s="80">
        <f t="shared" si="2"/>
        <v>3552000</v>
      </c>
      <c r="F20" s="82">
        <f>VLOOKUP(B20,'CC - 01'!$B$8:$AS$63,36,0)</f>
        <v>20</v>
      </c>
      <c r="G20" s="198">
        <f t="shared" si="3"/>
        <v>3552000</v>
      </c>
      <c r="H20" s="82">
        <f>(VLOOKUP(B20,'CC - 01'!$B$8:$AS$59,37,0)+VLOOKUP(B20,'CC - 01'!$B$8:$AS$59,38,0))</f>
        <v>0</v>
      </c>
      <c r="I20" s="198">
        <f t="shared" si="4"/>
        <v>0</v>
      </c>
      <c r="J20" s="199">
        <f t="shared" si="5"/>
        <v>20</v>
      </c>
      <c r="K20" s="36">
        <f t="shared" si="5"/>
        <v>3552000</v>
      </c>
      <c r="L20" s="80">
        <f t="shared" si="6"/>
        <v>300000</v>
      </c>
      <c r="M20" s="37">
        <f t="shared" si="7"/>
        <v>3852000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3479040</v>
      </c>
      <c r="R20" s="36">
        <f t="shared" si="12"/>
        <v>0</v>
      </c>
      <c r="S20" s="38">
        <f t="shared" si="13"/>
        <v>3479040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6" t="s">
        <v>104</v>
      </c>
      <c r="C21" s="79" t="str">
        <f t="shared" si="0"/>
        <v xml:space="preserve"> Lâm Thị Mộng Thường</v>
      </c>
      <c r="D21" s="103" t="str">
        <f t="shared" si="1"/>
        <v>Công nhân</v>
      </c>
      <c r="E21" s="80">
        <f t="shared" si="2"/>
        <v>3552000</v>
      </c>
      <c r="F21" s="82">
        <f>VLOOKUP(B21,'CC - 01'!$B$8:$AS$63,36,0)</f>
        <v>20</v>
      </c>
      <c r="G21" s="198">
        <f t="shared" si="3"/>
        <v>3552000</v>
      </c>
      <c r="H21" s="82">
        <f>(VLOOKUP(B21,'CC - 01'!$B$8:$AS$59,37,0)+VLOOKUP(B21,'CC - 01'!$B$8:$AS$59,38,0))</f>
        <v>0</v>
      </c>
      <c r="I21" s="198">
        <f t="shared" si="4"/>
        <v>0</v>
      </c>
      <c r="J21" s="199">
        <f t="shared" si="5"/>
        <v>20</v>
      </c>
      <c r="K21" s="36">
        <f t="shared" si="5"/>
        <v>3552000</v>
      </c>
      <c r="L21" s="80">
        <f t="shared" si="6"/>
        <v>300000</v>
      </c>
      <c r="M21" s="37">
        <f t="shared" si="7"/>
        <v>3852000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3479040</v>
      </c>
      <c r="R21" s="36">
        <f t="shared" si="12"/>
        <v>0</v>
      </c>
      <c r="S21" s="38">
        <f t="shared" si="13"/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24" customHeight="1">
      <c r="A22" s="35"/>
      <c r="B22" s="275" t="s">
        <v>188</v>
      </c>
      <c r="C22" s="274"/>
      <c r="D22" s="274"/>
      <c r="E22" s="274"/>
      <c r="F22" s="82">
        <f>VLOOKUP(B22,'CC - 01'!$B$8:$AS$63,36,0)</f>
        <v>0</v>
      </c>
      <c r="G22" s="274"/>
      <c r="H22" s="274"/>
      <c r="I22" s="274"/>
      <c r="J22" s="274"/>
      <c r="K22" s="274"/>
      <c r="L22" s="274"/>
      <c r="M22" s="274"/>
      <c r="N22" s="37"/>
      <c r="O22" s="37"/>
      <c r="P22" s="37"/>
      <c r="Q22" s="274"/>
      <c r="R22" s="274"/>
      <c r="S22" s="274"/>
      <c r="T22" s="274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12</v>
      </c>
      <c r="B23" s="234" t="s">
        <v>113</v>
      </c>
      <c r="C23" s="79" t="str">
        <f t="shared" si="0"/>
        <v>Nguyễn Văn Bé Hai</v>
      </c>
      <c r="D23" s="103" t="str">
        <f t="shared" si="1"/>
        <v>Công nhân</v>
      </c>
      <c r="E23" s="80">
        <f t="shared" si="2"/>
        <v>3776000</v>
      </c>
      <c r="F23" s="82">
        <f>VLOOKUP(B23,'CC - 01'!$B$8:$AS$63,36,0)</f>
        <v>20</v>
      </c>
      <c r="G23" s="198">
        <f t="shared" si="3"/>
        <v>3776000</v>
      </c>
      <c r="H23" s="82">
        <f>(VLOOKUP(B23,'CC - 01'!$B$8:$AS$59,37,0)+VLOOKUP(B23,'CC - 01'!$B$8:$AS$59,38,0))</f>
        <v>0</v>
      </c>
      <c r="I23" s="198">
        <f t="shared" si="4"/>
        <v>0</v>
      </c>
      <c r="J23" s="199">
        <f t="shared" si="5"/>
        <v>20</v>
      </c>
      <c r="K23" s="36">
        <f t="shared" si="5"/>
        <v>3776000</v>
      </c>
      <c r="L23" s="80">
        <f t="shared" si="6"/>
        <v>300000</v>
      </c>
      <c r="M23" s="37">
        <f t="shared" si="7"/>
        <v>4076000</v>
      </c>
      <c r="N23" s="37">
        <f t="shared" ref="N23:N26" si="14">IF(VLOOKUP(B23,DS,10,0)="x",E23*$N$4,0)</f>
        <v>302080</v>
      </c>
      <c r="O23" s="37">
        <f t="shared" ref="O23:O26" si="15">IF(VLOOKUP(B23,DS,10,0)="x",E23*$O$4,0)</f>
        <v>56640</v>
      </c>
      <c r="P23" s="37">
        <f t="shared" ref="P23:P26" si="16">IF(VLOOKUP(B23,DS,10,0)="x",E23*$P$4,0)</f>
        <v>37760</v>
      </c>
      <c r="Q23" s="36">
        <f t="shared" si="11"/>
        <v>3679520</v>
      </c>
      <c r="R23" s="36">
        <f t="shared" si="12"/>
        <v>0</v>
      </c>
      <c r="S23" s="38">
        <f t="shared" si="13"/>
        <v>3679520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13</v>
      </c>
      <c r="B24" s="234" t="s">
        <v>118</v>
      </c>
      <c r="C24" s="79" t="str">
        <f t="shared" si="0"/>
        <v>Trần Nhiên</v>
      </c>
      <c r="D24" s="103" t="str">
        <f t="shared" si="1"/>
        <v>Công nhân</v>
      </c>
      <c r="E24" s="80">
        <f t="shared" si="2"/>
        <v>3552000</v>
      </c>
      <c r="F24" s="82">
        <f>VLOOKUP(B24,'CC - 01'!$B$8:$AS$63,36,0)</f>
        <v>20</v>
      </c>
      <c r="G24" s="198">
        <f t="shared" si="3"/>
        <v>3552000</v>
      </c>
      <c r="H24" s="82">
        <f>(VLOOKUP(B24,'CC - 01'!$B$8:$AS$59,37,0)+VLOOKUP(B24,'CC - 01'!$B$8:$AS$59,38,0))</f>
        <v>0</v>
      </c>
      <c r="I24" s="198">
        <f t="shared" si="4"/>
        <v>0</v>
      </c>
      <c r="J24" s="199">
        <f t="shared" si="5"/>
        <v>20</v>
      </c>
      <c r="K24" s="36">
        <f t="shared" si="5"/>
        <v>3552000</v>
      </c>
      <c r="L24" s="80">
        <f t="shared" si="6"/>
        <v>300000</v>
      </c>
      <c r="M24" s="37">
        <f t="shared" si="7"/>
        <v>3852000</v>
      </c>
      <c r="N24" s="37">
        <f t="shared" si="14"/>
        <v>284160</v>
      </c>
      <c r="O24" s="37">
        <f t="shared" si="15"/>
        <v>53280</v>
      </c>
      <c r="P24" s="37">
        <f t="shared" si="16"/>
        <v>35520</v>
      </c>
      <c r="Q24" s="36">
        <f t="shared" si="11"/>
        <v>3479040</v>
      </c>
      <c r="R24" s="36">
        <f t="shared" si="12"/>
        <v>0</v>
      </c>
      <c r="S24" s="38">
        <f t="shared" si="13"/>
        <v>3479040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14</v>
      </c>
      <c r="B25" s="234" t="s">
        <v>119</v>
      </c>
      <c r="C25" s="79" t="str">
        <f t="shared" si="0"/>
        <v>Thạch Giang</v>
      </c>
      <c r="D25" s="103" t="str">
        <f t="shared" si="1"/>
        <v>Công nhân</v>
      </c>
      <c r="E25" s="80">
        <f t="shared" si="2"/>
        <v>3552000</v>
      </c>
      <c r="F25" s="82">
        <f>VLOOKUP(B25,'CC - 01'!$B$8:$AS$63,36,0)</f>
        <v>20</v>
      </c>
      <c r="G25" s="198">
        <f t="shared" si="3"/>
        <v>3552000</v>
      </c>
      <c r="H25" s="82">
        <f>(VLOOKUP(B25,'CC - 01'!$B$8:$AS$59,37,0)+VLOOKUP(B25,'CC - 01'!$B$8:$AS$59,38,0))</f>
        <v>0</v>
      </c>
      <c r="I25" s="198">
        <f t="shared" si="4"/>
        <v>0</v>
      </c>
      <c r="J25" s="199">
        <f t="shared" si="5"/>
        <v>20</v>
      </c>
      <c r="K25" s="36">
        <f t="shared" si="5"/>
        <v>3552000</v>
      </c>
      <c r="L25" s="80">
        <f t="shared" si="6"/>
        <v>300000</v>
      </c>
      <c r="M25" s="37">
        <f t="shared" si="7"/>
        <v>3852000</v>
      </c>
      <c r="N25" s="37">
        <f t="shared" si="14"/>
        <v>284160</v>
      </c>
      <c r="O25" s="37">
        <f t="shared" si="15"/>
        <v>53280</v>
      </c>
      <c r="P25" s="37">
        <f t="shared" si="16"/>
        <v>35520</v>
      </c>
      <c r="Q25" s="36">
        <f t="shared" si="11"/>
        <v>3479040</v>
      </c>
      <c r="R25" s="36">
        <f t="shared" si="12"/>
        <v>0</v>
      </c>
      <c r="S25" s="38">
        <f t="shared" si="13"/>
        <v>3479040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4" t="s">
        <v>122</v>
      </c>
      <c r="C26" s="79" t="str">
        <f t="shared" si="0"/>
        <v>Lâm Chanh Đa Ra</v>
      </c>
      <c r="D26" s="103" t="str">
        <f t="shared" si="1"/>
        <v>Công nhân</v>
      </c>
      <c r="E26" s="80">
        <f t="shared" si="2"/>
        <v>3552000</v>
      </c>
      <c r="F26" s="82">
        <f>VLOOKUP(B26,'CC - 01'!$B$8:$AS$63,36,0)</f>
        <v>20</v>
      </c>
      <c r="G26" s="198">
        <f t="shared" si="3"/>
        <v>3552000</v>
      </c>
      <c r="H26" s="82">
        <f>(VLOOKUP(B26,'CC - 01'!$B$8:$AS$59,37,0)+VLOOKUP(B26,'CC - 01'!$B$8:$AS$59,38,0))</f>
        <v>0</v>
      </c>
      <c r="I26" s="198">
        <f t="shared" si="4"/>
        <v>0</v>
      </c>
      <c r="J26" s="199">
        <f t="shared" ref="J26:K26" si="17">F26+H26</f>
        <v>20</v>
      </c>
      <c r="K26" s="36">
        <f t="shared" si="17"/>
        <v>3552000</v>
      </c>
      <c r="L26" s="80">
        <f t="shared" si="6"/>
        <v>300000</v>
      </c>
      <c r="M26" s="37">
        <f t="shared" si="7"/>
        <v>3852000</v>
      </c>
      <c r="N26" s="37">
        <f t="shared" si="14"/>
        <v>284160</v>
      </c>
      <c r="O26" s="37">
        <f t="shared" si="15"/>
        <v>53280</v>
      </c>
      <c r="P26" s="37">
        <f t="shared" si="16"/>
        <v>35520</v>
      </c>
      <c r="Q26" s="36">
        <f t="shared" si="11"/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2.5" customHeight="1">
      <c r="A27" s="35">
        <v>16</v>
      </c>
      <c r="B27" s="273" t="s">
        <v>88</v>
      </c>
      <c r="C27" s="79" t="str">
        <f t="shared" ref="C27" si="18">VLOOKUP(B27,DS,2,0)</f>
        <v>Huỳnh Thị Bé Tha</v>
      </c>
      <c r="D27" s="103" t="str">
        <f t="shared" ref="D27" si="19">VLOOKUP(B27,DS,3,0)</f>
        <v>Công nhân</v>
      </c>
      <c r="E27" s="80">
        <v>3552000</v>
      </c>
      <c r="F27" s="82">
        <f>VLOOKUP(B27,'CC - 01'!$B$8:$AS$63,36,0)</f>
        <v>15</v>
      </c>
      <c r="G27" s="198">
        <f t="shared" si="3"/>
        <v>2664000</v>
      </c>
      <c r="H27" s="82">
        <f>(VLOOKUP(B27,'CC - 01'!$B$8:$AS$59,37,0)+VLOOKUP(B27,'CC - 01'!$B$8:$AS$59,38,0))</f>
        <v>0</v>
      </c>
      <c r="I27" s="198">
        <f t="shared" ref="I27" si="20">ROUND(E27/$U$2*H27,0)</f>
        <v>0</v>
      </c>
      <c r="J27" s="199">
        <f t="shared" ref="J27" si="21">F27+H27</f>
        <v>15</v>
      </c>
      <c r="K27" s="36">
        <f t="shared" ref="K27" si="22">G27+I27</f>
        <v>2664000</v>
      </c>
      <c r="L27" s="80">
        <f t="shared" ref="L27" si="23">+F27*15000</f>
        <v>225000</v>
      </c>
      <c r="M27" s="37">
        <f t="shared" ref="M27" si="24">K27+L27</f>
        <v>2889000</v>
      </c>
      <c r="N27" s="37">
        <f t="shared" ref="N27" si="25">IF(VLOOKUP(B27,DS,10,0)="x",E27*$N$4,0)</f>
        <v>284160</v>
      </c>
      <c r="O27" s="37">
        <f t="shared" ref="O27" si="26">IF(VLOOKUP(B27,DS,10,0)="x",E27*$O$4,0)</f>
        <v>53280</v>
      </c>
      <c r="P27" s="37">
        <f t="shared" ref="P27" si="27">IF(VLOOKUP(B27,DS,10,0)="x",E27*$P$4,0)</f>
        <v>35520</v>
      </c>
      <c r="Q27" s="36">
        <f t="shared" ref="Q27" si="28">M27-SUM(N27:P27)</f>
        <v>2516040</v>
      </c>
      <c r="R27" s="36">
        <f t="shared" ref="R27" si="29">VLOOKUP(B27,DS,23,0)</f>
        <v>0</v>
      </c>
      <c r="S27" s="38">
        <f t="shared" ref="S27" si="30">Q27-R27</f>
        <v>2516040</v>
      </c>
      <c r="T27" s="36"/>
      <c r="U27" s="94"/>
      <c r="V27" s="34"/>
      <c r="W27" s="34"/>
      <c r="X27" s="34"/>
      <c r="Y27" s="34"/>
      <c r="Z27" s="34"/>
    </row>
    <row r="28" spans="1:31" s="31" customFormat="1" ht="21" customHeight="1">
      <c r="A28" s="513"/>
      <c r="B28" s="513"/>
      <c r="C28" s="513"/>
      <c r="D28" s="513"/>
      <c r="E28" s="125">
        <f>SUM(E10:E27)</f>
        <v>58344000</v>
      </c>
      <c r="F28" s="125"/>
      <c r="G28" s="125">
        <f>SUM(G10:G27)</f>
        <v>57456000</v>
      </c>
      <c r="H28" s="125"/>
      <c r="I28" s="125">
        <f>SUM(I10:I27)</f>
        <v>0</v>
      </c>
      <c r="J28" s="25"/>
      <c r="K28" s="25">
        <f t="shared" ref="K28:S28" si="31">SUM(K10:K27)</f>
        <v>57456000</v>
      </c>
      <c r="L28" s="25">
        <f t="shared" si="31"/>
        <v>4725000</v>
      </c>
      <c r="M28" s="25">
        <f t="shared" si="31"/>
        <v>62181000</v>
      </c>
      <c r="N28" s="25">
        <f t="shared" si="31"/>
        <v>4667520</v>
      </c>
      <c r="O28" s="25">
        <f t="shared" si="31"/>
        <v>875160</v>
      </c>
      <c r="P28" s="25">
        <f t="shared" si="31"/>
        <v>583440</v>
      </c>
      <c r="Q28" s="25">
        <f t="shared" si="31"/>
        <v>56054880</v>
      </c>
      <c r="R28" s="25">
        <f t="shared" si="31"/>
        <v>0</v>
      </c>
      <c r="S28" s="25">
        <f t="shared" si="31"/>
        <v>56054880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4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8"/>
      <c r="E30" s="119"/>
      <c r="F30" s="68"/>
      <c r="G30" s="68"/>
      <c r="H30" s="68"/>
      <c r="I30" s="68"/>
      <c r="J30" s="120"/>
      <c r="K30" s="119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31   tháng   01   năm 2017</v>
      </c>
      <c r="T30" s="68"/>
      <c r="U30" s="121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22"/>
      <c r="E31" s="69"/>
      <c r="F31" s="121"/>
      <c r="G31" s="69"/>
      <c r="H31" s="69"/>
      <c r="I31" s="69"/>
      <c r="J31" s="123"/>
      <c r="K31" s="34"/>
      <c r="L31" s="28"/>
      <c r="M31" s="232"/>
      <c r="N31" s="19"/>
      <c r="O31" s="19"/>
      <c r="P31" s="19"/>
      <c r="Q31" s="19"/>
      <c r="S31" s="121" t="s">
        <v>22</v>
      </c>
      <c r="T31" s="121"/>
      <c r="U31" s="121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s="157" customFormat="1" ht="29.25" customHeight="1">
      <c r="A41" s="124"/>
      <c r="B41" s="288"/>
      <c r="C41" s="288"/>
      <c r="D41" s="514" t="str">
        <f>D1</f>
        <v>BẢNG THANH TOÁN LƯƠNG THÁNG 01 / 2017</v>
      </c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5"/>
      <c r="R41" s="516" t="s">
        <v>112</v>
      </c>
      <c r="S41" s="517"/>
      <c r="T41" s="518"/>
      <c r="U41" s="94"/>
      <c r="V41" s="6"/>
      <c r="W41" s="179"/>
      <c r="X41" s="179"/>
      <c r="Y41" s="180"/>
      <c r="Z41" s="180"/>
    </row>
    <row r="42" spans="1:31" s="157" customFormat="1" ht="15" customHeight="1">
      <c r="A42" s="124" t="str">
        <f>TH!$A$1</f>
        <v>Công ty TNHH Hải sản An Lạc</v>
      </c>
      <c r="B42" s="288"/>
      <c r="C42" s="288"/>
      <c r="D42" s="288"/>
      <c r="E42" s="181"/>
      <c r="F42" s="288"/>
      <c r="G42" s="288"/>
      <c r="H42" s="288"/>
      <c r="I42" s="288"/>
      <c r="J42" s="182"/>
      <c r="K42" s="288"/>
      <c r="L42" s="288"/>
      <c r="M42" s="288"/>
      <c r="N42" s="288"/>
      <c r="O42" s="288"/>
      <c r="P42" s="288"/>
      <c r="Q42" s="288"/>
      <c r="R42" s="288"/>
      <c r="S42" s="288"/>
      <c r="T42" s="135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TH!$A$2</f>
        <v>Địa chỉ: Lô A14, đường 4A, KCN Hải Sơn, Đức Hòa, Long An</v>
      </c>
      <c r="B43" s="288"/>
      <c r="C43" s="288"/>
      <c r="D43" s="288"/>
      <c r="E43" s="181"/>
      <c r="F43" s="288"/>
      <c r="G43" s="288"/>
      <c r="H43" s="288"/>
      <c r="I43" s="288"/>
      <c r="J43" s="182"/>
      <c r="K43" s="288"/>
      <c r="L43" s="288"/>
      <c r="M43" s="288"/>
      <c r="N43" s="288"/>
      <c r="O43" s="288"/>
      <c r="P43" s="288"/>
      <c r="Q43" s="288"/>
      <c r="R43" s="288"/>
      <c r="S43" s="288"/>
      <c r="T43" s="135"/>
      <c r="U43" s="94"/>
      <c r="V43" s="6"/>
      <c r="W43" s="179"/>
      <c r="X43" s="179"/>
      <c r="Y43" s="180"/>
      <c r="Z43" s="180"/>
    </row>
    <row r="44" spans="1:31" s="186" customFormat="1" ht="14.25" customHeight="1">
      <c r="A44" s="18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94"/>
      <c r="V44" s="6"/>
      <c r="W44" s="185"/>
      <c r="X44" s="185"/>
      <c r="Y44" s="185"/>
      <c r="Z44" s="185"/>
    </row>
    <row r="45" spans="1:31" s="188" customFormat="1" ht="24" customHeight="1">
      <c r="A45" s="508" t="s">
        <v>19</v>
      </c>
      <c r="B45" s="508" t="s">
        <v>20</v>
      </c>
      <c r="C45" s="510" t="s">
        <v>1</v>
      </c>
      <c r="D45" s="510" t="s">
        <v>2</v>
      </c>
      <c r="E45" s="512" t="s">
        <v>56</v>
      </c>
      <c r="F45" s="526" t="s">
        <v>26</v>
      </c>
      <c r="G45" s="532"/>
      <c r="H45" s="532"/>
      <c r="I45" s="532"/>
      <c r="J45" s="532"/>
      <c r="K45" s="527"/>
      <c r="L45" s="500" t="s">
        <v>57</v>
      </c>
      <c r="M45" s="500" t="s">
        <v>5</v>
      </c>
      <c r="N45" s="510" t="s">
        <v>6</v>
      </c>
      <c r="O45" s="510"/>
      <c r="P45" s="510"/>
      <c r="Q45" s="511" t="s">
        <v>7</v>
      </c>
      <c r="R45" s="511" t="s">
        <v>8</v>
      </c>
      <c r="S45" s="511" t="s">
        <v>9</v>
      </c>
      <c r="T45" s="524" t="s">
        <v>10</v>
      </c>
      <c r="U45" s="164"/>
      <c r="V45" s="187"/>
      <c r="W45" s="187"/>
      <c r="X45" s="180"/>
      <c r="Y45" s="180"/>
      <c r="Z45" s="180"/>
      <c r="AA45" s="157"/>
      <c r="AB45" s="157"/>
      <c r="AC45" s="157"/>
      <c r="AD45" s="157"/>
      <c r="AE45" s="157"/>
    </row>
    <row r="46" spans="1:31" s="188" customFormat="1" ht="33.75" customHeight="1">
      <c r="A46" s="509"/>
      <c r="B46" s="509"/>
      <c r="C46" s="510"/>
      <c r="D46" s="510"/>
      <c r="E46" s="512"/>
      <c r="F46" s="526" t="s">
        <v>59</v>
      </c>
      <c r="G46" s="527"/>
      <c r="H46" s="501" t="s">
        <v>189</v>
      </c>
      <c r="I46" s="502"/>
      <c r="J46" s="528" t="s">
        <v>27</v>
      </c>
      <c r="K46" s="511" t="s">
        <v>4</v>
      </c>
      <c r="L46" s="504"/>
      <c r="M46" s="504"/>
      <c r="N46" s="530" t="s">
        <v>12</v>
      </c>
      <c r="O46" s="511" t="s">
        <v>13</v>
      </c>
      <c r="P46" s="511" t="s">
        <v>34</v>
      </c>
      <c r="Q46" s="523"/>
      <c r="R46" s="523"/>
      <c r="S46" s="523"/>
      <c r="T46" s="525"/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5.25" customHeight="1">
      <c r="A47" s="509"/>
      <c r="B47" s="509"/>
      <c r="C47" s="511"/>
      <c r="D47" s="511"/>
      <c r="E47" s="512"/>
      <c r="F47" s="289" t="s">
        <v>40</v>
      </c>
      <c r="G47" s="290" t="s">
        <v>18</v>
      </c>
      <c r="H47" s="287" t="s">
        <v>40</v>
      </c>
      <c r="I47" s="290" t="s">
        <v>18</v>
      </c>
      <c r="J47" s="529"/>
      <c r="K47" s="523"/>
      <c r="L47" s="505"/>
      <c r="M47" s="505"/>
      <c r="N47" s="531"/>
      <c r="O47" s="523"/>
      <c r="P47" s="523"/>
      <c r="Q47" s="523"/>
      <c r="R47" s="523"/>
      <c r="S47" s="523"/>
      <c r="T47" s="525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93" customFormat="1" ht="12.75" customHeight="1">
      <c r="A48" s="189">
        <v>1</v>
      </c>
      <c r="B48" s="189">
        <v>2</v>
      </c>
      <c r="C48" s="189">
        <v>3</v>
      </c>
      <c r="D48" s="189">
        <v>4</v>
      </c>
      <c r="E48" s="189">
        <v>5</v>
      </c>
      <c r="F48" s="189">
        <v>7</v>
      </c>
      <c r="G48" s="189">
        <v>8</v>
      </c>
      <c r="H48" s="189">
        <v>9</v>
      </c>
      <c r="I48" s="189">
        <v>10</v>
      </c>
      <c r="J48" s="189">
        <v>13</v>
      </c>
      <c r="K48" s="189">
        <v>14</v>
      </c>
      <c r="L48" s="189">
        <v>16</v>
      </c>
      <c r="M48" s="74">
        <v>17</v>
      </c>
      <c r="N48" s="189">
        <v>24</v>
      </c>
      <c r="O48" s="189">
        <v>25</v>
      </c>
      <c r="P48" s="189">
        <v>26</v>
      </c>
      <c r="Q48" s="189">
        <v>29</v>
      </c>
      <c r="R48" s="189">
        <v>30</v>
      </c>
      <c r="S48" s="189">
        <v>31</v>
      </c>
      <c r="T48" s="189">
        <v>32</v>
      </c>
      <c r="U48" s="164"/>
      <c r="V48" s="190"/>
      <c r="W48" s="190"/>
      <c r="X48" s="191"/>
      <c r="Y48" s="191"/>
      <c r="Z48" s="191"/>
      <c r="AA48" s="192"/>
      <c r="AB48" s="192"/>
      <c r="AC48" s="192"/>
      <c r="AD48" s="192"/>
      <c r="AE48" s="192"/>
    </row>
    <row r="49" spans="1:31" s="203" customFormat="1" ht="23.25" customHeight="1">
      <c r="A49" s="194">
        <v>1</v>
      </c>
      <c r="B49" s="194" t="s">
        <v>68</v>
      </c>
      <c r="C49" s="195" t="str">
        <f t="shared" ref="C49:C56" si="32">VLOOKUP(B49,DS,2,0)</f>
        <v>Nguyễn Thiện Duy</v>
      </c>
      <c r="D49" s="196" t="str">
        <f t="shared" ref="D49:D55" si="33">VLOOKUP(B49,DS,3,0)</f>
        <v>Giám đốc</v>
      </c>
      <c r="E49" s="197">
        <f>VLOOKUP(B49,TH!$B$11:$E$56,4,0)</f>
        <v>10851000</v>
      </c>
      <c r="F49" s="82">
        <f>VLOOKUP($B49,'CC - 01'!$B$9:$AR$91,36,0)</f>
        <v>17</v>
      </c>
      <c r="G49" s="198">
        <f t="shared" ref="G49:G55" si="34">ROUND(E49/$U$2*F49,0)</f>
        <v>9223350</v>
      </c>
      <c r="H49" s="82">
        <f>(VLOOKUP($B49,'CC - 01'!$B$9:$AN$86,37,0)+(VLOOKUP($B49,'CC - 01'!$B$9:$AN$86,38,0)))</f>
        <v>0</v>
      </c>
      <c r="I49" s="198">
        <f t="shared" ref="I49:I55" si="35">ROUND(E49/$U$2*H49,0)</f>
        <v>0</v>
      </c>
      <c r="J49" s="199">
        <f t="shared" ref="J49:K55" si="36">F49+H49</f>
        <v>17</v>
      </c>
      <c r="K49" s="36">
        <f t="shared" si="36"/>
        <v>9223350</v>
      </c>
      <c r="L49" s="80">
        <f>+F49*15000</f>
        <v>255000</v>
      </c>
      <c r="M49" s="200">
        <f t="shared" ref="M49:M55" si="37">K49+SUM(L49:L49)</f>
        <v>9478350</v>
      </c>
      <c r="N49" s="37">
        <f t="shared" ref="N49:N55" si="38">IF(VLOOKUP(B49,DS,10,0)="x",E49*$N$4,0)</f>
        <v>868080</v>
      </c>
      <c r="O49" s="37">
        <f t="shared" ref="O49:O55" si="39">IF(VLOOKUP(B49,DS,10,0)="x",E49*$O$4,0)</f>
        <v>162765</v>
      </c>
      <c r="P49" s="37">
        <f t="shared" ref="P49:P55" si="40">IF(VLOOKUP(B49,DS,10,0)="x",E49*$P$4,0)</f>
        <v>108510</v>
      </c>
      <c r="Q49" s="198">
        <f t="shared" ref="Q49:Q55" si="41">M49-SUM(N49:P49)</f>
        <v>8338995</v>
      </c>
      <c r="R49" s="198">
        <f t="shared" ref="R49:R55" si="42">VLOOKUP(B49,DS,23,0)</f>
        <v>0</v>
      </c>
      <c r="S49" s="201">
        <f>Q49-R49</f>
        <v>8338995</v>
      </c>
      <c r="T49" s="198"/>
      <c r="U49" s="164"/>
      <c r="V49" s="202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203" customFormat="1" ht="23.25" customHeight="1">
      <c r="A50" s="194">
        <v>2</v>
      </c>
      <c r="B50" s="194" t="s">
        <v>70</v>
      </c>
      <c r="C50" s="195" t="str">
        <f t="shared" si="32"/>
        <v>Nguyễn Văn Sẽ</v>
      </c>
      <c r="D50" s="196" t="str">
        <f t="shared" si="33"/>
        <v>Kỹ Thuật</v>
      </c>
      <c r="E50" s="197">
        <f>VLOOKUP(B50,TH!$B$11:$E$56,4,0)</f>
        <v>4895000</v>
      </c>
      <c r="F50" s="82">
        <f>VLOOKUP($B50,'CC - 01'!$B$9:$AR$91,36,0)</f>
        <v>20</v>
      </c>
      <c r="G50" s="198">
        <f t="shared" si="34"/>
        <v>4895000</v>
      </c>
      <c r="H50" s="82">
        <f>(VLOOKUP($B50,'CC - 01'!$B$9:$AN$86,37,0)+(VLOOKUP($B50,'CC - 01'!$B$9:$AN$86,38,0)))</f>
        <v>0</v>
      </c>
      <c r="I50" s="198">
        <f t="shared" si="35"/>
        <v>0</v>
      </c>
      <c r="J50" s="199">
        <f t="shared" si="36"/>
        <v>20</v>
      </c>
      <c r="K50" s="36">
        <f t="shared" si="36"/>
        <v>4895000</v>
      </c>
      <c r="L50" s="80">
        <f t="shared" ref="L50:L55" si="43">+F50*15000</f>
        <v>300000</v>
      </c>
      <c r="M50" s="200">
        <f t="shared" si="37"/>
        <v>5195000</v>
      </c>
      <c r="N50" s="37">
        <f t="shared" si="38"/>
        <v>391600</v>
      </c>
      <c r="O50" s="37">
        <f t="shared" si="39"/>
        <v>73425</v>
      </c>
      <c r="P50" s="37">
        <f t="shared" si="40"/>
        <v>48950</v>
      </c>
      <c r="Q50" s="198">
        <f t="shared" si="41"/>
        <v>4681025</v>
      </c>
      <c r="R50" s="198">
        <f t="shared" si="42"/>
        <v>0</v>
      </c>
      <c r="S50" s="201">
        <f t="shared" ref="S50:S55" si="44">Q50-R50</f>
        <v>4681025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3</v>
      </c>
      <c r="B51" s="194" t="s">
        <v>72</v>
      </c>
      <c r="C51" s="195" t="str">
        <f t="shared" si="32"/>
        <v>Võ Uyên Phương</v>
      </c>
      <c r="D51" s="196" t="str">
        <f t="shared" si="33"/>
        <v>Kế toán</v>
      </c>
      <c r="E51" s="197">
        <f>VLOOKUP(B51,TH!$B$11:$E$56,4,0)</f>
        <v>4895000</v>
      </c>
      <c r="F51" s="82">
        <f>VLOOKUP($B51,'CC - 01'!$B$9:$AR$91,36,0)</f>
        <v>20</v>
      </c>
      <c r="G51" s="198">
        <f t="shared" si="34"/>
        <v>4895000</v>
      </c>
      <c r="H51" s="82">
        <f>(VLOOKUP($B51,'CC - 01'!$B$9:$AN$86,37,0)+(VLOOKUP($B51,'CC - 01'!$B$9:$AN$86,38,0)))</f>
        <v>0</v>
      </c>
      <c r="I51" s="198">
        <f t="shared" si="35"/>
        <v>0</v>
      </c>
      <c r="J51" s="199">
        <f t="shared" si="36"/>
        <v>20</v>
      </c>
      <c r="K51" s="36">
        <f t="shared" si="36"/>
        <v>4895000</v>
      </c>
      <c r="L51" s="80">
        <f t="shared" si="43"/>
        <v>300000</v>
      </c>
      <c r="M51" s="200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198">
        <f t="shared" si="41"/>
        <v>4681025</v>
      </c>
      <c r="R51" s="198">
        <f t="shared" si="42"/>
        <v>0</v>
      </c>
      <c r="S51" s="201">
        <f t="shared" si="44"/>
        <v>4681025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4</v>
      </c>
      <c r="B52" s="194" t="s">
        <v>75</v>
      </c>
      <c r="C52" s="195" t="str">
        <f t="shared" si="32"/>
        <v>Lê Nguyễn Huy Cường</v>
      </c>
      <c r="D52" s="196" t="str">
        <f t="shared" si="33"/>
        <v>XNK</v>
      </c>
      <c r="E52" s="197">
        <f>VLOOKUP(B52,TH!$B$11:$E$56,4,0)</f>
        <v>4336000</v>
      </c>
      <c r="F52" s="82">
        <f>VLOOKUP($B52,'CC - 01'!$B$9:$AR$91,36,0)</f>
        <v>20</v>
      </c>
      <c r="G52" s="198">
        <f t="shared" si="34"/>
        <v>4336000</v>
      </c>
      <c r="H52" s="82">
        <f>(VLOOKUP($B52,'CC - 01'!$B$9:$AN$86,37,0)+(VLOOKUP($B52,'CC - 01'!$B$9:$AN$86,38,0)))</f>
        <v>0</v>
      </c>
      <c r="I52" s="198">
        <f t="shared" si="35"/>
        <v>0</v>
      </c>
      <c r="J52" s="199">
        <f t="shared" si="36"/>
        <v>20</v>
      </c>
      <c r="K52" s="36">
        <f t="shared" si="36"/>
        <v>4336000</v>
      </c>
      <c r="L52" s="80">
        <f t="shared" si="43"/>
        <v>300000</v>
      </c>
      <c r="M52" s="200">
        <f t="shared" si="37"/>
        <v>4636000</v>
      </c>
      <c r="N52" s="37">
        <f t="shared" si="38"/>
        <v>346880</v>
      </c>
      <c r="O52" s="37">
        <f t="shared" si="39"/>
        <v>65040</v>
      </c>
      <c r="P52" s="37">
        <f t="shared" si="40"/>
        <v>43360</v>
      </c>
      <c r="Q52" s="198">
        <f t="shared" si="41"/>
        <v>4180720</v>
      </c>
      <c r="R52" s="198">
        <f t="shared" si="42"/>
        <v>0</v>
      </c>
      <c r="S52" s="201">
        <f t="shared" si="44"/>
        <v>4180720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5</v>
      </c>
      <c r="B53" s="194" t="s">
        <v>77</v>
      </c>
      <c r="C53" s="195" t="str">
        <f t="shared" si="32"/>
        <v>Nguyễn Văn Bé Tư</v>
      </c>
      <c r="D53" s="196" t="str">
        <f t="shared" si="33"/>
        <v>Tài xế</v>
      </c>
      <c r="E53" s="197">
        <f>VLOOKUP(B53,TH!$B$11:$E$56,4,0)</f>
        <v>3776000</v>
      </c>
      <c r="F53" s="82">
        <f>VLOOKUP($B53,'CC - 01'!$B$9:$AR$91,36,0)</f>
        <v>20</v>
      </c>
      <c r="G53" s="198">
        <f t="shared" si="34"/>
        <v>3776000</v>
      </c>
      <c r="H53" s="82">
        <f>(VLOOKUP($B53,'CC - 01'!$B$9:$AN$86,37,0)+(VLOOKUP($B53,'CC - 01'!$B$9:$AN$86,38,0)))</f>
        <v>0</v>
      </c>
      <c r="I53" s="198">
        <f t="shared" si="35"/>
        <v>0</v>
      </c>
      <c r="J53" s="199">
        <f t="shared" si="36"/>
        <v>20</v>
      </c>
      <c r="K53" s="36">
        <f t="shared" si="36"/>
        <v>3776000</v>
      </c>
      <c r="L53" s="80">
        <f t="shared" si="43"/>
        <v>300000</v>
      </c>
      <c r="M53" s="200">
        <f t="shared" si="37"/>
        <v>4076000</v>
      </c>
      <c r="N53" s="37">
        <f t="shared" si="38"/>
        <v>302080</v>
      </c>
      <c r="O53" s="37">
        <f t="shared" si="39"/>
        <v>56640</v>
      </c>
      <c r="P53" s="37">
        <f t="shared" si="40"/>
        <v>37760</v>
      </c>
      <c r="Q53" s="198">
        <f t="shared" si="41"/>
        <v>3679520</v>
      </c>
      <c r="R53" s="198">
        <f t="shared" si="42"/>
        <v>0</v>
      </c>
      <c r="S53" s="201">
        <f t="shared" si="44"/>
        <v>3679520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6</v>
      </c>
      <c r="B54" s="194" t="s">
        <v>78</v>
      </c>
      <c r="C54" s="195" t="str">
        <f t="shared" si="32"/>
        <v>Dương Thanh Tuấn</v>
      </c>
      <c r="D54" s="196" t="str">
        <f t="shared" si="33"/>
        <v>Nhân sự</v>
      </c>
      <c r="E54" s="197">
        <f>VLOOKUP(B54,TH!$B$11:$E$56,4,0)</f>
        <v>4056000</v>
      </c>
      <c r="F54" s="82">
        <f>VLOOKUP($B54,'CC - 01'!$B$9:$AR$91,36,0)</f>
        <v>19</v>
      </c>
      <c r="G54" s="198">
        <f t="shared" si="34"/>
        <v>3853200</v>
      </c>
      <c r="H54" s="82">
        <f>(VLOOKUP($B54,'CC - 01'!$B$9:$AN$86,37,0)+(VLOOKUP($B54,'CC - 01'!$B$9:$AN$86,38,0)))</f>
        <v>0</v>
      </c>
      <c r="I54" s="198">
        <f t="shared" si="35"/>
        <v>0</v>
      </c>
      <c r="J54" s="199">
        <f t="shared" si="36"/>
        <v>19</v>
      </c>
      <c r="K54" s="36">
        <f t="shared" si="36"/>
        <v>3853200</v>
      </c>
      <c r="L54" s="80">
        <f t="shared" si="43"/>
        <v>285000</v>
      </c>
      <c r="M54" s="200">
        <f t="shared" si="37"/>
        <v>4138200</v>
      </c>
      <c r="N54" s="37">
        <f t="shared" si="38"/>
        <v>324480</v>
      </c>
      <c r="O54" s="37">
        <f t="shared" si="39"/>
        <v>60840</v>
      </c>
      <c r="P54" s="37">
        <f t="shared" si="40"/>
        <v>40560</v>
      </c>
      <c r="Q54" s="198">
        <f t="shared" si="41"/>
        <v>3712320</v>
      </c>
      <c r="R54" s="198">
        <f t="shared" si="42"/>
        <v>0</v>
      </c>
      <c r="S54" s="201">
        <f t="shared" si="44"/>
        <v>3712320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7</v>
      </c>
      <c r="B55" s="194" t="s">
        <v>81</v>
      </c>
      <c r="C55" s="195" t="str">
        <f t="shared" si="32"/>
        <v>Nguyễn Thiện Duyệt</v>
      </c>
      <c r="D55" s="196" t="str">
        <f t="shared" si="33"/>
        <v>XNK</v>
      </c>
      <c r="E55" s="197">
        <f>VLOOKUP(B55,TH!$B$11:$E$56,4,0)</f>
        <v>4840000</v>
      </c>
      <c r="F55" s="82">
        <f>VLOOKUP($B55,'CC - 01'!$B$9:$AR$91,36,0)</f>
        <v>20</v>
      </c>
      <c r="G55" s="198">
        <f t="shared" si="34"/>
        <v>4840000</v>
      </c>
      <c r="H55" s="82">
        <f>(VLOOKUP($B55,'CC - 01'!$B$9:$AN$86,37,0)+(VLOOKUP($B55,'CC - 01'!$B$9:$AN$86,38,0)))</f>
        <v>0</v>
      </c>
      <c r="I55" s="198">
        <f t="shared" si="35"/>
        <v>0</v>
      </c>
      <c r="J55" s="199">
        <f t="shared" si="36"/>
        <v>20</v>
      </c>
      <c r="K55" s="36">
        <f t="shared" si="36"/>
        <v>4840000</v>
      </c>
      <c r="L55" s="80">
        <f t="shared" si="43"/>
        <v>300000</v>
      </c>
      <c r="M55" s="200">
        <f t="shared" si="37"/>
        <v>5140000</v>
      </c>
      <c r="N55" s="37">
        <f t="shared" si="38"/>
        <v>387200</v>
      </c>
      <c r="O55" s="37">
        <f t="shared" si="39"/>
        <v>72600</v>
      </c>
      <c r="P55" s="37">
        <f t="shared" si="40"/>
        <v>48400</v>
      </c>
      <c r="Q55" s="198">
        <f t="shared" si="41"/>
        <v>4631800</v>
      </c>
      <c r="R55" s="198">
        <f t="shared" si="42"/>
        <v>0</v>
      </c>
      <c r="S55" s="201">
        <f t="shared" si="44"/>
        <v>4631800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2.5" customHeight="1">
      <c r="A56" s="204">
        <v>8</v>
      </c>
      <c r="B56" s="204" t="s">
        <v>192</v>
      </c>
      <c r="C56" s="195" t="str">
        <f t="shared" si="32"/>
        <v>Trần Đình Thái</v>
      </c>
      <c r="D56" s="196" t="str">
        <f t="shared" ref="D56" si="45">VLOOKUP(B56,DS,3,0)</f>
        <v>Cơ Điện</v>
      </c>
      <c r="E56" s="197">
        <f>VLOOKUP(B56,TH!$B$11:$E$56,4,0)</f>
        <v>3568000</v>
      </c>
      <c r="F56" s="82">
        <f>VLOOKUP($B56,'CC - 01'!$B$9:$AR$91,36,0)</f>
        <v>20</v>
      </c>
      <c r="G56" s="198">
        <f t="shared" ref="G56" si="46">ROUND(E56/$U$2*F56,0)</f>
        <v>3568000</v>
      </c>
      <c r="H56" s="82">
        <f>(VLOOKUP($B56,'CC - 01'!$B$9:$AN$86,37,0)+(VLOOKUP($B56,'CC - 01'!$B$9:$AN$86,38,0)))</f>
        <v>0</v>
      </c>
      <c r="I56" s="198">
        <f t="shared" ref="I56" si="47">ROUND(E56/$U$2*H56,0)</f>
        <v>0</v>
      </c>
      <c r="J56" s="199">
        <f t="shared" ref="J56" si="48">F56+H56</f>
        <v>20</v>
      </c>
      <c r="K56" s="36">
        <f t="shared" ref="K56" si="49">G56+I56</f>
        <v>3568000</v>
      </c>
      <c r="L56" s="80">
        <f t="shared" ref="L56" si="50">+F56*15000</f>
        <v>300000</v>
      </c>
      <c r="M56" s="200">
        <f t="shared" ref="M56" si="51">K56+SUM(L56:L56)</f>
        <v>3868000</v>
      </c>
      <c r="N56" s="37">
        <f t="shared" ref="N56" si="52">IF(VLOOKUP(B56,DS,10,0)="x",E56*$N$4,0)</f>
        <v>285440</v>
      </c>
      <c r="O56" s="37">
        <f t="shared" ref="O56" si="53">IF(VLOOKUP(B56,DS,10,0)="x",E56*$O$4,0)</f>
        <v>53520</v>
      </c>
      <c r="P56" s="37">
        <f t="shared" ref="P56" si="54">IF(VLOOKUP(B56,DS,10,0)="x",E56*$P$4,0)</f>
        <v>35680</v>
      </c>
      <c r="Q56" s="198">
        <f t="shared" ref="Q56" si="55">M56-SUM(N56:P56)</f>
        <v>3493360</v>
      </c>
      <c r="R56" s="198">
        <f t="shared" ref="R56" si="56">VLOOKUP(B56,DS,23,0)</f>
        <v>0</v>
      </c>
      <c r="S56" s="201">
        <f t="shared" ref="S56" si="57">Q56-R56</f>
        <v>3493360</v>
      </c>
      <c r="T56" s="198"/>
      <c r="U56" s="164"/>
      <c r="V56" s="202"/>
      <c r="W56" s="202"/>
      <c r="X56" s="202"/>
      <c r="Y56" s="202"/>
      <c r="Z56" s="202"/>
    </row>
    <row r="57" spans="1:31" s="208" customFormat="1" ht="21" customHeight="1">
      <c r="A57" s="521" t="s">
        <v>25</v>
      </c>
      <c r="B57" s="522"/>
      <c r="C57" s="522"/>
      <c r="D57" s="522"/>
      <c r="E57" s="205">
        <f>SUM(E49:E56)</f>
        <v>41217000</v>
      </c>
      <c r="F57" s="205"/>
      <c r="G57" s="205">
        <f t="shared" ref="G57:S57" si="58">SUM(G49:G56)</f>
        <v>39386550</v>
      </c>
      <c r="H57" s="205">
        <f t="shared" si="58"/>
        <v>0</v>
      </c>
      <c r="I57" s="205">
        <f t="shared" si="58"/>
        <v>0</v>
      </c>
      <c r="J57" s="205">
        <f t="shared" si="58"/>
        <v>156</v>
      </c>
      <c r="K57" s="206">
        <f t="shared" si="58"/>
        <v>39386550</v>
      </c>
      <c r="L57" s="206">
        <f t="shared" si="58"/>
        <v>2340000</v>
      </c>
      <c r="M57" s="206">
        <f t="shared" si="58"/>
        <v>41726550</v>
      </c>
      <c r="N57" s="206">
        <f t="shared" si="58"/>
        <v>3297360</v>
      </c>
      <c r="O57" s="206">
        <f t="shared" si="58"/>
        <v>618255</v>
      </c>
      <c r="P57" s="206">
        <f t="shared" si="58"/>
        <v>412170</v>
      </c>
      <c r="Q57" s="206">
        <f t="shared" si="58"/>
        <v>37398765</v>
      </c>
      <c r="R57" s="206">
        <f t="shared" si="58"/>
        <v>0</v>
      </c>
      <c r="S57" s="206">
        <f t="shared" si="58"/>
        <v>37398765</v>
      </c>
      <c r="T57" s="206"/>
      <c r="U57" s="164"/>
      <c r="V57" s="207"/>
      <c r="W57" s="207"/>
      <c r="X57" s="207"/>
      <c r="Y57" s="207"/>
      <c r="Z57" s="207"/>
    </row>
    <row r="58" spans="1:31" s="216" customFormat="1" ht="13.5" customHeight="1">
      <c r="A58" s="209"/>
      <c r="B58" s="209"/>
      <c r="C58" s="210"/>
      <c r="D58" s="211"/>
      <c r="E58" s="212"/>
      <c r="F58" s="210"/>
      <c r="G58" s="210"/>
      <c r="H58" s="210"/>
      <c r="I58" s="210"/>
      <c r="J58" s="213"/>
      <c r="K58" s="210"/>
      <c r="L58" s="210"/>
      <c r="M58" s="214"/>
      <c r="N58" s="210"/>
      <c r="O58" s="210"/>
      <c r="P58" s="210"/>
      <c r="Q58" s="210"/>
      <c r="R58" s="210"/>
      <c r="S58" s="210"/>
      <c r="T58" s="210"/>
      <c r="U58" s="164"/>
      <c r="V58" s="215"/>
      <c r="W58" s="215"/>
      <c r="X58" s="215"/>
      <c r="Y58" s="215"/>
      <c r="Z58" s="215"/>
    </row>
    <row r="59" spans="1:31" s="203" customFormat="1" ht="17.25" customHeight="1">
      <c r="A59" s="217"/>
      <c r="B59" s="217"/>
      <c r="C59" s="217"/>
      <c r="D59" s="218"/>
      <c r="E59" s="219"/>
      <c r="F59" s="217"/>
      <c r="G59" s="217"/>
      <c r="H59" s="217"/>
      <c r="I59" s="217"/>
      <c r="J59" s="220"/>
      <c r="K59" s="219"/>
      <c r="L59" s="217"/>
      <c r="M59" s="217"/>
      <c r="N59" s="217"/>
      <c r="O59" s="217"/>
      <c r="P59" s="217"/>
      <c r="Q59" s="217"/>
      <c r="R59" s="217"/>
      <c r="S59" s="221" t="str">
        <f>$S$30</f>
        <v>Long An, ngày  31   tháng   01   năm 2017</v>
      </c>
      <c r="T59" s="217"/>
      <c r="U59" s="222"/>
      <c r="V59" s="202"/>
      <c r="W59" s="202"/>
      <c r="X59" s="202"/>
      <c r="Y59" s="202"/>
      <c r="Z59" s="202"/>
    </row>
    <row r="60" spans="1:31" s="203" customFormat="1" ht="12.75">
      <c r="A60" s="223"/>
      <c r="B60" s="223"/>
      <c r="C60" s="222" t="s">
        <v>60</v>
      </c>
      <c r="D60" s="224"/>
      <c r="E60" s="183"/>
      <c r="F60" s="222"/>
      <c r="G60" s="183"/>
      <c r="H60" s="183"/>
      <c r="I60" s="183"/>
      <c r="J60" s="225"/>
      <c r="K60" s="202"/>
      <c r="L60" s="226"/>
      <c r="M60" s="233"/>
      <c r="N60" s="227"/>
      <c r="O60" s="227"/>
      <c r="P60" s="227"/>
      <c r="Q60" s="227"/>
      <c r="S60" s="227" t="s">
        <v>22</v>
      </c>
      <c r="T60" s="222"/>
      <c r="U60" s="222"/>
      <c r="V60" s="202"/>
      <c r="W60" s="202"/>
      <c r="X60" s="202"/>
      <c r="Y60" s="202"/>
      <c r="Z60" s="202"/>
    </row>
    <row r="61" spans="1:31" s="216" customFormat="1" ht="12">
      <c r="A61" s="209"/>
      <c r="B61" s="209"/>
      <c r="C61" s="228"/>
      <c r="D61" s="228"/>
      <c r="E61" s="229"/>
      <c r="F61" s="167"/>
      <c r="G61" s="229"/>
      <c r="H61" s="229"/>
      <c r="I61" s="229"/>
      <c r="J61" s="213"/>
      <c r="K61" s="215"/>
      <c r="L61" s="230"/>
      <c r="N61" s="231"/>
      <c r="O61" s="231"/>
      <c r="P61" s="231"/>
      <c r="Q61" s="231"/>
      <c r="S61" s="231"/>
      <c r="T61" s="167"/>
      <c r="U61" s="164"/>
      <c r="V61" s="215"/>
      <c r="W61" s="215"/>
      <c r="X61" s="215"/>
      <c r="Y61" s="215"/>
      <c r="Z61" s="215"/>
    </row>
    <row r="63" spans="1:31">
      <c r="F63" s="280"/>
    </row>
  </sheetData>
  <protectedRanges>
    <protectedRange password="CC78" sqref="V27:IK28 A10:B11 C5:D7 B31:C31 V5:W9 A28:A32 B27:B30 B32 A62:A92 V12:W12 Q5:T7 AF5:IK12 V22:W22 E5:I6 N5:P6 L5 Q10:S11 L47 L31 J6:K7 L7 L45 AF22:IK22 A34:A40 W34:IK40 W10:W11 C62:IK92 D28:T28 A93:IK65360 C34:T40 B34:B48 V34:V44 H46:I46 B51:B92" name="Range1"/>
    <protectedRange password="CC78" sqref="F7:H7 H47" name="Range1_4"/>
    <protectedRange password="CC78" sqref="V31:IK32 S31:T32 N31:Q32 E31:I32" name="Range1_1_1"/>
    <protectedRange password="CC78" sqref="U1 W1:IK3 V4:IK4 B4:T4 U4:U12 X5:AE12 U22 X22:AE22 B1:Q3 R2:S3 U27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6:IK57 C45:D47 B60:C60 V45:W48 A56:A61 B56:B59 B61 N45:P46 Q45:T47 E45:I45 AF45:IK55 D57:T57 J46:K47 L60 W49:W55 A51:B55 E46:G46 A49:A50 Q49:S56" name="Range1_3"/>
    <protectedRange password="CC78" sqref="F47:G47" name="Range1_4_2"/>
    <protectedRange password="CC78" sqref="V60:IK61 N60:Q61 S60:T61 E60:I61" name="Range1_1_1_1"/>
    <protectedRange password="CC78" sqref="W41:IK44 U45:U61 X45:AE55 B44:T44 B41:Q43 R42:S43" name="Range1_2_2"/>
    <protectedRange password="CC78" sqref="V49:V55" name="Range1_1_2"/>
    <protectedRange password="CC78" sqref="A41" name="Range1_2_1_1_1"/>
    <protectedRange password="CC78" sqref="I47" name="Range1_4_1_1"/>
    <protectedRange password="CC78" sqref="AF23:IK26 W23:W26 Q23:S27 B18:B21 B23:B26 A13:B17 Q13:S21 W13:W21 AF13:IK21 A18:A27" name="Range1_5"/>
    <protectedRange password="CC78" sqref="X23:AE26 U23:U26 U13:U21 X13:AE21" name="Range1_2_3"/>
    <protectedRange password="CC78" sqref="V23:V26 V13:V21" name="Range1_1_3"/>
    <protectedRange password="CC78" sqref="K10:K11 K49:K56 K23:K27 K13:K21" name="Range1_6"/>
    <protectedRange password="CC78" sqref="A2:A3 A42:A43" name="Range1_2_1_3"/>
  </protectedRanges>
  <autoFilter ref="A7:AE10"/>
  <mergeCells count="46">
    <mergeCell ref="A57:D57"/>
    <mergeCell ref="S45:S47"/>
    <mergeCell ref="T45:T47"/>
    <mergeCell ref="F46:G46"/>
    <mergeCell ref="H46:I46"/>
    <mergeCell ref="J46:J47"/>
    <mergeCell ref="K46:K47"/>
    <mergeCell ref="N46:N47"/>
    <mergeCell ref="O46:O47"/>
    <mergeCell ref="P46:P47"/>
    <mergeCell ref="F45:K45"/>
    <mergeCell ref="L45:L47"/>
    <mergeCell ref="M45:M47"/>
    <mergeCell ref="N45:P45"/>
    <mergeCell ref="Q45:Q47"/>
    <mergeCell ref="R45:R47"/>
    <mergeCell ref="O6:O7"/>
    <mergeCell ref="P6:P7"/>
    <mergeCell ref="A28:D28"/>
    <mergeCell ref="D41:Q41"/>
    <mergeCell ref="R41:T41"/>
    <mergeCell ref="F6:G6"/>
    <mergeCell ref="H6:I6"/>
    <mergeCell ref="J6:J7"/>
    <mergeCell ref="K6:K7"/>
    <mergeCell ref="A45:A47"/>
    <mergeCell ref="B45:B47"/>
    <mergeCell ref="C45:C47"/>
    <mergeCell ref="D45:D47"/>
    <mergeCell ref="E45:E4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7"/>
  <sheetViews>
    <sheetView zoomScaleNormal="115" workbookViewId="0">
      <pane xSplit="3" ySplit="6" topLeftCell="D88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P95" sqref="P9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8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50" t="s">
        <v>180</v>
      </c>
      <c r="AN1" s="451"/>
      <c r="AO1" s="451"/>
      <c r="AP1" s="451"/>
      <c r="AQ1" s="451"/>
      <c r="AR1" s="451"/>
      <c r="AS1" s="452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42767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53" t="s">
        <v>28</v>
      </c>
      <c r="B5" s="453" t="s">
        <v>3</v>
      </c>
      <c r="C5" s="453" t="s">
        <v>1</v>
      </c>
      <c r="D5" s="455" t="s">
        <v>29</v>
      </c>
      <c r="E5" s="453" t="s">
        <v>30</v>
      </c>
      <c r="F5" s="105">
        <f>+E4</f>
        <v>42767</v>
      </c>
      <c r="G5" s="105">
        <f t="shared" ref="G5:AG5" si="0">F5+1</f>
        <v>42768</v>
      </c>
      <c r="H5" s="105">
        <f t="shared" si="0"/>
        <v>42769</v>
      </c>
      <c r="I5" s="105">
        <f t="shared" si="0"/>
        <v>42770</v>
      </c>
      <c r="J5" s="105">
        <f t="shared" si="0"/>
        <v>42771</v>
      </c>
      <c r="K5" s="105">
        <f t="shared" si="0"/>
        <v>42772</v>
      </c>
      <c r="L5" s="105">
        <f t="shared" si="0"/>
        <v>42773</v>
      </c>
      <c r="M5" s="105">
        <f t="shared" si="0"/>
        <v>42774</v>
      </c>
      <c r="N5" s="105">
        <f t="shared" si="0"/>
        <v>42775</v>
      </c>
      <c r="O5" s="105">
        <f t="shared" si="0"/>
        <v>42776</v>
      </c>
      <c r="P5" s="105">
        <f t="shared" si="0"/>
        <v>42777</v>
      </c>
      <c r="Q5" s="105">
        <f t="shared" si="0"/>
        <v>42778</v>
      </c>
      <c r="R5" s="105">
        <f t="shared" si="0"/>
        <v>42779</v>
      </c>
      <c r="S5" s="105">
        <f t="shared" si="0"/>
        <v>42780</v>
      </c>
      <c r="T5" s="105">
        <f t="shared" si="0"/>
        <v>42781</v>
      </c>
      <c r="U5" s="105">
        <f t="shared" si="0"/>
        <v>42782</v>
      </c>
      <c r="V5" s="105">
        <f t="shared" si="0"/>
        <v>42783</v>
      </c>
      <c r="W5" s="105">
        <f t="shared" si="0"/>
        <v>42784</v>
      </c>
      <c r="X5" s="105">
        <f t="shared" si="0"/>
        <v>42785</v>
      </c>
      <c r="Y5" s="105">
        <f t="shared" si="0"/>
        <v>42786</v>
      </c>
      <c r="Z5" s="105">
        <f t="shared" si="0"/>
        <v>42787</v>
      </c>
      <c r="AA5" s="105">
        <f t="shared" si="0"/>
        <v>42788</v>
      </c>
      <c r="AB5" s="105">
        <f t="shared" si="0"/>
        <v>42789</v>
      </c>
      <c r="AC5" s="105">
        <f t="shared" si="0"/>
        <v>42790</v>
      </c>
      <c r="AD5" s="105">
        <f t="shared" si="0"/>
        <v>42791</v>
      </c>
      <c r="AE5" s="105">
        <f t="shared" si="0"/>
        <v>42792</v>
      </c>
      <c r="AF5" s="105">
        <f t="shared" si="0"/>
        <v>42793</v>
      </c>
      <c r="AG5" s="105">
        <f t="shared" si="0"/>
        <v>42794</v>
      </c>
      <c r="AH5" s="105">
        <f>AG5+1</f>
        <v>42795</v>
      </c>
      <c r="AI5" s="105">
        <f>AH5+1</f>
        <v>42796</v>
      </c>
      <c r="AJ5" s="105">
        <v>31</v>
      </c>
      <c r="AK5" s="456" t="s">
        <v>15</v>
      </c>
      <c r="AL5" s="457"/>
      <c r="AM5" s="458"/>
      <c r="AN5" s="459" t="s">
        <v>45</v>
      </c>
      <c r="AO5" s="459" t="s">
        <v>41</v>
      </c>
      <c r="AP5" s="459" t="s">
        <v>42</v>
      </c>
      <c r="AQ5" s="459" t="s">
        <v>43</v>
      </c>
      <c r="AR5" s="459" t="s">
        <v>44</v>
      </c>
      <c r="AS5" s="455" t="s">
        <v>0</v>
      </c>
      <c r="AT5" s="4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54"/>
      <c r="B6" s="454"/>
      <c r="C6" s="454"/>
      <c r="D6" s="454"/>
      <c r="E6" s="454"/>
      <c r="F6" s="263" t="str">
        <f>CHOOSE(WEEKDAY(F5),"C.Nhật","T.Hai","T.Ba","T.Tư","T.Năm","T.Sáu","T.Bảy")</f>
        <v>T.Tư</v>
      </c>
      <c r="G6" s="263" t="str">
        <f t="shared" ref="G6:AI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60"/>
      <c r="AO6" s="460"/>
      <c r="AP6" s="460"/>
      <c r="AQ6" s="460"/>
      <c r="AR6" s="460"/>
      <c r="AS6" s="454"/>
      <c r="AT6" s="4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2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1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33">
        <v>1</v>
      </c>
      <c r="B9" s="533" t="s">
        <v>61</v>
      </c>
      <c r="C9" s="472" t="str">
        <f>VLOOKUP(B9,DS,2,0)</f>
        <v>Mai Út Hiền</v>
      </c>
      <c r="D9" s="474" t="str">
        <f>VLOOKUP(B9,DS,3,0)</f>
        <v>Cơ Điện</v>
      </c>
      <c r="E9" s="58" t="s">
        <v>32</v>
      </c>
      <c r="F9" s="153"/>
      <c r="G9" s="153"/>
      <c r="H9" s="153"/>
      <c r="I9" s="153"/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/>
      <c r="AI9" s="153"/>
      <c r="AJ9" s="153"/>
      <c r="AK9" s="444">
        <f>((SUM(F9:AJ9))/8)-(SUMIF($F$6:$AJ$6,"C.Nhật",F9:AJ9)/8)</f>
        <v>20</v>
      </c>
      <c r="AL9" s="444">
        <f>SUM(F10:AI10)/8*1.5</f>
        <v>0</v>
      </c>
      <c r="AM9" s="446">
        <f>SUMIF($F$6:$AI$6,"C.Nhật",$F9:$AI10)/8*2</f>
        <v>0</v>
      </c>
      <c r="AN9" s="435">
        <f>SUM(AK9:AM10)</f>
        <v>20</v>
      </c>
      <c r="AO9" s="448">
        <v>0</v>
      </c>
      <c r="AP9" s="435"/>
      <c r="AQ9" s="435"/>
      <c r="AR9" s="435"/>
      <c r="AS9" s="437"/>
      <c r="AT9" s="2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534"/>
      <c r="B10" s="534"/>
      <c r="C10" s="473"/>
      <c r="D10" s="475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45"/>
      <c r="AL10" s="445"/>
      <c r="AM10" s="447"/>
      <c r="AN10" s="436"/>
      <c r="AO10" s="449"/>
      <c r="AP10" s="436"/>
      <c r="AQ10" s="436"/>
      <c r="AR10" s="436"/>
      <c r="AS10" s="438"/>
      <c r="AT10" s="2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533">
        <f>A9+1</f>
        <v>2</v>
      </c>
      <c r="B11" s="533" t="s">
        <v>62</v>
      </c>
      <c r="C11" s="472" t="str">
        <f>VLOOKUP(B11,DS,2,0)</f>
        <v>Nguyễn Thị Xuân Thảo</v>
      </c>
      <c r="D11" s="474" t="str">
        <f>VLOOKUP(B11,DS,3,0)</f>
        <v>KCS</v>
      </c>
      <c r="E11" s="58" t="s">
        <v>32</v>
      </c>
      <c r="F11" s="153"/>
      <c r="G11" s="153"/>
      <c r="H11" s="153"/>
      <c r="I11" s="153"/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/>
      <c r="AI11" s="153"/>
      <c r="AJ11" s="153"/>
      <c r="AK11" s="444">
        <f>((SUM(F11:AJ11))/8)-(SUMIF($F$6:$AJ$6,"C.Nhật",F11:AJ11)/8)</f>
        <v>20</v>
      </c>
      <c r="AL11" s="444">
        <f>SUM(F12:AI12)/8*1.5</f>
        <v>0</v>
      </c>
      <c r="AM11" s="446">
        <f>SUMIF($F$6:$AI$6,"C.Nhật",$F11:$AI12)/8*2</f>
        <v>0</v>
      </c>
      <c r="AN11" s="435">
        <f>SUM(AK11:AM12)</f>
        <v>20</v>
      </c>
      <c r="AO11" s="448">
        <v>0</v>
      </c>
      <c r="AP11" s="435"/>
      <c r="AQ11" s="435"/>
      <c r="AR11" s="435"/>
      <c r="AS11" s="437"/>
      <c r="AT11" s="28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534"/>
      <c r="B12" s="534"/>
      <c r="C12" s="473"/>
      <c r="D12" s="475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45"/>
      <c r="AL12" s="445"/>
      <c r="AM12" s="447"/>
      <c r="AN12" s="436"/>
      <c r="AO12" s="449"/>
      <c r="AP12" s="436"/>
      <c r="AQ12" s="436"/>
      <c r="AR12" s="436"/>
      <c r="AS12" s="438"/>
      <c r="AT12" s="28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1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33">
        <v>3</v>
      </c>
      <c r="B14" s="533" t="s">
        <v>85</v>
      </c>
      <c r="C14" s="472" t="str">
        <f>VLOOKUP(B14,DS,2,0)</f>
        <v>Huỳnh Thị Hường</v>
      </c>
      <c r="D14" s="474" t="str">
        <f>VLOOKUP(B14,DS,3,0)</f>
        <v>Công nhân</v>
      </c>
      <c r="E14" s="58" t="s">
        <v>32</v>
      </c>
      <c r="F14" s="153"/>
      <c r="G14" s="153"/>
      <c r="H14" s="153"/>
      <c r="I14" s="153"/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/>
      <c r="AI14" s="153"/>
      <c r="AJ14" s="153"/>
      <c r="AK14" s="444">
        <f>((SUM(F14:AJ14))/8)-(SUMIF($F$6:$AJ$6,"C.Nhật",F14:AJ14)/8)</f>
        <v>20</v>
      </c>
      <c r="AL14" s="444">
        <f>SUM(F15:AI15)/8*1.5</f>
        <v>0</v>
      </c>
      <c r="AM14" s="446">
        <f>SUMIF($F$6:$AI$6,"C.Nhật",$F14:$AI15)/8*2</f>
        <v>0</v>
      </c>
      <c r="AN14" s="435">
        <f>SUM(AK14:AM15)</f>
        <v>20</v>
      </c>
      <c r="AO14" s="448">
        <v>0</v>
      </c>
      <c r="AP14" s="435"/>
      <c r="AQ14" s="435"/>
      <c r="AR14" s="435"/>
      <c r="AS14" s="437"/>
      <c r="AT14" s="28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34"/>
      <c r="B15" s="534"/>
      <c r="C15" s="473"/>
      <c r="D15" s="475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45"/>
      <c r="AL15" s="445"/>
      <c r="AM15" s="447"/>
      <c r="AN15" s="436"/>
      <c r="AO15" s="449"/>
      <c r="AP15" s="436"/>
      <c r="AQ15" s="436"/>
      <c r="AR15" s="436"/>
      <c r="AS15" s="438"/>
      <c r="AT15" s="28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533">
        <f>A14+1</f>
        <v>4</v>
      </c>
      <c r="B16" s="533" t="s">
        <v>86</v>
      </c>
      <c r="C16" s="472" t="str">
        <f>VLOOKUP(B16,DS,2,0)</f>
        <v>Nguyễn Thị Rong</v>
      </c>
      <c r="D16" s="474" t="str">
        <f>VLOOKUP(B16,DS,3,0)</f>
        <v>Công nhân</v>
      </c>
      <c r="E16" s="58" t="s">
        <v>32</v>
      </c>
      <c r="F16" s="153"/>
      <c r="G16" s="153"/>
      <c r="H16" s="153"/>
      <c r="I16" s="153"/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/>
      <c r="AI16" s="153"/>
      <c r="AJ16" s="153"/>
      <c r="AK16" s="444">
        <f>((SUM(F16:AJ16))/8)-(SUMIF($F$6:$AJ$6,"C.Nhật",F16:AJ16)/8)</f>
        <v>20</v>
      </c>
      <c r="AL16" s="444">
        <f>SUM(F17:AI17)/8*1.5</f>
        <v>0</v>
      </c>
      <c r="AM16" s="446">
        <f>SUMIF($F$6:$AI$6,"C.Nhật",$F16:$AI17)/8*2</f>
        <v>0</v>
      </c>
      <c r="AN16" s="435">
        <f>SUM(AK16:AM17)</f>
        <v>20</v>
      </c>
      <c r="AO16" s="448">
        <v>0</v>
      </c>
      <c r="AP16" s="435"/>
      <c r="AQ16" s="435"/>
      <c r="AR16" s="435"/>
      <c r="AS16" s="437"/>
      <c r="AT16" s="28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34"/>
      <c r="B17" s="534"/>
      <c r="C17" s="473"/>
      <c r="D17" s="475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45"/>
      <c r="AL17" s="445"/>
      <c r="AM17" s="447"/>
      <c r="AN17" s="436"/>
      <c r="AO17" s="449"/>
      <c r="AP17" s="436"/>
      <c r="AQ17" s="436"/>
      <c r="AR17" s="436"/>
      <c r="AS17" s="438"/>
      <c r="AT17" s="28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33">
        <f t="shared" ref="A18" si="2">A16+1</f>
        <v>5</v>
      </c>
      <c r="B18" s="533" t="s">
        <v>87</v>
      </c>
      <c r="C18" s="472" t="str">
        <f>VLOOKUP(B18,DS,2,0)</f>
        <v>Sơn Thị Nil</v>
      </c>
      <c r="D18" s="474" t="str">
        <f>VLOOKUP(B18,DS,3,0)</f>
        <v>Công nhân</v>
      </c>
      <c r="E18" s="58" t="s">
        <v>32</v>
      </c>
      <c r="F18" s="153"/>
      <c r="G18" s="153"/>
      <c r="H18" s="153"/>
      <c r="I18" s="153"/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/>
      <c r="AI18" s="153"/>
      <c r="AJ18" s="153"/>
      <c r="AK18" s="444">
        <f>((SUM(F18:AJ18))/8)-(SUMIF($F$6:$AJ$6,"C.Nhật",F18:AJ18)/8)</f>
        <v>20</v>
      </c>
      <c r="AL18" s="444">
        <f>SUM(F19:AI19)/8*1.5</f>
        <v>0</v>
      </c>
      <c r="AM18" s="446">
        <f>SUMIF($F$6:$AI$6,"C.Nhật",$F18:$AI19)/8*2</f>
        <v>0</v>
      </c>
      <c r="AN18" s="435">
        <f>SUM(AK18:AM19)</f>
        <v>20</v>
      </c>
      <c r="AO18" s="448">
        <v>0</v>
      </c>
      <c r="AP18" s="435"/>
      <c r="AQ18" s="435"/>
      <c r="AR18" s="435"/>
      <c r="AS18" s="437"/>
      <c r="AT18" s="28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34"/>
      <c r="B19" s="534"/>
      <c r="C19" s="473"/>
      <c r="D19" s="475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45"/>
      <c r="AL19" s="445"/>
      <c r="AM19" s="447"/>
      <c r="AN19" s="436"/>
      <c r="AO19" s="449"/>
      <c r="AP19" s="436"/>
      <c r="AQ19" s="436"/>
      <c r="AR19" s="436"/>
      <c r="AS19" s="438"/>
      <c r="AT19" s="28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33">
        <f t="shared" ref="A20" si="3">A18+1</f>
        <v>6</v>
      </c>
      <c r="B20" s="533" t="s">
        <v>91</v>
      </c>
      <c r="C20" s="472" t="str">
        <f>VLOOKUP(B20,DS,2,0)</f>
        <v>Nguyễn Thị Lựu</v>
      </c>
      <c r="D20" s="474" t="str">
        <f>VLOOKUP(B20,DS,3,0)</f>
        <v>Công nhân</v>
      </c>
      <c r="E20" s="58" t="s">
        <v>32</v>
      </c>
      <c r="F20" s="153"/>
      <c r="G20" s="153"/>
      <c r="H20" s="153"/>
      <c r="I20" s="153"/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/>
      <c r="AI20" s="153"/>
      <c r="AJ20" s="153"/>
      <c r="AK20" s="444">
        <f>((SUM(F20:AJ20))/8)-(SUMIF($F$6:$AJ$6,"C.Nhật",F20:AJ20)/8)</f>
        <v>20</v>
      </c>
      <c r="AL20" s="444">
        <f>SUM(F21:AI21)/8*1.5</f>
        <v>0</v>
      </c>
      <c r="AM20" s="446">
        <f>SUMIF($F$6:$AI$6,"C.Nhật",$F20:$AI21)/8*2</f>
        <v>0</v>
      </c>
      <c r="AN20" s="435">
        <f>SUM(AK20:AM21)</f>
        <v>20</v>
      </c>
      <c r="AO20" s="448">
        <v>0</v>
      </c>
      <c r="AP20" s="435"/>
      <c r="AQ20" s="435"/>
      <c r="AR20" s="435"/>
      <c r="AS20" s="437"/>
      <c r="AT20" s="28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534"/>
      <c r="B21" s="534"/>
      <c r="C21" s="473"/>
      <c r="D21" s="475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45"/>
      <c r="AL21" s="445"/>
      <c r="AM21" s="447"/>
      <c r="AN21" s="436"/>
      <c r="AO21" s="449"/>
      <c r="AP21" s="436"/>
      <c r="AQ21" s="436"/>
      <c r="AR21" s="436"/>
      <c r="AS21" s="438"/>
      <c r="AT21" s="28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33">
        <f t="shared" ref="A22" si="4">A20+1</f>
        <v>7</v>
      </c>
      <c r="B22" s="533" t="s">
        <v>94</v>
      </c>
      <c r="C22" s="472" t="str">
        <f>VLOOKUP(B22,DS,2,0)</f>
        <v>Trà Thị Soi</v>
      </c>
      <c r="D22" s="474" t="str">
        <f>VLOOKUP(B22,DS,3,0)</f>
        <v>Công nhân</v>
      </c>
      <c r="E22" s="58" t="s">
        <v>32</v>
      </c>
      <c r="F22" s="153"/>
      <c r="G22" s="153"/>
      <c r="H22" s="153"/>
      <c r="I22" s="153"/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/>
      <c r="AI22" s="153"/>
      <c r="AJ22" s="153"/>
      <c r="AK22" s="444">
        <f>((SUM(F22:AJ22))/8)-(SUMIF($F$6:$AJ$6,"C.Nhật",F22:AJ22)/8)</f>
        <v>20</v>
      </c>
      <c r="AL22" s="444">
        <f>SUM(F23:AI23)/8*1.5</f>
        <v>0</v>
      </c>
      <c r="AM22" s="446">
        <f>SUMIF($F$6:$AI$6,"C.Nhật",$F22:$AI23)/8*2</f>
        <v>0</v>
      </c>
      <c r="AN22" s="435">
        <f>SUM(AK22:AM23)</f>
        <v>20</v>
      </c>
      <c r="AO22" s="448">
        <v>0</v>
      </c>
      <c r="AP22" s="435"/>
      <c r="AQ22" s="435"/>
      <c r="AR22" s="435"/>
      <c r="AS22" s="437"/>
      <c r="AT22" s="28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534"/>
      <c r="B23" s="534"/>
      <c r="C23" s="473"/>
      <c r="D23" s="475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45"/>
      <c r="AL23" s="445"/>
      <c r="AM23" s="447"/>
      <c r="AN23" s="436"/>
      <c r="AO23" s="449"/>
      <c r="AP23" s="436"/>
      <c r="AQ23" s="436"/>
      <c r="AR23" s="436"/>
      <c r="AS23" s="438"/>
      <c r="AT23" s="28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33">
        <f t="shared" ref="A24" si="5">A22+1</f>
        <v>8</v>
      </c>
      <c r="B24" s="533" t="s">
        <v>101</v>
      </c>
      <c r="C24" s="472" t="str">
        <f>VLOOKUP(B24,DS,2,0)</f>
        <v>Trần Thị Bích Phượng</v>
      </c>
      <c r="D24" s="474" t="str">
        <f>VLOOKUP(B24,DS,3,0)</f>
        <v>Công nhân</v>
      </c>
      <c r="E24" s="58" t="s">
        <v>32</v>
      </c>
      <c r="F24" s="153"/>
      <c r="G24" s="153"/>
      <c r="H24" s="153"/>
      <c r="I24" s="153"/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/>
      <c r="AI24" s="153"/>
      <c r="AJ24" s="153"/>
      <c r="AK24" s="444">
        <f>((SUM(F24:AJ24))/8)-(SUMIF($F$6:$AJ$6,"C.Nhật",F24:AJ24)/8)</f>
        <v>20</v>
      </c>
      <c r="AL24" s="444">
        <f>SUM(F25:AI25)/8*1.5</f>
        <v>0</v>
      </c>
      <c r="AM24" s="446">
        <f>SUMIF($F$6:$AI$6,"C.Nhật",$F24:$AI25)/8*2</f>
        <v>0</v>
      </c>
      <c r="AN24" s="435">
        <f>SUM(AK24:AM25)</f>
        <v>20</v>
      </c>
      <c r="AO24" s="448">
        <v>0</v>
      </c>
      <c r="AP24" s="435"/>
      <c r="AQ24" s="435"/>
      <c r="AR24" s="435"/>
      <c r="AS24" s="437"/>
      <c r="AT24" s="28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534"/>
      <c r="B25" s="534"/>
      <c r="C25" s="473"/>
      <c r="D25" s="475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45"/>
      <c r="AL25" s="445"/>
      <c r="AM25" s="447"/>
      <c r="AN25" s="436"/>
      <c r="AO25" s="449"/>
      <c r="AP25" s="436"/>
      <c r="AQ25" s="436"/>
      <c r="AR25" s="436"/>
      <c r="AS25" s="438"/>
      <c r="AT25" s="28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533">
        <f t="shared" ref="A26" si="6">A24+1</f>
        <v>9</v>
      </c>
      <c r="B26" s="533" t="s">
        <v>102</v>
      </c>
      <c r="C26" s="472" t="str">
        <f>VLOOKUP(B26,DS,2,0)</f>
        <v>Sơn Thị Trường Sa</v>
      </c>
      <c r="D26" s="474" t="str">
        <f>VLOOKUP(B26,DS,3,0)</f>
        <v>Công nhân</v>
      </c>
      <c r="E26" s="58" t="s">
        <v>32</v>
      </c>
      <c r="F26" s="153"/>
      <c r="G26" s="153"/>
      <c r="H26" s="153"/>
      <c r="I26" s="153"/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/>
      <c r="AI26" s="153"/>
      <c r="AJ26" s="153"/>
      <c r="AK26" s="444">
        <f>((SUM(F26:AJ26))/8)-(SUMIF($F$6:$AJ$6,"C.Nhật",F26:AJ26)/8)</f>
        <v>20</v>
      </c>
      <c r="AL26" s="444">
        <f>SUM(F27:AI27)/8*1.5</f>
        <v>0</v>
      </c>
      <c r="AM26" s="446">
        <f>SUMIF($F$6:$AI$6,"C.Nhật",$F26:$AI27)/8*2</f>
        <v>0</v>
      </c>
      <c r="AN26" s="435">
        <f>SUM(AK26:AM27)</f>
        <v>20</v>
      </c>
      <c r="AO26" s="448">
        <v>0</v>
      </c>
      <c r="AP26" s="435"/>
      <c r="AQ26" s="435"/>
      <c r="AR26" s="435"/>
      <c r="AS26" s="437"/>
      <c r="AT26" s="28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534"/>
      <c r="B27" s="534"/>
      <c r="C27" s="473"/>
      <c r="D27" s="475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45"/>
      <c r="AL27" s="445"/>
      <c r="AM27" s="447"/>
      <c r="AN27" s="436"/>
      <c r="AO27" s="449"/>
      <c r="AP27" s="436"/>
      <c r="AQ27" s="436"/>
      <c r="AR27" s="436"/>
      <c r="AS27" s="438"/>
      <c r="AT27" s="28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533">
        <f t="shared" ref="A28" si="7">A26+1</f>
        <v>10</v>
      </c>
      <c r="B28" s="533" t="s">
        <v>103</v>
      </c>
      <c r="C28" s="472" t="str">
        <f>VLOOKUP(B28,DS,2,0)</f>
        <v>Lý Thị Sà Kha</v>
      </c>
      <c r="D28" s="474" t="str">
        <f>VLOOKUP(B28,DS,3,0)</f>
        <v>Công nhân</v>
      </c>
      <c r="E28" s="58" t="s">
        <v>32</v>
      </c>
      <c r="F28" s="153"/>
      <c r="G28" s="153"/>
      <c r="H28" s="153"/>
      <c r="I28" s="153"/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/>
      <c r="AI28" s="153"/>
      <c r="AJ28" s="153"/>
      <c r="AK28" s="444">
        <f>((SUM(F28:AJ28))/8)-(SUMIF($F$6:$AJ$6,"C.Nhật",F28:AJ28)/8)</f>
        <v>20</v>
      </c>
      <c r="AL28" s="444">
        <f>SUM(F29:AI29)/8*1.5</f>
        <v>0</v>
      </c>
      <c r="AM28" s="446">
        <f>SUMIF($F$6:$AI$6,"C.Nhật",$F28:$AI29)/8*2</f>
        <v>0</v>
      </c>
      <c r="AN28" s="435">
        <f>SUM(AK28:AM29)</f>
        <v>20</v>
      </c>
      <c r="AO28" s="448">
        <v>0</v>
      </c>
      <c r="AP28" s="435"/>
      <c r="AQ28" s="435"/>
      <c r="AR28" s="435"/>
      <c r="AS28" s="437"/>
      <c r="AT28" s="28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534"/>
      <c r="B29" s="534"/>
      <c r="C29" s="473"/>
      <c r="D29" s="475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45"/>
      <c r="AL29" s="445"/>
      <c r="AM29" s="447"/>
      <c r="AN29" s="436"/>
      <c r="AO29" s="449"/>
      <c r="AP29" s="436"/>
      <c r="AQ29" s="436"/>
      <c r="AR29" s="436"/>
      <c r="AS29" s="438"/>
      <c r="AT29" s="28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533">
        <f t="shared" ref="A30" si="8">A28+1</f>
        <v>11</v>
      </c>
      <c r="B30" s="533" t="s">
        <v>104</v>
      </c>
      <c r="C30" s="472" t="str">
        <f>VLOOKUP(B30,DS,2,0)</f>
        <v xml:space="preserve"> Lâm Thị Mộng Thường</v>
      </c>
      <c r="D30" s="474" t="str">
        <f>VLOOKUP(B30,DS,3,0)</f>
        <v>Công nhân</v>
      </c>
      <c r="E30" s="58" t="s">
        <v>32</v>
      </c>
      <c r="F30" s="153"/>
      <c r="G30" s="153"/>
      <c r="H30" s="153"/>
      <c r="I30" s="153"/>
      <c r="J30" s="153"/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/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/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/>
      <c r="AF30" s="153">
        <v>8</v>
      </c>
      <c r="AG30" s="153">
        <v>8</v>
      </c>
      <c r="AH30" s="153"/>
      <c r="AI30" s="153"/>
      <c r="AJ30" s="153"/>
      <c r="AK30" s="444">
        <f>((SUM(F30:AJ30))/8)-(SUMIF($F$6:$AJ$6,"C.Nhật",F30:AJ30)/8)</f>
        <v>20</v>
      </c>
      <c r="AL30" s="444">
        <f>SUM(F31:AI31)/8*1.5</f>
        <v>0</v>
      </c>
      <c r="AM30" s="446">
        <f>SUMIF($F$6:$AI$6,"C.Nhật",$F30:$AI31)/8*2</f>
        <v>0</v>
      </c>
      <c r="AN30" s="435">
        <f>SUM(AK30:AM31)</f>
        <v>20</v>
      </c>
      <c r="AO30" s="448">
        <v>0</v>
      </c>
      <c r="AP30" s="435"/>
      <c r="AQ30" s="435"/>
      <c r="AR30" s="435"/>
      <c r="AS30" s="437"/>
      <c r="AT30" s="28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534"/>
      <c r="B31" s="534"/>
      <c r="C31" s="473"/>
      <c r="D31" s="475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45"/>
      <c r="AL31" s="445"/>
      <c r="AM31" s="447"/>
      <c r="AN31" s="436"/>
      <c r="AO31" s="449"/>
      <c r="AP31" s="436"/>
      <c r="AQ31" s="436"/>
      <c r="AR31" s="436"/>
      <c r="AS31" s="438"/>
      <c r="AT31" s="28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533">
        <f t="shared" ref="A32" si="9">A30+1</f>
        <v>12</v>
      </c>
      <c r="B32" s="535" t="s">
        <v>88</v>
      </c>
      <c r="C32" s="472" t="str">
        <f>VLOOKUP(B32,DS,2,0)</f>
        <v>Huỳnh Thị Bé Tha</v>
      </c>
      <c r="D32" s="474" t="str">
        <f>VLOOKUP(B32,DS,3,0)</f>
        <v>Công nhân</v>
      </c>
      <c r="E32" s="58" t="s">
        <v>32</v>
      </c>
      <c r="F32" s="153"/>
      <c r="G32" s="153"/>
      <c r="H32" s="153"/>
      <c r="I32" s="153"/>
      <c r="J32" s="153"/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8</v>
      </c>
      <c r="Q32" s="153"/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8</v>
      </c>
      <c r="X32" s="153"/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8</v>
      </c>
      <c r="AE32" s="153"/>
      <c r="AF32" s="153">
        <v>8</v>
      </c>
      <c r="AG32" s="153">
        <v>8</v>
      </c>
      <c r="AH32" s="153"/>
      <c r="AI32" s="153"/>
      <c r="AJ32" s="153"/>
      <c r="AK32" s="444">
        <f>((SUM(F32:AJ32))/8)-(SUMIF($F$6:$AJ$6,"C.Nhật",F32:AJ32)/8)</f>
        <v>20</v>
      </c>
      <c r="AL32" s="444">
        <f>SUM(F33:AI33)/8*1.5</f>
        <v>0</v>
      </c>
      <c r="AM32" s="446">
        <f>SUMIF($F$6:$AI$6,"C.Nhật",$F32:$AI33)/8*2</f>
        <v>0</v>
      </c>
      <c r="AN32" s="435">
        <f>SUM(AK32:AM33)</f>
        <v>20</v>
      </c>
      <c r="AO32" s="448">
        <v>0</v>
      </c>
      <c r="AP32" s="435"/>
      <c r="AQ32" s="435"/>
      <c r="AR32" s="435"/>
      <c r="AS32" s="300"/>
      <c r="AT32" s="2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534"/>
      <c r="B33" s="536"/>
      <c r="C33" s="473"/>
      <c r="D33" s="475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45"/>
      <c r="AL33" s="445"/>
      <c r="AM33" s="447"/>
      <c r="AN33" s="436"/>
      <c r="AO33" s="449"/>
      <c r="AP33" s="436"/>
      <c r="AQ33" s="436"/>
      <c r="AR33" s="436"/>
      <c r="AS33" s="300"/>
      <c r="AT33" s="2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18" customHeight="1">
      <c r="A34" s="267" t="s">
        <v>187</v>
      </c>
      <c r="B34" s="270" t="s">
        <v>188</v>
      </c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533">
        <v>13</v>
      </c>
      <c r="B35" s="533" t="s">
        <v>113</v>
      </c>
      <c r="C35" s="472" t="str">
        <f>VLOOKUP(B35,DS,2,0)</f>
        <v>Nguyễn Văn Bé Hai</v>
      </c>
      <c r="D35" s="474" t="str">
        <f>VLOOKUP(B35,DS,3,0)</f>
        <v>Công nhân</v>
      </c>
      <c r="E35" s="58" t="s">
        <v>32</v>
      </c>
      <c r="F35" s="153"/>
      <c r="G35" s="153"/>
      <c r="H35" s="153"/>
      <c r="I35" s="153"/>
      <c r="J35" s="153"/>
      <c r="K35" s="153">
        <v>8</v>
      </c>
      <c r="L35" s="153">
        <v>8</v>
      </c>
      <c r="M35" s="153">
        <v>8</v>
      </c>
      <c r="N35" s="153">
        <v>8</v>
      </c>
      <c r="O35" s="153">
        <v>8</v>
      </c>
      <c r="P35" s="153">
        <v>8</v>
      </c>
      <c r="Q35" s="153"/>
      <c r="R35" s="153">
        <v>8</v>
      </c>
      <c r="S35" s="153">
        <v>8</v>
      </c>
      <c r="T35" s="153">
        <v>8</v>
      </c>
      <c r="U35" s="153">
        <v>8</v>
      </c>
      <c r="V35" s="153">
        <v>8</v>
      </c>
      <c r="W35" s="153">
        <v>8</v>
      </c>
      <c r="X35" s="153"/>
      <c r="Y35" s="153">
        <v>8</v>
      </c>
      <c r="Z35" s="153">
        <v>8</v>
      </c>
      <c r="AA35" s="153">
        <v>8</v>
      </c>
      <c r="AB35" s="153">
        <v>8</v>
      </c>
      <c r="AC35" s="153">
        <v>8</v>
      </c>
      <c r="AD35" s="153">
        <v>8</v>
      </c>
      <c r="AE35" s="153"/>
      <c r="AF35" s="153">
        <v>8</v>
      </c>
      <c r="AG35" s="153">
        <v>8</v>
      </c>
      <c r="AH35" s="153"/>
      <c r="AI35" s="153"/>
      <c r="AJ35" s="153"/>
      <c r="AK35" s="444">
        <f>((SUM(F35:AJ35))/8)-(SUMIF($F$6:$AJ$6,"C.Nhật",F35:AJ35)/8)</f>
        <v>20</v>
      </c>
      <c r="AL35" s="444">
        <f>SUM(F36:AI36)/8*1.5</f>
        <v>0</v>
      </c>
      <c r="AM35" s="446">
        <f>SUMIF($F$6:$AI$6,"C.Nhật",$F35:$AI36)/8*2</f>
        <v>0</v>
      </c>
      <c r="AN35" s="435">
        <f>SUM(AK35:AM36)</f>
        <v>20</v>
      </c>
      <c r="AO35" s="448">
        <v>0</v>
      </c>
      <c r="AP35" s="435"/>
      <c r="AQ35" s="435"/>
      <c r="AR35" s="435"/>
      <c r="AS35" s="437"/>
      <c r="AT35" s="28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534"/>
      <c r="B36" s="534"/>
      <c r="C36" s="473"/>
      <c r="D36" s="475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445"/>
      <c r="AL36" s="445"/>
      <c r="AM36" s="447"/>
      <c r="AN36" s="436"/>
      <c r="AO36" s="449"/>
      <c r="AP36" s="436"/>
      <c r="AQ36" s="436"/>
      <c r="AR36" s="436"/>
      <c r="AS36" s="438"/>
      <c r="AT36" s="28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36" customFormat="1" ht="18" customHeight="1">
      <c r="A37" s="537">
        <f>A35+1</f>
        <v>14</v>
      </c>
      <c r="B37" s="537" t="s">
        <v>95</v>
      </c>
      <c r="C37" s="539" t="str">
        <f>VLOOKUP(B37,DS,2,0)</f>
        <v>Sơn Thị Muỗi Tron</v>
      </c>
      <c r="D37" s="541" t="str">
        <f>VLOOKUP(B37,DS,3,0)</f>
        <v>Công nhân</v>
      </c>
      <c r="E37" s="326" t="s">
        <v>32</v>
      </c>
      <c r="F37" s="327"/>
      <c r="G37" s="327"/>
      <c r="H37" s="327"/>
      <c r="I37" s="327"/>
      <c r="J37" s="327"/>
      <c r="K37" s="327">
        <v>8</v>
      </c>
      <c r="L37" s="327">
        <v>8</v>
      </c>
      <c r="M37" s="327">
        <v>8</v>
      </c>
      <c r="N37" s="327">
        <v>8</v>
      </c>
      <c r="O37" s="327">
        <v>8</v>
      </c>
      <c r="P37" s="327">
        <v>8</v>
      </c>
      <c r="Q37" s="327"/>
      <c r="R37" s="327"/>
      <c r="S37" s="327"/>
      <c r="T37" s="327"/>
      <c r="U37" s="327"/>
      <c r="V37" s="327"/>
      <c r="W37" s="327"/>
      <c r="X37" s="327"/>
      <c r="Y37" s="327"/>
      <c r="Z37" s="327"/>
      <c r="AA37" s="327"/>
      <c r="AB37" s="327"/>
      <c r="AC37" s="327"/>
      <c r="AD37" s="327"/>
      <c r="AE37" s="327"/>
      <c r="AF37" s="327"/>
      <c r="AG37" s="327"/>
      <c r="AH37" s="327"/>
      <c r="AI37" s="327"/>
      <c r="AJ37" s="327"/>
      <c r="AK37" s="543">
        <f>((SUM(F37:AJ37))/8)-(SUMIF($F$6:$AJ$6,"C.Nhật",F37:AJ37)/8)</f>
        <v>6</v>
      </c>
      <c r="AL37" s="543">
        <f>SUM(F38:AI38)/8*1.5</f>
        <v>0</v>
      </c>
      <c r="AM37" s="545">
        <f>SUMIF($F$6:$AI$6,"C.Nhật",$F37:$AI38)/8*2</f>
        <v>0</v>
      </c>
      <c r="AN37" s="547">
        <f>SUM(AK37:AM38)</f>
        <v>6</v>
      </c>
      <c r="AO37" s="549">
        <v>0</v>
      </c>
      <c r="AP37" s="547"/>
      <c r="AQ37" s="547"/>
      <c r="AR37" s="547"/>
      <c r="AS37" s="551"/>
      <c r="AT37" s="334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35"/>
      <c r="CA37" s="335"/>
      <c r="CB37" s="335"/>
      <c r="CC37" s="335"/>
      <c r="CD37" s="335"/>
      <c r="CE37" s="335"/>
      <c r="CF37" s="335"/>
      <c r="CG37" s="335"/>
      <c r="CH37" s="335"/>
      <c r="CI37" s="335"/>
      <c r="CJ37" s="335"/>
      <c r="CK37" s="335"/>
      <c r="CL37" s="335"/>
    </row>
    <row r="38" spans="1:90" s="336" customFormat="1" ht="18" customHeight="1">
      <c r="A38" s="538"/>
      <c r="B38" s="538"/>
      <c r="C38" s="540"/>
      <c r="D38" s="542"/>
      <c r="E38" s="332" t="s">
        <v>31</v>
      </c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544"/>
      <c r="AL38" s="544"/>
      <c r="AM38" s="546"/>
      <c r="AN38" s="548"/>
      <c r="AO38" s="550"/>
      <c r="AP38" s="548"/>
      <c r="AQ38" s="548"/>
      <c r="AR38" s="548"/>
      <c r="AS38" s="552"/>
      <c r="AT38" s="334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</row>
    <row r="39" spans="1:90" s="57" customFormat="1" ht="18" customHeight="1">
      <c r="A39" s="533">
        <v>15</v>
      </c>
      <c r="B39" s="533" t="s">
        <v>118</v>
      </c>
      <c r="C39" s="472" t="str">
        <f>VLOOKUP(B39,DS,2,0)</f>
        <v>Trần Nhiên</v>
      </c>
      <c r="D39" s="474" t="str">
        <f>VLOOKUP(B39,DS,3,0)</f>
        <v>Công nhân</v>
      </c>
      <c r="E39" s="58" t="s">
        <v>32</v>
      </c>
      <c r="F39" s="153"/>
      <c r="G39" s="153"/>
      <c r="H39" s="153"/>
      <c r="I39" s="153"/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/>
      <c r="AI39" s="153"/>
      <c r="AJ39" s="153"/>
      <c r="AK39" s="444">
        <f>((SUM(F39:AJ39))/8)-(SUMIF($F$6:$AJ$6,"C.Nhật",F39:AJ39)/8)</f>
        <v>20</v>
      </c>
      <c r="AL39" s="444">
        <f>SUM(F40:AI40)/8*1.5</f>
        <v>0</v>
      </c>
      <c r="AM39" s="446">
        <f>SUMIF($F$6:$AI$6,"C.Nhật",$F39:$AI40)/8*2</f>
        <v>0</v>
      </c>
      <c r="AN39" s="435">
        <f>SUM(AK39:AM40)</f>
        <v>20</v>
      </c>
      <c r="AO39" s="448">
        <v>0</v>
      </c>
      <c r="AP39" s="435"/>
      <c r="AQ39" s="435"/>
      <c r="AR39" s="435"/>
      <c r="AS39" s="437"/>
      <c r="AT39" s="28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34"/>
      <c r="B40" s="534"/>
      <c r="C40" s="473"/>
      <c r="D40" s="475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45"/>
      <c r="AL40" s="445"/>
      <c r="AM40" s="447"/>
      <c r="AN40" s="436"/>
      <c r="AO40" s="449"/>
      <c r="AP40" s="436"/>
      <c r="AQ40" s="436"/>
      <c r="AR40" s="436"/>
      <c r="AS40" s="438"/>
      <c r="AT40" s="28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533">
        <v>16</v>
      </c>
      <c r="B41" s="533" t="s">
        <v>119</v>
      </c>
      <c r="C41" s="472" t="str">
        <f>VLOOKUP(B41,DS,2,0)</f>
        <v>Thạch Giang</v>
      </c>
      <c r="D41" s="474" t="str">
        <f>VLOOKUP(B41,DS,3,0)</f>
        <v>Công nhân</v>
      </c>
      <c r="E41" s="58" t="s">
        <v>32</v>
      </c>
      <c r="F41" s="153"/>
      <c r="G41" s="153"/>
      <c r="H41" s="153"/>
      <c r="I41" s="153"/>
      <c r="J41" s="153"/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/>
      <c r="AE41" s="153"/>
      <c r="AF41" s="153">
        <v>8</v>
      </c>
      <c r="AG41" s="153">
        <v>8</v>
      </c>
      <c r="AH41" s="153"/>
      <c r="AI41" s="153"/>
      <c r="AJ41" s="153"/>
      <c r="AK41" s="444">
        <f>((SUM(F41:AJ41))/8)-(SUMIF($F$6:$AJ$6,"C.Nhật",F41:AJ41)/8)</f>
        <v>19</v>
      </c>
      <c r="AL41" s="444">
        <f>SUM(F42:AI42)/8*1.5</f>
        <v>0</v>
      </c>
      <c r="AM41" s="446">
        <f>SUMIF($F$6:$AI$6,"C.Nhật",$F41:$AI42)/8*2</f>
        <v>0</v>
      </c>
      <c r="AN41" s="435">
        <f>SUM(AK41:AM42)</f>
        <v>19</v>
      </c>
      <c r="AO41" s="448">
        <v>0</v>
      </c>
      <c r="AP41" s="435"/>
      <c r="AQ41" s="435"/>
      <c r="AR41" s="435"/>
      <c r="AS41" s="437"/>
      <c r="AT41" s="28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534"/>
      <c r="B42" s="534"/>
      <c r="C42" s="473"/>
      <c r="D42" s="475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445"/>
      <c r="AL42" s="445"/>
      <c r="AM42" s="447"/>
      <c r="AN42" s="436"/>
      <c r="AO42" s="449"/>
      <c r="AP42" s="436"/>
      <c r="AQ42" s="436"/>
      <c r="AR42" s="436"/>
      <c r="AS42" s="438"/>
      <c r="AT42" s="28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533">
        <v>17</v>
      </c>
      <c r="B43" s="533" t="s">
        <v>122</v>
      </c>
      <c r="C43" s="472" t="str">
        <f>VLOOKUP(B43,DS,2,0)</f>
        <v>Lâm Chanh Đa Ra</v>
      </c>
      <c r="D43" s="474" t="str">
        <f>VLOOKUP(B43,DS,3,0)</f>
        <v>Công nhân</v>
      </c>
      <c r="E43" s="58" t="s">
        <v>32</v>
      </c>
      <c r="F43" s="153"/>
      <c r="G43" s="153"/>
      <c r="H43" s="153"/>
      <c r="I43" s="153"/>
      <c r="J43" s="153"/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8</v>
      </c>
      <c r="AE43" s="153"/>
      <c r="AF43" s="153">
        <v>8</v>
      </c>
      <c r="AG43" s="153">
        <v>8</v>
      </c>
      <c r="AH43" s="153"/>
      <c r="AI43" s="153"/>
      <c r="AJ43" s="153"/>
      <c r="AK43" s="444">
        <f>((SUM(F43:AJ43))/8)-(SUMIF($F$6:$AJ$6,"C.Nhật",F43:AJ43)/8)</f>
        <v>20</v>
      </c>
      <c r="AL43" s="444">
        <f>SUM(F44:AI44)/8*1.5</f>
        <v>0</v>
      </c>
      <c r="AM43" s="446">
        <f>SUMIF($F$6:$AI$6,"C.Nhật",$F43:$AI44)/8*2</f>
        <v>0</v>
      </c>
      <c r="AN43" s="435">
        <f>SUM(AK43:AM44)</f>
        <v>20</v>
      </c>
      <c r="AO43" s="448">
        <v>0</v>
      </c>
      <c r="AP43" s="435"/>
      <c r="AQ43" s="435"/>
      <c r="AR43" s="435"/>
      <c r="AS43" s="437"/>
      <c r="AT43" s="284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34"/>
      <c r="B44" s="534"/>
      <c r="C44" s="473"/>
      <c r="D44" s="475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45"/>
      <c r="AL44" s="445"/>
      <c r="AM44" s="447"/>
      <c r="AN44" s="436"/>
      <c r="AO44" s="449"/>
      <c r="AP44" s="436"/>
      <c r="AQ44" s="436"/>
      <c r="AR44" s="436"/>
      <c r="AS44" s="438"/>
      <c r="AT44" s="284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0" customFormat="1" ht="18" customHeight="1">
      <c r="A45" s="13"/>
      <c r="B45" s="61"/>
      <c r="C45" s="3"/>
      <c r="D45" s="101"/>
      <c r="E45" s="3"/>
      <c r="F45" s="65"/>
      <c r="G45" s="65"/>
      <c r="H45" s="62"/>
      <c r="I45" s="62"/>
      <c r="J45" s="107"/>
      <c r="K45" s="65"/>
      <c r="L45" s="65"/>
      <c r="M45" s="65"/>
      <c r="N45" s="65"/>
      <c r="O45" s="65"/>
      <c r="P45" s="65"/>
      <c r="Q45" s="62"/>
      <c r="R45" s="65"/>
      <c r="S45" s="65"/>
      <c r="T45" s="107"/>
      <c r="U45" s="65"/>
      <c r="V45" s="65"/>
      <c r="W45" s="65"/>
      <c r="X45" s="61"/>
      <c r="Y45" s="65"/>
      <c r="Z45" s="65"/>
      <c r="AA45" s="65"/>
      <c r="AB45" s="65"/>
      <c r="AC45" s="65"/>
      <c r="AD45" s="62"/>
      <c r="AE45" s="65"/>
      <c r="AF45" s="65"/>
      <c r="AG45" s="65"/>
      <c r="AH45" s="65"/>
      <c r="AI45" s="65"/>
      <c r="AJ45" s="65"/>
      <c r="AK45" s="3"/>
      <c r="AL45" s="3"/>
      <c r="AM45" s="88"/>
      <c r="AN45" s="64"/>
      <c r="AO45" s="64"/>
      <c r="AP45" s="64"/>
      <c r="AQ45" s="64"/>
      <c r="AR45" s="64"/>
      <c r="AS45" s="3"/>
      <c r="AT45" s="94"/>
    </row>
    <row r="46" spans="1:90" s="60" customFormat="1" ht="18" customHeight="1">
      <c r="A46" s="13"/>
      <c r="B46" s="61"/>
      <c r="C46" s="13" t="s">
        <v>14</v>
      </c>
      <c r="D46" s="101"/>
      <c r="E46" s="3"/>
      <c r="F46" s="65"/>
      <c r="G46" s="65"/>
      <c r="H46" s="62"/>
      <c r="I46" s="62"/>
      <c r="J46" s="107"/>
      <c r="K46" s="65"/>
      <c r="L46" s="62"/>
      <c r="M46" s="65"/>
      <c r="N46" s="65"/>
      <c r="O46" s="65"/>
      <c r="P46" s="65"/>
      <c r="Q46" s="62"/>
      <c r="R46" s="65"/>
      <c r="S46" s="65"/>
      <c r="T46" s="107"/>
      <c r="U46" s="65"/>
      <c r="V46" s="65"/>
      <c r="W46" s="65"/>
      <c r="X46" s="61"/>
      <c r="Y46" s="65"/>
      <c r="Z46" s="65"/>
      <c r="AA46" s="65"/>
      <c r="AB46" s="65"/>
      <c r="AC46" s="65"/>
      <c r="AD46" s="62"/>
      <c r="AE46" s="65"/>
      <c r="AF46" s="65"/>
      <c r="AG46" s="65"/>
      <c r="AH46" s="65"/>
      <c r="AI46" s="65"/>
      <c r="AJ46" s="65"/>
      <c r="AK46" s="3"/>
      <c r="AL46" s="3"/>
      <c r="AM46" s="88"/>
      <c r="AN46" s="64"/>
      <c r="AO46" s="64"/>
      <c r="AP46" s="64"/>
      <c r="AQ46" s="64"/>
      <c r="AR46" s="64"/>
      <c r="AS46" s="3"/>
      <c r="AT46" s="94"/>
    </row>
    <row r="47" spans="1:90" s="60" customFormat="1" ht="18" customHeight="1">
      <c r="A47" s="11"/>
      <c r="B47" s="11"/>
      <c r="C47" s="3"/>
      <c r="D47" s="101"/>
      <c r="E47" s="3"/>
      <c r="F47" s="65"/>
      <c r="G47" s="65"/>
      <c r="H47" s="108"/>
      <c r="I47" s="108"/>
      <c r="J47" s="108"/>
      <c r="K47" s="65"/>
      <c r="L47" s="108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8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94"/>
    </row>
    <row r="48" spans="1:90" s="63" customFormat="1" ht="18" customHeight="1">
      <c r="A48" s="11"/>
      <c r="B48" s="11"/>
      <c r="C48" s="3"/>
      <c r="D48" s="101"/>
      <c r="E48" s="3"/>
      <c r="F48" s="65"/>
      <c r="G48" s="65"/>
      <c r="H48" s="108"/>
      <c r="I48" s="108"/>
      <c r="J48" s="108"/>
      <c r="K48" s="65"/>
      <c r="L48" s="108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108"/>
      <c r="AE48" s="65"/>
      <c r="AF48" s="65"/>
      <c r="AG48" s="65"/>
      <c r="AH48" s="65"/>
      <c r="AI48" s="65"/>
      <c r="AJ48" s="65"/>
      <c r="AK48" s="3"/>
      <c r="AL48" s="3"/>
      <c r="AM48" s="88"/>
      <c r="AN48" s="66"/>
      <c r="AO48" s="66"/>
      <c r="AP48" s="66"/>
      <c r="AQ48" s="66"/>
      <c r="AR48" s="66"/>
      <c r="AS48" s="3"/>
      <c r="AT48" s="3"/>
    </row>
    <row r="49" spans="1:46" s="63" customFormat="1" ht="18" customHeight="1">
      <c r="A49" s="11"/>
      <c r="B49" s="11"/>
      <c r="C49" s="3"/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21" customHeight="1">
      <c r="A50" s="11"/>
      <c r="B50" s="11"/>
      <c r="C50" s="3"/>
      <c r="D50" s="101"/>
      <c r="E50" s="3"/>
      <c r="F50" s="65"/>
      <c r="G50" s="65"/>
      <c r="H50" s="108"/>
      <c r="I50" s="108"/>
      <c r="J50" s="108"/>
      <c r="K50" s="65"/>
      <c r="L50" s="108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108"/>
      <c r="AE50" s="65"/>
      <c r="AF50" s="65"/>
      <c r="AG50" s="65"/>
      <c r="AH50" s="65"/>
      <c r="AI50" s="65"/>
      <c r="AJ50" s="65"/>
      <c r="AK50" s="3"/>
      <c r="AL50" s="3"/>
      <c r="AM50" s="88"/>
      <c r="AN50" s="66"/>
      <c r="AO50" s="66"/>
      <c r="AP50" s="66"/>
      <c r="AQ50" s="66"/>
      <c r="AR50" s="66"/>
      <c r="AS50" s="3"/>
      <c r="AT50" s="3"/>
    </row>
    <row r="51" spans="1:46" s="63" customFormat="1" ht="18" customHeight="1">
      <c r="A51" s="9"/>
      <c r="B51" s="9"/>
      <c r="C51" s="13"/>
      <c r="D51" s="102"/>
      <c r="E51" s="67"/>
      <c r="F51" s="107"/>
      <c r="G51" s="109"/>
      <c r="H51" s="62"/>
      <c r="I51" s="62"/>
      <c r="J51" s="62"/>
      <c r="K51" s="109"/>
      <c r="L51" s="62"/>
      <c r="M51" s="109"/>
      <c r="N51" s="109"/>
      <c r="O51" s="109"/>
      <c r="P51" s="109"/>
      <c r="Q51" s="62"/>
      <c r="R51" s="107"/>
      <c r="S51" s="109"/>
      <c r="T51" s="109"/>
      <c r="U51" s="62"/>
      <c r="V51" s="109"/>
      <c r="W51" s="109"/>
      <c r="X51" s="62"/>
      <c r="Y51" s="109"/>
      <c r="Z51" s="109"/>
      <c r="AA51" s="109"/>
      <c r="AB51" s="109"/>
      <c r="AC51" s="109"/>
      <c r="AD51" s="62"/>
      <c r="AE51" s="109"/>
      <c r="AF51" s="109"/>
      <c r="AG51" s="109"/>
      <c r="AH51" s="109"/>
      <c r="AI51" s="109"/>
      <c r="AJ51" s="109"/>
      <c r="AK51" s="67"/>
      <c r="AM51" s="89"/>
      <c r="AN51" s="9"/>
      <c r="AO51" s="9"/>
      <c r="AP51" s="9"/>
      <c r="AQ51" s="9"/>
      <c r="AR51" s="9"/>
      <c r="AS51" s="13"/>
      <c r="AT51" s="3"/>
    </row>
    <row r="52" spans="1:46" s="63" customFormat="1" ht="18" customHeight="1">
      <c r="A52" s="2"/>
      <c r="B52" s="2" t="s">
        <v>0</v>
      </c>
      <c r="C52" s="2"/>
      <c r="D52" s="282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3"/>
    </row>
    <row r="53" spans="1:46" s="63" customFormat="1" ht="18" customHeight="1">
      <c r="A53" s="2"/>
      <c r="B53" s="2"/>
      <c r="C53" s="2" t="s">
        <v>46</v>
      </c>
      <c r="D53" s="282"/>
      <c r="E53" s="2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1"/>
      <c r="AI53" s="111"/>
      <c r="AJ53" s="111"/>
      <c r="AK53" s="2"/>
      <c r="AL53" s="2"/>
      <c r="AM53" s="90"/>
      <c r="AN53" s="2"/>
      <c r="AO53" s="2"/>
      <c r="AP53" s="2"/>
      <c r="AQ53" s="2"/>
      <c r="AR53" s="2"/>
      <c r="AS53" s="2"/>
      <c r="AT53" s="13"/>
    </row>
    <row r="54" spans="1:46" ht="18" customHeight="1">
      <c r="C54" s="2" t="s">
        <v>47</v>
      </c>
    </row>
    <row r="55" spans="1:46" ht="18" customHeight="1">
      <c r="C55" s="2" t="s">
        <v>48</v>
      </c>
    </row>
    <row r="56" spans="1:46" ht="18" customHeight="1">
      <c r="C56" s="2" t="s">
        <v>49</v>
      </c>
    </row>
    <row r="57" spans="1:46" ht="18" customHeight="1">
      <c r="C57" s="2" t="s">
        <v>50</v>
      </c>
    </row>
    <row r="58" spans="1:46" ht="18" customHeight="1">
      <c r="C58" s="2" t="s">
        <v>51</v>
      </c>
    </row>
    <row r="59" spans="1:46" ht="18" customHeight="1">
      <c r="C59" s="2" t="s">
        <v>52</v>
      </c>
    </row>
    <row r="60" spans="1:46" ht="18" customHeight="1">
      <c r="C60" s="2" t="s">
        <v>53</v>
      </c>
    </row>
    <row r="61" spans="1:46" ht="15" customHeight="1">
      <c r="C61" s="2" t="s">
        <v>54</v>
      </c>
    </row>
    <row r="72" spans="1:91" s="133" customFormat="1" ht="20.25">
      <c r="A72" s="124"/>
      <c r="B72" s="127"/>
      <c r="C72" s="127"/>
      <c r="D72" s="128"/>
      <c r="E72" s="127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30" t="str">
        <f>S1</f>
        <v>BẢNG CHẤM CÔNG THÁNG 02 NĂM 2017</v>
      </c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463" t="s">
        <v>112</v>
      </c>
      <c r="AN72" s="464"/>
      <c r="AO72" s="464"/>
      <c r="AP72" s="464"/>
      <c r="AQ72" s="464"/>
      <c r="AR72" s="464"/>
      <c r="AS72" s="465"/>
      <c r="AT72" s="132"/>
    </row>
    <row r="73" spans="1:91" s="133" customFormat="1" ht="20.25">
      <c r="A73" s="124" t="str">
        <f>$A$2</f>
        <v>Công ty TNHH Hải sản An Lạc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5"/>
      <c r="AO73" s="135"/>
      <c r="AP73" s="135"/>
      <c r="AQ73" s="135"/>
      <c r="AR73" s="135"/>
      <c r="AS73" s="136"/>
      <c r="AT73" s="136"/>
    </row>
    <row r="74" spans="1:91" s="133" customFormat="1" ht="21" customHeight="1">
      <c r="A74" s="124" t="str">
        <f>$A$3</f>
        <v>Địa chỉ: Lô A14, đường 4A, KCN Hải Sơn, Đức Hòa, Long An</v>
      </c>
      <c r="B74" s="137"/>
      <c r="C74" s="137"/>
      <c r="D74" s="138"/>
      <c r="E74" s="138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31"/>
      <c r="AL74" s="131"/>
      <c r="AM74" s="134"/>
      <c r="AN74" s="132"/>
      <c r="AO74" s="132"/>
      <c r="AP74" s="132"/>
      <c r="AQ74" s="132"/>
      <c r="AR74" s="132"/>
      <c r="AS74" s="139"/>
      <c r="AT74" s="139"/>
    </row>
    <row r="75" spans="1:91" s="133" customFormat="1" ht="14.25" customHeight="1">
      <c r="A75" s="140"/>
      <c r="B75" s="140"/>
      <c r="C75" s="141"/>
      <c r="D75" s="142"/>
      <c r="E75" s="143">
        <f>$E$4</f>
        <v>42767</v>
      </c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5"/>
      <c r="AI75" s="145"/>
      <c r="AJ75" s="145"/>
      <c r="AK75" s="140"/>
      <c r="AL75" s="140"/>
      <c r="AM75" s="146"/>
      <c r="AN75" s="140"/>
      <c r="AO75" s="140"/>
      <c r="AP75" s="140"/>
      <c r="AQ75" s="140"/>
      <c r="AR75" s="140"/>
      <c r="AS75" s="140"/>
      <c r="AT75" s="147"/>
    </row>
    <row r="76" spans="1:91" s="149" customFormat="1" ht="18.75" customHeight="1">
      <c r="A76" s="466" t="s">
        <v>28</v>
      </c>
      <c r="B76" s="466" t="s">
        <v>3</v>
      </c>
      <c r="C76" s="466" t="s">
        <v>1</v>
      </c>
      <c r="D76" s="468" t="s">
        <v>29</v>
      </c>
      <c r="E76" s="466" t="s">
        <v>30</v>
      </c>
      <c r="F76" s="148">
        <f>+E75</f>
        <v>42767</v>
      </c>
      <c r="G76" s="148">
        <f t="shared" ref="G76:AG76" si="10">F76+1</f>
        <v>42768</v>
      </c>
      <c r="H76" s="148">
        <f t="shared" si="10"/>
        <v>42769</v>
      </c>
      <c r="I76" s="148">
        <f t="shared" si="10"/>
        <v>42770</v>
      </c>
      <c r="J76" s="148">
        <f t="shared" si="10"/>
        <v>42771</v>
      </c>
      <c r="K76" s="148">
        <f t="shared" si="10"/>
        <v>42772</v>
      </c>
      <c r="L76" s="148">
        <f t="shared" si="10"/>
        <v>42773</v>
      </c>
      <c r="M76" s="148">
        <f t="shared" si="10"/>
        <v>42774</v>
      </c>
      <c r="N76" s="148">
        <f t="shared" si="10"/>
        <v>42775</v>
      </c>
      <c r="O76" s="148">
        <f t="shared" si="10"/>
        <v>42776</v>
      </c>
      <c r="P76" s="148">
        <f t="shared" si="10"/>
        <v>42777</v>
      </c>
      <c r="Q76" s="148">
        <f t="shared" si="10"/>
        <v>42778</v>
      </c>
      <c r="R76" s="148">
        <f t="shared" si="10"/>
        <v>42779</v>
      </c>
      <c r="S76" s="148">
        <f t="shared" si="10"/>
        <v>42780</v>
      </c>
      <c r="T76" s="148">
        <f t="shared" si="10"/>
        <v>42781</v>
      </c>
      <c r="U76" s="148">
        <f t="shared" si="10"/>
        <v>42782</v>
      </c>
      <c r="V76" s="148">
        <f t="shared" si="10"/>
        <v>42783</v>
      </c>
      <c r="W76" s="148">
        <f t="shared" si="10"/>
        <v>42784</v>
      </c>
      <c r="X76" s="148">
        <f t="shared" si="10"/>
        <v>42785</v>
      </c>
      <c r="Y76" s="148">
        <f t="shared" si="10"/>
        <v>42786</v>
      </c>
      <c r="Z76" s="148">
        <f t="shared" si="10"/>
        <v>42787</v>
      </c>
      <c r="AA76" s="148">
        <f t="shared" si="10"/>
        <v>42788</v>
      </c>
      <c r="AB76" s="148">
        <f t="shared" si="10"/>
        <v>42789</v>
      </c>
      <c r="AC76" s="148">
        <f t="shared" si="10"/>
        <v>42790</v>
      </c>
      <c r="AD76" s="148">
        <f t="shared" si="10"/>
        <v>42791</v>
      </c>
      <c r="AE76" s="148">
        <f t="shared" si="10"/>
        <v>42792</v>
      </c>
      <c r="AF76" s="148">
        <f t="shared" si="10"/>
        <v>42793</v>
      </c>
      <c r="AG76" s="148">
        <f t="shared" si="10"/>
        <v>42794</v>
      </c>
      <c r="AH76" s="148">
        <f>AG76+1</f>
        <v>42795</v>
      </c>
      <c r="AI76" s="148">
        <f>AH76+1</f>
        <v>42796</v>
      </c>
      <c r="AJ76" s="148"/>
      <c r="AK76" s="476" t="s">
        <v>15</v>
      </c>
      <c r="AL76" s="477"/>
      <c r="AM76" s="478"/>
      <c r="AN76" s="479" t="s">
        <v>45</v>
      </c>
      <c r="AO76" s="479" t="s">
        <v>41</v>
      </c>
      <c r="AP76" s="479" t="s">
        <v>42</v>
      </c>
      <c r="AQ76" s="479" t="s">
        <v>43</v>
      </c>
      <c r="AR76" s="479" t="s">
        <v>44</v>
      </c>
      <c r="AS76" s="468" t="s">
        <v>0</v>
      </c>
      <c r="AT76" s="469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43.5" customHeight="1">
      <c r="A77" s="467"/>
      <c r="B77" s="467"/>
      <c r="C77" s="467"/>
      <c r="D77" s="467"/>
      <c r="E77" s="467"/>
      <c r="F77" s="278" t="str">
        <f>CHOOSE(WEEKDAY(F76),"C.Nhật","T.Hai","T.Ba","T.Tư","T.Năm","T.Sáu","T.Bảy")</f>
        <v>T.Tư</v>
      </c>
      <c r="G77" s="278" t="str">
        <f t="shared" ref="G77:AI77" si="11">CHOOSE(WEEKDAY(G76),"C.Nhật","T.Hai","T.Ba","T.Tư","T.Năm","T.Sáu","T.Bảy")</f>
        <v>T.Năm</v>
      </c>
      <c r="H77" s="278" t="str">
        <f t="shared" si="11"/>
        <v>T.Sáu</v>
      </c>
      <c r="I77" s="278" t="str">
        <f t="shared" si="11"/>
        <v>T.Bảy</v>
      </c>
      <c r="J77" s="278" t="str">
        <f t="shared" si="11"/>
        <v>C.Nhật</v>
      </c>
      <c r="K77" s="150" t="str">
        <f t="shared" si="11"/>
        <v>T.Hai</v>
      </c>
      <c r="L77" s="150" t="str">
        <f t="shared" si="11"/>
        <v>T.Ba</v>
      </c>
      <c r="M77" s="150" t="str">
        <f t="shared" si="11"/>
        <v>T.Tư</v>
      </c>
      <c r="N77" s="150" t="str">
        <f t="shared" si="11"/>
        <v>T.Năm</v>
      </c>
      <c r="O77" s="150" t="str">
        <f t="shared" si="11"/>
        <v>T.Sáu</v>
      </c>
      <c r="P77" s="150" t="str">
        <f t="shared" si="11"/>
        <v>T.Bảy</v>
      </c>
      <c r="Q77" s="150" t="str">
        <f t="shared" si="11"/>
        <v>C.Nhật</v>
      </c>
      <c r="R77" s="150" t="str">
        <f t="shared" si="11"/>
        <v>T.Hai</v>
      </c>
      <c r="S77" s="150" t="str">
        <f t="shared" si="11"/>
        <v>T.Ba</v>
      </c>
      <c r="T77" s="150" t="str">
        <f t="shared" si="11"/>
        <v>T.Tư</v>
      </c>
      <c r="U77" s="150" t="str">
        <f t="shared" si="11"/>
        <v>T.Năm</v>
      </c>
      <c r="V77" s="150" t="str">
        <f t="shared" si="11"/>
        <v>T.Sáu</v>
      </c>
      <c r="W77" s="150" t="str">
        <f t="shared" si="11"/>
        <v>T.Bảy</v>
      </c>
      <c r="X77" s="150" t="str">
        <f t="shared" si="11"/>
        <v>C.Nhật</v>
      </c>
      <c r="Y77" s="150" t="str">
        <f t="shared" si="11"/>
        <v>T.Hai</v>
      </c>
      <c r="Z77" s="150" t="str">
        <f t="shared" si="11"/>
        <v>T.Ba</v>
      </c>
      <c r="AA77" s="150" t="str">
        <f t="shared" si="11"/>
        <v>T.Tư</v>
      </c>
      <c r="AB77" s="150" t="str">
        <f t="shared" si="11"/>
        <v>T.Năm</v>
      </c>
      <c r="AC77" s="150" t="str">
        <f t="shared" si="11"/>
        <v>T.Sáu</v>
      </c>
      <c r="AD77" s="150" t="str">
        <f t="shared" si="11"/>
        <v>T.Bảy</v>
      </c>
      <c r="AE77" s="150" t="str">
        <f t="shared" si="11"/>
        <v>C.Nhật</v>
      </c>
      <c r="AF77" s="150" t="str">
        <f t="shared" si="11"/>
        <v>T.Hai</v>
      </c>
      <c r="AG77" s="150" t="str">
        <f t="shared" si="11"/>
        <v>T.Ba</v>
      </c>
      <c r="AH77" s="150" t="str">
        <f t="shared" si="11"/>
        <v>T.Tư</v>
      </c>
      <c r="AI77" s="150" t="str">
        <f t="shared" si="11"/>
        <v>T.Năm</v>
      </c>
      <c r="AJ77" s="150"/>
      <c r="AK77" s="151" t="s">
        <v>16</v>
      </c>
      <c r="AL77" s="151" t="s">
        <v>31</v>
      </c>
      <c r="AM77" s="152" t="s">
        <v>17</v>
      </c>
      <c r="AN77" s="480"/>
      <c r="AO77" s="480"/>
      <c r="AP77" s="480"/>
      <c r="AQ77" s="480"/>
      <c r="AR77" s="480"/>
      <c r="AS77" s="467"/>
      <c r="AT77" s="469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2.75" customHeight="1">
      <c r="A78" s="279">
        <v>1</v>
      </c>
      <c r="B78" s="279">
        <v>2</v>
      </c>
      <c r="C78" s="279">
        <v>3</v>
      </c>
      <c r="D78" s="279">
        <v>4</v>
      </c>
      <c r="E78" s="279">
        <v>5</v>
      </c>
      <c r="F78" s="279">
        <v>6</v>
      </c>
      <c r="G78" s="279">
        <v>7</v>
      </c>
      <c r="H78" s="279">
        <v>8</v>
      </c>
      <c r="I78" s="279">
        <v>9</v>
      </c>
      <c r="J78" s="279">
        <v>10</v>
      </c>
      <c r="K78" s="279">
        <v>11</v>
      </c>
      <c r="L78" s="279">
        <v>12</v>
      </c>
      <c r="M78" s="279">
        <v>13</v>
      </c>
      <c r="N78" s="279">
        <v>14</v>
      </c>
      <c r="O78" s="279">
        <v>15</v>
      </c>
      <c r="P78" s="279">
        <v>16</v>
      </c>
      <c r="Q78" s="279">
        <v>17</v>
      </c>
      <c r="R78" s="279">
        <v>18</v>
      </c>
      <c r="S78" s="279">
        <v>19</v>
      </c>
      <c r="T78" s="279">
        <v>20</v>
      </c>
      <c r="U78" s="279">
        <v>21</v>
      </c>
      <c r="V78" s="279">
        <v>22</v>
      </c>
      <c r="W78" s="279">
        <v>23</v>
      </c>
      <c r="X78" s="279">
        <v>24</v>
      </c>
      <c r="Y78" s="279">
        <v>25</v>
      </c>
      <c r="Z78" s="279">
        <v>26</v>
      </c>
      <c r="AA78" s="279">
        <v>27</v>
      </c>
      <c r="AB78" s="279">
        <v>28</v>
      </c>
      <c r="AC78" s="279">
        <v>29</v>
      </c>
      <c r="AD78" s="279">
        <v>30</v>
      </c>
      <c r="AE78" s="279">
        <v>31</v>
      </c>
      <c r="AF78" s="279">
        <v>32</v>
      </c>
      <c r="AG78" s="279">
        <v>33</v>
      </c>
      <c r="AH78" s="279">
        <v>34</v>
      </c>
      <c r="AI78" s="279">
        <v>35</v>
      </c>
      <c r="AJ78" s="279">
        <v>36</v>
      </c>
      <c r="AK78" s="279">
        <v>37</v>
      </c>
      <c r="AL78" s="279">
        <v>38</v>
      </c>
      <c r="AM78" s="279">
        <v>39</v>
      </c>
      <c r="AN78" s="279">
        <v>40</v>
      </c>
      <c r="AO78" s="279">
        <v>41</v>
      </c>
      <c r="AP78" s="279">
        <v>42</v>
      </c>
      <c r="AQ78" s="279">
        <v>43</v>
      </c>
      <c r="AR78" s="279">
        <v>44</v>
      </c>
      <c r="AS78" s="279">
        <v>45</v>
      </c>
      <c r="AT78" s="285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70">
        <v>1</v>
      </c>
      <c r="B79" s="470" t="s">
        <v>68</v>
      </c>
      <c r="C79" s="472" t="str">
        <f>VLOOKUP(B79,DS,2,0)</f>
        <v>Nguyễn Thiện Duy</v>
      </c>
      <c r="D79" s="474" t="str">
        <f>VLOOKUP(B79,DS,3,0)</f>
        <v>Giám đốc</v>
      </c>
      <c r="E79" s="58" t="s">
        <v>32</v>
      </c>
      <c r="F79" s="153"/>
      <c r="G79" s="153"/>
      <c r="H79" s="153"/>
      <c r="I79" s="153"/>
      <c r="J79" s="153"/>
      <c r="K79" s="153">
        <v>8</v>
      </c>
      <c r="L79" s="153">
        <v>8</v>
      </c>
      <c r="M79" s="153">
        <v>8</v>
      </c>
      <c r="N79" s="153">
        <v>8</v>
      </c>
      <c r="O79" s="153">
        <v>8</v>
      </c>
      <c r="P79" s="153">
        <v>0</v>
      </c>
      <c r="Q79" s="153"/>
      <c r="R79" s="153">
        <v>8</v>
      </c>
      <c r="S79" s="153">
        <v>8</v>
      </c>
      <c r="T79" s="153">
        <v>8</v>
      </c>
      <c r="U79" s="153">
        <v>8</v>
      </c>
      <c r="V79" s="153">
        <v>8</v>
      </c>
      <c r="W79" s="153">
        <v>8</v>
      </c>
      <c r="X79" s="153"/>
      <c r="Y79" s="153">
        <v>0</v>
      </c>
      <c r="Z79" s="153">
        <v>8</v>
      </c>
      <c r="AA79" s="153">
        <v>8</v>
      </c>
      <c r="AB79" s="153">
        <v>8</v>
      </c>
      <c r="AC79" s="153">
        <v>8</v>
      </c>
      <c r="AD79" s="153">
        <v>8</v>
      </c>
      <c r="AE79" s="153"/>
      <c r="AF79" s="153">
        <v>8</v>
      </c>
      <c r="AG79" s="153">
        <v>8</v>
      </c>
      <c r="AH79" s="153"/>
      <c r="AI79" s="153"/>
      <c r="AJ79" s="153"/>
      <c r="AK79" s="444">
        <f>((SUM(F79:AJ79))/8)-(SUMIF($F$6:$AJ$6,"C.Nhật",F79:AJ79)/8)</f>
        <v>18</v>
      </c>
      <c r="AL79" s="444">
        <f>SUM(F80:AI80)/8*1.5</f>
        <v>0</v>
      </c>
      <c r="AM79" s="446">
        <f>SUMIF($F$6:$AI$6,"C.Nhật",$F79:$AI80)/8*2</f>
        <v>0</v>
      </c>
      <c r="AN79" s="435">
        <f>SUM(AK79:AM80)</f>
        <v>18</v>
      </c>
      <c r="AO79" s="481">
        <v>0</v>
      </c>
      <c r="AP79" s="483"/>
      <c r="AQ79" s="483"/>
      <c r="AR79" s="483"/>
      <c r="AS79" s="485"/>
      <c r="AT79" s="285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71"/>
      <c r="B80" s="471"/>
      <c r="C80" s="473"/>
      <c r="D80" s="475"/>
      <c r="E80" s="59" t="s">
        <v>31</v>
      </c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445"/>
      <c r="AL80" s="445"/>
      <c r="AM80" s="447"/>
      <c r="AN80" s="436"/>
      <c r="AO80" s="482"/>
      <c r="AP80" s="484"/>
      <c r="AQ80" s="484"/>
      <c r="AR80" s="484"/>
      <c r="AS80" s="486"/>
      <c r="AT80" s="285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70">
        <f>A79+1</f>
        <v>2</v>
      </c>
      <c r="B81" s="470" t="s">
        <v>70</v>
      </c>
      <c r="C81" s="472" t="str">
        <f>VLOOKUP(B81,DS,2,0)</f>
        <v>Nguyễn Văn Sẽ</v>
      </c>
      <c r="D81" s="474" t="str">
        <f>VLOOKUP(B81,DS,3,0)</f>
        <v>Kỹ Thuật</v>
      </c>
      <c r="E81" s="58" t="s">
        <v>32</v>
      </c>
      <c r="F81" s="153"/>
      <c r="G81" s="153"/>
      <c r="H81" s="153"/>
      <c r="I81" s="153"/>
      <c r="J81" s="153"/>
      <c r="K81" s="153">
        <v>8</v>
      </c>
      <c r="L81" s="153">
        <v>8</v>
      </c>
      <c r="M81" s="153">
        <v>8</v>
      </c>
      <c r="N81" s="153">
        <v>8</v>
      </c>
      <c r="O81" s="153">
        <v>8</v>
      </c>
      <c r="P81" s="153">
        <v>8</v>
      </c>
      <c r="Q81" s="153"/>
      <c r="R81" s="153">
        <v>8</v>
      </c>
      <c r="S81" s="153">
        <v>8</v>
      </c>
      <c r="T81" s="153">
        <v>8</v>
      </c>
      <c r="U81" s="153">
        <v>8</v>
      </c>
      <c r="V81" s="153">
        <v>8</v>
      </c>
      <c r="W81" s="153">
        <v>8</v>
      </c>
      <c r="X81" s="153"/>
      <c r="Y81" s="153">
        <v>8</v>
      </c>
      <c r="Z81" s="153">
        <v>8</v>
      </c>
      <c r="AA81" s="153">
        <v>8</v>
      </c>
      <c r="AB81" s="153">
        <v>8</v>
      </c>
      <c r="AC81" s="153">
        <v>8</v>
      </c>
      <c r="AD81" s="153">
        <v>8</v>
      </c>
      <c r="AE81" s="153"/>
      <c r="AF81" s="153">
        <v>8</v>
      </c>
      <c r="AG81" s="153">
        <v>8</v>
      </c>
      <c r="AH81" s="153"/>
      <c r="AI81" s="153"/>
      <c r="AJ81" s="153"/>
      <c r="AK81" s="444">
        <f>((SUM(F81:AJ81))/8)-(SUMIF($F$6:$AJ$6,"C.Nhật",F81:AJ81)/8)</f>
        <v>20</v>
      </c>
      <c r="AL81" s="444">
        <f>SUM(F82:AI82)/8*1.5</f>
        <v>0</v>
      </c>
      <c r="AM81" s="446">
        <f>SUMIF($F$6:$AI$6,"C.Nhật",$F81:$AI82)/8*2</f>
        <v>0</v>
      </c>
      <c r="AN81" s="435">
        <f>SUM(AK81:AM82)</f>
        <v>20</v>
      </c>
      <c r="AO81" s="481">
        <v>0</v>
      </c>
      <c r="AP81" s="483"/>
      <c r="AQ81" s="483"/>
      <c r="AR81" s="483"/>
      <c r="AS81" s="485"/>
      <c r="AT81" s="285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71"/>
      <c r="B82" s="471"/>
      <c r="C82" s="473"/>
      <c r="D82" s="475"/>
      <c r="E82" s="59" t="s">
        <v>31</v>
      </c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445"/>
      <c r="AL82" s="445"/>
      <c r="AM82" s="447"/>
      <c r="AN82" s="436"/>
      <c r="AO82" s="482"/>
      <c r="AP82" s="484"/>
      <c r="AQ82" s="484"/>
      <c r="AR82" s="484"/>
      <c r="AS82" s="486"/>
      <c r="AT82" s="285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70">
        <f>A81+1</f>
        <v>3</v>
      </c>
      <c r="B83" s="470" t="s">
        <v>72</v>
      </c>
      <c r="C83" s="472" t="str">
        <f>VLOOKUP(B83,DS,2,0)</f>
        <v>Võ Uyên Phương</v>
      </c>
      <c r="D83" s="474" t="str">
        <f>VLOOKUP(B83,DS,3,0)</f>
        <v>Kế toán</v>
      </c>
      <c r="E83" s="58" t="s">
        <v>32</v>
      </c>
      <c r="F83" s="153"/>
      <c r="G83" s="153"/>
      <c r="H83" s="153"/>
      <c r="I83" s="153"/>
      <c r="J83" s="153"/>
      <c r="K83" s="153">
        <v>8</v>
      </c>
      <c r="L83" s="153">
        <v>8</v>
      </c>
      <c r="M83" s="153">
        <v>8</v>
      </c>
      <c r="N83" s="153">
        <v>8</v>
      </c>
      <c r="O83" s="153">
        <v>8</v>
      </c>
      <c r="P83" s="153">
        <v>8</v>
      </c>
      <c r="Q83" s="153"/>
      <c r="R83" s="153">
        <v>8</v>
      </c>
      <c r="S83" s="153">
        <v>8</v>
      </c>
      <c r="T83" s="153">
        <v>8</v>
      </c>
      <c r="U83" s="153">
        <v>8</v>
      </c>
      <c r="V83" s="153">
        <v>8</v>
      </c>
      <c r="W83" s="153">
        <v>8</v>
      </c>
      <c r="X83" s="153"/>
      <c r="Y83" s="153">
        <v>8</v>
      </c>
      <c r="Z83" s="153">
        <v>8</v>
      </c>
      <c r="AA83" s="153">
        <v>8</v>
      </c>
      <c r="AB83" s="153">
        <v>8</v>
      </c>
      <c r="AC83" s="153">
        <v>8</v>
      </c>
      <c r="AD83" s="153">
        <v>8</v>
      </c>
      <c r="AE83" s="153"/>
      <c r="AF83" s="153">
        <v>8</v>
      </c>
      <c r="AG83" s="153">
        <v>8</v>
      </c>
      <c r="AH83" s="153"/>
      <c r="AI83" s="153"/>
      <c r="AJ83" s="153"/>
      <c r="AK83" s="444">
        <f>((SUM(F83:AJ83))/8)-(SUMIF($F$6:$AJ$6,"C.Nhật",F83:AJ83)/8)</f>
        <v>20</v>
      </c>
      <c r="AL83" s="444">
        <f>SUM(F84:AI84)/8*1.5</f>
        <v>0</v>
      </c>
      <c r="AM83" s="446">
        <f>SUMIF($F$6:$AI$6,"C.Nhật",$F83:$AI84)/8*2</f>
        <v>0</v>
      </c>
      <c r="AN83" s="435">
        <f>SUM(AK83:AM84)</f>
        <v>20</v>
      </c>
      <c r="AO83" s="481">
        <v>0</v>
      </c>
      <c r="AP83" s="483"/>
      <c r="AQ83" s="483"/>
      <c r="AR83" s="483"/>
      <c r="AS83" s="485"/>
      <c r="AT83" s="285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71"/>
      <c r="B84" s="471"/>
      <c r="C84" s="473"/>
      <c r="D84" s="475"/>
      <c r="E84" s="59" t="s">
        <v>31</v>
      </c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445"/>
      <c r="AL84" s="445"/>
      <c r="AM84" s="447"/>
      <c r="AN84" s="436"/>
      <c r="AO84" s="482"/>
      <c r="AP84" s="484"/>
      <c r="AQ84" s="484"/>
      <c r="AR84" s="484"/>
      <c r="AS84" s="486"/>
      <c r="AT84" s="285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70">
        <f>A83+1</f>
        <v>4</v>
      </c>
      <c r="B85" s="470" t="s">
        <v>75</v>
      </c>
      <c r="C85" s="472" t="str">
        <f>VLOOKUP(B85,DS,2,0)</f>
        <v>Lê Nguyễn Huy Cường</v>
      </c>
      <c r="D85" s="474" t="str">
        <f>VLOOKUP(B85,DS,3,0)</f>
        <v>XNK</v>
      </c>
      <c r="E85" s="58" t="s">
        <v>32</v>
      </c>
      <c r="F85" s="153"/>
      <c r="G85" s="153"/>
      <c r="H85" s="153"/>
      <c r="I85" s="153"/>
      <c r="J85" s="153"/>
      <c r="K85" s="153">
        <v>8</v>
      </c>
      <c r="L85" s="153">
        <v>8</v>
      </c>
      <c r="M85" s="153">
        <v>8</v>
      </c>
      <c r="N85" s="153">
        <v>8</v>
      </c>
      <c r="O85" s="153">
        <v>8</v>
      </c>
      <c r="P85" s="153">
        <v>8</v>
      </c>
      <c r="Q85" s="153"/>
      <c r="R85" s="153">
        <v>8</v>
      </c>
      <c r="S85" s="153">
        <v>8</v>
      </c>
      <c r="T85" s="153">
        <v>8</v>
      </c>
      <c r="U85" s="153">
        <v>8</v>
      </c>
      <c r="V85" s="153">
        <v>8</v>
      </c>
      <c r="W85" s="153">
        <v>8</v>
      </c>
      <c r="X85" s="153"/>
      <c r="Y85" s="153">
        <v>8</v>
      </c>
      <c r="Z85" s="153">
        <v>8</v>
      </c>
      <c r="AA85" s="153">
        <v>8</v>
      </c>
      <c r="AB85" s="153">
        <v>8</v>
      </c>
      <c r="AC85" s="153">
        <v>8</v>
      </c>
      <c r="AD85" s="153">
        <v>8</v>
      </c>
      <c r="AE85" s="153"/>
      <c r="AF85" s="153">
        <v>8</v>
      </c>
      <c r="AG85" s="153">
        <v>8</v>
      </c>
      <c r="AH85" s="153"/>
      <c r="AI85" s="153"/>
      <c r="AJ85" s="153"/>
      <c r="AK85" s="444">
        <f>((SUM(F85:AJ85))/8)-(SUMIF($F$6:$AJ$6,"C.Nhật",F85:AJ85)/8)</f>
        <v>20</v>
      </c>
      <c r="AL85" s="444">
        <f>SUM(F86:AI86)/8*1.5</f>
        <v>0</v>
      </c>
      <c r="AM85" s="446">
        <f>SUMIF($F$6:$AI$6,"C.Nhật",$F85:$AI86)/8*2</f>
        <v>0</v>
      </c>
      <c r="AN85" s="435">
        <f>SUM(AK85:AM86)</f>
        <v>20</v>
      </c>
      <c r="AO85" s="481">
        <v>0</v>
      </c>
      <c r="AP85" s="483"/>
      <c r="AQ85" s="483"/>
      <c r="AR85" s="483"/>
      <c r="AS85" s="485"/>
      <c r="AT85" s="285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71"/>
      <c r="B86" s="471"/>
      <c r="C86" s="473"/>
      <c r="D86" s="475"/>
      <c r="E86" s="59" t="s">
        <v>31</v>
      </c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445"/>
      <c r="AL86" s="445"/>
      <c r="AM86" s="447"/>
      <c r="AN86" s="436"/>
      <c r="AO86" s="482"/>
      <c r="AP86" s="484"/>
      <c r="AQ86" s="484"/>
      <c r="AR86" s="484"/>
      <c r="AS86" s="486"/>
      <c r="AT86" s="285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70">
        <f>A85+1</f>
        <v>5</v>
      </c>
      <c r="B87" s="470" t="s">
        <v>77</v>
      </c>
      <c r="C87" s="472" t="str">
        <f>VLOOKUP(B87,DS,2,0)</f>
        <v>Nguyễn Văn Bé Tư</v>
      </c>
      <c r="D87" s="474" t="str">
        <f>VLOOKUP(B87,DS,3,0)</f>
        <v>Tài xế</v>
      </c>
      <c r="E87" s="58" t="s">
        <v>32</v>
      </c>
      <c r="F87" s="153"/>
      <c r="G87" s="153"/>
      <c r="H87" s="153"/>
      <c r="I87" s="153"/>
      <c r="J87" s="153"/>
      <c r="K87" s="153">
        <v>8</v>
      </c>
      <c r="L87" s="153">
        <v>8</v>
      </c>
      <c r="M87" s="153">
        <v>8</v>
      </c>
      <c r="N87" s="153">
        <v>8</v>
      </c>
      <c r="O87" s="153">
        <v>8</v>
      </c>
      <c r="P87" s="153">
        <v>8</v>
      </c>
      <c r="Q87" s="153"/>
      <c r="R87" s="153">
        <v>8</v>
      </c>
      <c r="S87" s="153">
        <v>8</v>
      </c>
      <c r="T87" s="153">
        <v>8</v>
      </c>
      <c r="U87" s="153">
        <v>8</v>
      </c>
      <c r="V87" s="153">
        <v>8</v>
      </c>
      <c r="W87" s="153">
        <v>8</v>
      </c>
      <c r="X87" s="153"/>
      <c r="Y87" s="153">
        <v>8</v>
      </c>
      <c r="Z87" s="153">
        <v>8</v>
      </c>
      <c r="AA87" s="153">
        <v>8</v>
      </c>
      <c r="AB87" s="153">
        <v>8</v>
      </c>
      <c r="AC87" s="153">
        <v>8</v>
      </c>
      <c r="AD87" s="153">
        <v>8</v>
      </c>
      <c r="AE87" s="153"/>
      <c r="AF87" s="153">
        <v>8</v>
      </c>
      <c r="AG87" s="153">
        <v>8</v>
      </c>
      <c r="AH87" s="153"/>
      <c r="AI87" s="153"/>
      <c r="AJ87" s="153"/>
      <c r="AK87" s="444">
        <f>((SUM(F87:AJ87))/8)-(SUMIF($F$6:$AJ$6,"C.Nhật",F87:AJ87)/8)</f>
        <v>20</v>
      </c>
      <c r="AL87" s="444">
        <f>SUM(F88:AI88)/8*1.5</f>
        <v>0</v>
      </c>
      <c r="AM87" s="446">
        <f>SUMIF($F$6:$AI$6,"C.Nhật",$F87:$AI88)/8*2</f>
        <v>0</v>
      </c>
      <c r="AN87" s="435">
        <f>SUM(AK87:AM88)</f>
        <v>20</v>
      </c>
      <c r="AO87" s="481">
        <v>0</v>
      </c>
      <c r="AP87" s="483"/>
      <c r="AQ87" s="483"/>
      <c r="AR87" s="483"/>
      <c r="AS87" s="485"/>
      <c r="AT87" s="285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71"/>
      <c r="B88" s="471"/>
      <c r="C88" s="473"/>
      <c r="D88" s="475"/>
      <c r="E88" s="59" t="s">
        <v>31</v>
      </c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445"/>
      <c r="AL88" s="445"/>
      <c r="AM88" s="447"/>
      <c r="AN88" s="436"/>
      <c r="AO88" s="482"/>
      <c r="AP88" s="484"/>
      <c r="AQ88" s="484"/>
      <c r="AR88" s="484"/>
      <c r="AS88" s="486"/>
      <c r="AT88" s="285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70">
        <f>A87+1</f>
        <v>6</v>
      </c>
      <c r="B89" s="470" t="s">
        <v>78</v>
      </c>
      <c r="C89" s="472" t="str">
        <f>VLOOKUP(B89,DS,2,0)</f>
        <v>Dương Thanh Tuấn</v>
      </c>
      <c r="D89" s="474" t="str">
        <f>VLOOKUP(B89,DS,3,0)</f>
        <v>Nhân sự</v>
      </c>
      <c r="E89" s="58" t="s">
        <v>32</v>
      </c>
      <c r="F89" s="153"/>
      <c r="G89" s="153"/>
      <c r="H89" s="153"/>
      <c r="I89" s="153"/>
      <c r="J89" s="153"/>
      <c r="K89" s="153">
        <v>8</v>
      </c>
      <c r="L89" s="153">
        <v>8</v>
      </c>
      <c r="M89" s="153">
        <v>8</v>
      </c>
      <c r="N89" s="153">
        <v>8</v>
      </c>
      <c r="O89" s="153">
        <v>8</v>
      </c>
      <c r="P89" s="153">
        <v>8</v>
      </c>
      <c r="Q89" s="153"/>
      <c r="R89" s="153">
        <v>8</v>
      </c>
      <c r="S89" s="153">
        <v>8</v>
      </c>
      <c r="T89" s="153">
        <v>8</v>
      </c>
      <c r="U89" s="153">
        <v>8</v>
      </c>
      <c r="V89" s="153">
        <v>8</v>
      </c>
      <c r="W89" s="153">
        <v>8</v>
      </c>
      <c r="X89" s="153"/>
      <c r="Y89" s="153">
        <v>8</v>
      </c>
      <c r="Z89" s="153">
        <v>8</v>
      </c>
      <c r="AA89" s="153">
        <v>8</v>
      </c>
      <c r="AB89" s="153">
        <v>8</v>
      </c>
      <c r="AC89" s="153">
        <v>8</v>
      </c>
      <c r="AD89" s="153">
        <v>8</v>
      </c>
      <c r="AE89" s="153"/>
      <c r="AF89" s="153">
        <v>8</v>
      </c>
      <c r="AG89" s="153">
        <v>8</v>
      </c>
      <c r="AH89" s="153"/>
      <c r="AI89" s="153"/>
      <c r="AJ89" s="153"/>
      <c r="AK89" s="444">
        <f>((SUM(F89:AJ89))/8)-(SUMIF($F$6:$AJ$6,"C.Nhật",F89:AJ89)/8)</f>
        <v>20</v>
      </c>
      <c r="AL89" s="444">
        <f>SUM(F90:AI90)/8*1.5</f>
        <v>0</v>
      </c>
      <c r="AM89" s="446">
        <f>SUMIF($F$6:$AI$6,"C.Nhật",$F89:$AI90)/8*2</f>
        <v>0</v>
      </c>
      <c r="AN89" s="435">
        <f>SUM(AK89:AM90)</f>
        <v>20</v>
      </c>
      <c r="AO89" s="481">
        <v>0</v>
      </c>
      <c r="AP89" s="483"/>
      <c r="AQ89" s="483"/>
      <c r="AR89" s="483"/>
      <c r="AS89" s="485"/>
      <c r="AT89" s="285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71"/>
      <c r="B90" s="471"/>
      <c r="C90" s="473"/>
      <c r="D90" s="475"/>
      <c r="E90" s="59" t="s">
        <v>31</v>
      </c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445"/>
      <c r="AL90" s="445"/>
      <c r="AM90" s="447"/>
      <c r="AN90" s="436"/>
      <c r="AO90" s="482"/>
      <c r="AP90" s="484"/>
      <c r="AQ90" s="484"/>
      <c r="AR90" s="484"/>
      <c r="AS90" s="486"/>
      <c r="AT90" s="285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330" customFormat="1" ht="18" customHeight="1">
      <c r="A91" s="559">
        <v>7</v>
      </c>
      <c r="B91" s="555" t="s">
        <v>192</v>
      </c>
      <c r="C91" s="557" t="str">
        <f>VLOOKUP(B91,DS,2,0)</f>
        <v>Trần Đình Thái</v>
      </c>
      <c r="D91" s="557" t="str">
        <f t="shared" ref="D91" si="12">VLOOKUP(B91,DS,3,0)</f>
        <v>Cơ Điện</v>
      </c>
      <c r="E91" s="326" t="s">
        <v>32</v>
      </c>
      <c r="F91" s="327"/>
      <c r="G91" s="327"/>
      <c r="H91" s="327"/>
      <c r="I91" s="327"/>
      <c r="J91" s="327"/>
      <c r="K91" s="327">
        <v>8</v>
      </c>
      <c r="L91" s="327">
        <v>8</v>
      </c>
      <c r="M91" s="327">
        <v>8</v>
      </c>
      <c r="N91" s="327"/>
      <c r="O91" s="327"/>
      <c r="P91" s="327"/>
      <c r="Q91" s="327"/>
      <c r="R91" s="327"/>
      <c r="S91" s="327"/>
      <c r="T91" s="327"/>
      <c r="U91" s="327"/>
      <c r="V91" s="327"/>
      <c r="W91" s="327"/>
      <c r="X91" s="327"/>
      <c r="Y91" s="327"/>
      <c r="Z91" s="327"/>
      <c r="AA91" s="327"/>
      <c r="AB91" s="327"/>
      <c r="AC91" s="327"/>
      <c r="AD91" s="327"/>
      <c r="AE91" s="327"/>
      <c r="AF91" s="327"/>
      <c r="AG91" s="327"/>
      <c r="AH91" s="327"/>
      <c r="AI91" s="327"/>
      <c r="AJ91" s="327"/>
      <c r="AK91" s="543">
        <f>((SUM(F91:AJ91))/8)-(SUMIF($F$6:$AJ$6,"C.Nhật",F91:AJ91)/8)</f>
        <v>3</v>
      </c>
      <c r="AL91" s="543">
        <f>SUM(F92:AI92)/8*1.5</f>
        <v>0</v>
      </c>
      <c r="AM91" s="545">
        <f>SUMIF($F$6:$AI$6,"C.Nhật",$F91:$AI92)/8*2</f>
        <v>0</v>
      </c>
      <c r="AN91" s="547">
        <f>SUM(AK91:AM92)</f>
        <v>3</v>
      </c>
      <c r="AO91" s="561">
        <v>0</v>
      </c>
      <c r="AP91" s="553"/>
      <c r="AQ91" s="553"/>
      <c r="AR91" s="553"/>
      <c r="AS91" s="328"/>
      <c r="AT91" s="329"/>
      <c r="AV91" s="331"/>
      <c r="AW91" s="331"/>
      <c r="AX91" s="331"/>
      <c r="AY91" s="331"/>
      <c r="AZ91" s="331"/>
      <c r="BA91" s="331"/>
      <c r="BB91" s="331"/>
      <c r="BC91" s="331"/>
      <c r="BD91" s="331"/>
      <c r="BE91" s="331"/>
      <c r="BF91" s="331"/>
      <c r="BG91" s="331"/>
      <c r="BH91" s="331"/>
      <c r="BI91" s="331"/>
      <c r="BJ91" s="331"/>
      <c r="BK91" s="331"/>
      <c r="BL91" s="331"/>
      <c r="BM91" s="331"/>
      <c r="BN91" s="331"/>
      <c r="BO91" s="331"/>
      <c r="BP91" s="331"/>
      <c r="BQ91" s="331"/>
      <c r="BR91" s="331"/>
      <c r="BS91" s="331"/>
      <c r="BT91" s="331"/>
      <c r="BU91" s="331"/>
      <c r="BV91" s="331"/>
      <c r="BW91" s="331"/>
      <c r="BX91" s="331"/>
      <c r="BY91" s="331"/>
      <c r="BZ91" s="331"/>
      <c r="CA91" s="331"/>
      <c r="CB91" s="331"/>
      <c r="CC91" s="331"/>
      <c r="CD91" s="331"/>
      <c r="CE91" s="331"/>
      <c r="CF91" s="331"/>
      <c r="CG91" s="331"/>
      <c r="CH91" s="331"/>
      <c r="CI91" s="331"/>
      <c r="CJ91" s="331"/>
      <c r="CK91" s="331"/>
      <c r="CL91" s="331"/>
      <c r="CM91" s="331"/>
    </row>
    <row r="92" spans="1:91" s="330" customFormat="1" ht="18" customHeight="1">
      <c r="A92" s="560"/>
      <c r="B92" s="556"/>
      <c r="C92" s="558"/>
      <c r="D92" s="558"/>
      <c r="E92" s="332" t="s">
        <v>31</v>
      </c>
      <c r="F92" s="333"/>
      <c r="G92" s="333"/>
      <c r="H92" s="333"/>
      <c r="I92" s="333"/>
      <c r="J92" s="333"/>
      <c r="K92" s="333"/>
      <c r="L92" s="333"/>
      <c r="M92" s="333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333"/>
      <c r="Y92" s="333"/>
      <c r="Z92" s="333"/>
      <c r="AA92" s="333"/>
      <c r="AB92" s="333"/>
      <c r="AC92" s="333"/>
      <c r="AD92" s="333"/>
      <c r="AE92" s="333"/>
      <c r="AF92" s="333"/>
      <c r="AG92" s="333"/>
      <c r="AH92" s="333"/>
      <c r="AI92" s="333"/>
      <c r="AJ92" s="333"/>
      <c r="AK92" s="544"/>
      <c r="AL92" s="544"/>
      <c r="AM92" s="546"/>
      <c r="AN92" s="548"/>
      <c r="AO92" s="562"/>
      <c r="AP92" s="554"/>
      <c r="AQ92" s="554"/>
      <c r="AR92" s="554"/>
      <c r="AS92" s="328"/>
      <c r="AT92" s="329"/>
      <c r="AV92" s="331"/>
      <c r="AW92" s="331"/>
      <c r="AX92" s="331"/>
      <c r="AY92" s="331"/>
      <c r="AZ92" s="331"/>
      <c r="BA92" s="331"/>
      <c r="BB92" s="331"/>
      <c r="BC92" s="331"/>
      <c r="BD92" s="331"/>
      <c r="BE92" s="331"/>
      <c r="BF92" s="331"/>
      <c r="BG92" s="331"/>
      <c r="BH92" s="331"/>
      <c r="BI92" s="331"/>
      <c r="BJ92" s="331"/>
      <c r="BK92" s="331"/>
      <c r="BL92" s="331"/>
      <c r="BM92" s="331"/>
      <c r="BN92" s="331"/>
      <c r="BO92" s="331"/>
      <c r="BP92" s="331"/>
      <c r="BQ92" s="331"/>
      <c r="BR92" s="331"/>
      <c r="BS92" s="331"/>
      <c r="BT92" s="331"/>
      <c r="BU92" s="331"/>
      <c r="BV92" s="331"/>
      <c r="BW92" s="331"/>
      <c r="BX92" s="331"/>
      <c r="BY92" s="331"/>
      <c r="BZ92" s="331"/>
      <c r="CA92" s="331"/>
      <c r="CB92" s="331"/>
      <c r="CC92" s="331"/>
      <c r="CD92" s="331"/>
      <c r="CE92" s="331"/>
      <c r="CF92" s="331"/>
      <c r="CG92" s="331"/>
      <c r="CH92" s="331"/>
      <c r="CI92" s="331"/>
      <c r="CJ92" s="331"/>
      <c r="CK92" s="331"/>
      <c r="CL92" s="331"/>
      <c r="CM92" s="331"/>
    </row>
    <row r="93" spans="1:91" s="149" customFormat="1" ht="18" customHeight="1">
      <c r="A93" s="470">
        <v>8</v>
      </c>
      <c r="B93" s="470" t="s">
        <v>81</v>
      </c>
      <c r="C93" s="472" t="str">
        <f>VLOOKUP(B93,DS,2,0)</f>
        <v>Nguyễn Thiện Duyệt</v>
      </c>
      <c r="D93" s="474" t="str">
        <f>VLOOKUP(B93,DS,3,0)</f>
        <v>XNK</v>
      </c>
      <c r="E93" s="58" t="s">
        <v>32</v>
      </c>
      <c r="F93" s="153"/>
      <c r="G93" s="153"/>
      <c r="H93" s="153"/>
      <c r="I93" s="153"/>
      <c r="J93" s="153"/>
      <c r="K93" s="153">
        <v>8</v>
      </c>
      <c r="L93" s="153">
        <v>8</v>
      </c>
      <c r="M93" s="153">
        <v>8</v>
      </c>
      <c r="N93" s="153">
        <v>8</v>
      </c>
      <c r="O93" s="153">
        <v>8</v>
      </c>
      <c r="P93" s="153">
        <v>8</v>
      </c>
      <c r="Q93" s="153"/>
      <c r="R93" s="153">
        <v>8</v>
      </c>
      <c r="S93" s="153">
        <v>8</v>
      </c>
      <c r="T93" s="153">
        <v>8</v>
      </c>
      <c r="U93" s="153">
        <v>8</v>
      </c>
      <c r="V93" s="153">
        <v>8</v>
      </c>
      <c r="W93" s="153">
        <v>8</v>
      </c>
      <c r="X93" s="153"/>
      <c r="Y93" s="153">
        <v>8</v>
      </c>
      <c r="Z93" s="153">
        <v>8</v>
      </c>
      <c r="AA93" s="153">
        <v>8</v>
      </c>
      <c r="AB93" s="153">
        <v>8</v>
      </c>
      <c r="AC93" s="153">
        <v>8</v>
      </c>
      <c r="AD93" s="153">
        <v>8</v>
      </c>
      <c r="AE93" s="153"/>
      <c r="AF93" s="153">
        <v>8</v>
      </c>
      <c r="AG93" s="153">
        <v>8</v>
      </c>
      <c r="AH93" s="153"/>
      <c r="AI93" s="153"/>
      <c r="AJ93" s="153"/>
      <c r="AK93" s="444">
        <f>((SUM(F93:AJ93))/8)-(SUMIF($F$6:$AJ$6,"C.Nhật",F93:AJ93)/8)</f>
        <v>20</v>
      </c>
      <c r="AL93" s="444">
        <f>SUM(F94:AI94)/8*1.5</f>
        <v>0</v>
      </c>
      <c r="AM93" s="446">
        <f>SUMIF($F$6:$AI$6,"C.Nhật",$F93:$AI94)/8*2</f>
        <v>0</v>
      </c>
      <c r="AN93" s="435">
        <f>SUM(AK93:AM94)</f>
        <v>20</v>
      </c>
      <c r="AO93" s="481">
        <v>0</v>
      </c>
      <c r="AP93" s="483"/>
      <c r="AQ93" s="483"/>
      <c r="AR93" s="483"/>
      <c r="AS93" s="485"/>
      <c r="AT93" s="285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471"/>
      <c r="B94" s="471"/>
      <c r="C94" s="473"/>
      <c r="D94" s="475"/>
      <c r="E94" s="59" t="s">
        <v>31</v>
      </c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445"/>
      <c r="AL94" s="445"/>
      <c r="AM94" s="447"/>
      <c r="AN94" s="436"/>
      <c r="AO94" s="482"/>
      <c r="AP94" s="484"/>
      <c r="AQ94" s="484"/>
      <c r="AR94" s="484"/>
      <c r="AS94" s="486"/>
      <c r="AT94" s="285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65" customFormat="1" ht="12.75">
      <c r="A95" s="155"/>
      <c r="B95" s="156"/>
      <c r="C95" s="157"/>
      <c r="D95" s="158"/>
      <c r="E95" s="157"/>
      <c r="F95" s="159"/>
      <c r="G95" s="159"/>
      <c r="H95" s="160"/>
      <c r="I95" s="160"/>
      <c r="J95" s="161"/>
      <c r="K95" s="159"/>
      <c r="L95" s="160"/>
      <c r="M95" s="159"/>
      <c r="N95" s="159"/>
      <c r="O95" s="159"/>
      <c r="P95" s="159"/>
      <c r="Q95" s="160"/>
      <c r="R95" s="159"/>
      <c r="S95" s="159"/>
      <c r="T95" s="161"/>
      <c r="U95" s="159"/>
      <c r="V95" s="159"/>
      <c r="W95" s="159"/>
      <c r="X95" s="156"/>
      <c r="Y95" s="159"/>
      <c r="Z95" s="159"/>
      <c r="AA95" s="159"/>
      <c r="AB95" s="159"/>
      <c r="AC95" s="159"/>
      <c r="AD95" s="160"/>
      <c r="AE95" s="159"/>
      <c r="AF95" s="159"/>
      <c r="AG95" s="159"/>
      <c r="AH95" s="159"/>
      <c r="AI95" s="159"/>
      <c r="AJ95" s="159"/>
      <c r="AK95" s="157"/>
      <c r="AL95" s="157"/>
      <c r="AM95" s="162"/>
      <c r="AN95" s="163"/>
      <c r="AO95" s="163"/>
      <c r="AP95" s="163"/>
      <c r="AQ95" s="163"/>
      <c r="AR95" s="163"/>
      <c r="AS95" s="157"/>
      <c r="AT95" s="164"/>
    </row>
    <row r="96" spans="1:91" s="165" customFormat="1" ht="12.75">
      <c r="A96" s="155"/>
      <c r="B96" s="156"/>
      <c r="C96" s="166" t="s">
        <v>14</v>
      </c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67"/>
      <c r="B97" s="167"/>
      <c r="C97" s="157"/>
      <c r="D97" s="158"/>
      <c r="E97" s="15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64"/>
    </row>
    <row r="98" spans="1:46" s="170" customFormat="1" ht="15" customHeight="1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57"/>
    </row>
    <row r="99" spans="1:46" s="170" customFormat="1" ht="11.25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2.75">
      <c r="A100" s="167"/>
      <c r="B100" s="194"/>
      <c r="C100" s="195"/>
      <c r="D100" s="196"/>
      <c r="E100" s="15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6"/>
      <c r="B101" s="166"/>
      <c r="C101" s="155"/>
      <c r="D101" s="171"/>
      <c r="E101" s="172"/>
      <c r="F101" s="161"/>
      <c r="G101" s="173"/>
      <c r="H101" s="160"/>
      <c r="I101" s="160"/>
      <c r="J101" s="160"/>
      <c r="K101" s="173"/>
      <c r="L101" s="160"/>
      <c r="M101" s="173"/>
      <c r="N101" s="173"/>
      <c r="O101" s="173"/>
      <c r="P101" s="173"/>
      <c r="Q101" s="160"/>
      <c r="R101" s="161"/>
      <c r="S101" s="173"/>
      <c r="T101" s="173"/>
      <c r="U101" s="160"/>
      <c r="V101" s="173"/>
      <c r="W101" s="173"/>
      <c r="X101" s="160"/>
      <c r="Y101" s="173"/>
      <c r="Z101" s="173"/>
      <c r="AA101" s="173"/>
      <c r="AB101" s="173"/>
      <c r="AC101" s="173"/>
      <c r="AD101" s="160"/>
      <c r="AE101" s="173"/>
      <c r="AF101" s="173"/>
      <c r="AG101" s="173"/>
      <c r="AH101" s="173"/>
      <c r="AI101" s="173"/>
      <c r="AJ101" s="173"/>
      <c r="AK101" s="172"/>
      <c r="AM101" s="174"/>
      <c r="AN101" s="166"/>
      <c r="AO101" s="166"/>
      <c r="AP101" s="166"/>
      <c r="AQ101" s="166"/>
      <c r="AR101" s="166"/>
      <c r="AS101" s="155"/>
      <c r="AT101" s="157"/>
    </row>
    <row r="102" spans="1:46" s="170" customFormat="1" ht="12.75">
      <c r="A102" s="133"/>
      <c r="B102" s="133" t="s">
        <v>0</v>
      </c>
      <c r="C102" s="133"/>
      <c r="D102" s="175"/>
      <c r="E102" s="133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K102" s="133"/>
      <c r="AL102" s="133"/>
      <c r="AM102" s="178"/>
      <c r="AN102" s="133"/>
      <c r="AO102" s="133"/>
      <c r="AP102" s="133"/>
      <c r="AQ102" s="133"/>
      <c r="AR102" s="133"/>
      <c r="AS102" s="133"/>
      <c r="AT102" s="157"/>
    </row>
    <row r="103" spans="1:46" s="170" customFormat="1" ht="12.75">
      <c r="A103" s="133"/>
      <c r="B103" s="133"/>
      <c r="C103" s="133" t="s">
        <v>46</v>
      </c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5"/>
    </row>
    <row r="104" spans="1:46" s="133" customFormat="1" ht="15" customHeight="1">
      <c r="C104" s="133" t="s">
        <v>47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48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49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50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51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52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53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54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25" ht="12.75"/>
    <row r="126" ht="12.75"/>
    <row r="127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:J50 Q45:Q46" name="Range1_1_1_1_2"/>
    <protectedRange password="CC78" sqref="J51" name="Range1_3_1_1_2"/>
    <protectedRange password="CC78" sqref="A72:A74" name="Range1_2_1_1_1"/>
    <protectedRange password="CC78" sqref="A79:A90 B92 A93:A94" name="Range1_1_1_2"/>
    <protectedRange password="CC78" sqref="A79:A90 B92 D91:D92 C79:D90 C93:D94 A93:A94 E79:E94" name="Range1_6_1_1"/>
    <protectedRange password="CC78" sqref="B79:B90 C92 B93:B94" name="Range1_4_1_1"/>
    <protectedRange password="CC78" sqref="J97:J100 Q95:Q96" name="Range1_1_1_1_1_1"/>
    <protectedRange password="CC78" sqref="J101" name="Range1_3_1_1_1_1"/>
    <protectedRange password="CC78" sqref="A35:A44 A14:A33" name="Range1_1_2_1"/>
    <protectedRange password="CC78" sqref="C35:E44 A35:A44 C14:E33 A14:A33" name="Range1_6_2_1"/>
    <protectedRange password="CC78" sqref="B35:B36 B39:B44 B14:B33" name="Range1_4_2_1"/>
    <protectedRange password="CC78" sqref="B37:B38" name="Range1_4_2_2"/>
    <protectedRange password="CC78" sqref="B100 B91" name="Range1"/>
    <protectedRange password="CC78" sqref="B100 B91" name="Range1_3"/>
  </protectedRanges>
  <mergeCells count="351">
    <mergeCell ref="B91:B92"/>
    <mergeCell ref="C91:C92"/>
    <mergeCell ref="A91:A92"/>
    <mergeCell ref="D91:D92"/>
    <mergeCell ref="AK91:AK92"/>
    <mergeCell ref="AL91:AL92"/>
    <mergeCell ref="AM91:AM92"/>
    <mergeCell ref="AN91:AN92"/>
    <mergeCell ref="AO91:AO92"/>
    <mergeCell ref="AP91:AP92"/>
    <mergeCell ref="AQ91:AQ92"/>
    <mergeCell ref="AR91:AR92"/>
    <mergeCell ref="AP89:AP90"/>
    <mergeCell ref="AQ89:AQ90"/>
    <mergeCell ref="AR89:AR90"/>
    <mergeCell ref="AS89:AS90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3:AO94"/>
    <mergeCell ref="AP93:AP94"/>
    <mergeCell ref="AQ93:AQ94"/>
    <mergeCell ref="AR93:AR94"/>
    <mergeCell ref="AS93:AS94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O89:AO90"/>
    <mergeCell ref="AP85:AP86"/>
    <mergeCell ref="AQ85:AQ86"/>
    <mergeCell ref="AR85:AR86"/>
    <mergeCell ref="AS85:AS86"/>
    <mergeCell ref="AP87:AP88"/>
    <mergeCell ref="AQ87:AQ88"/>
    <mergeCell ref="AR87:AR88"/>
    <mergeCell ref="AS87:AS88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O87:AO88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O85:AO86"/>
    <mergeCell ref="AP83:AP84"/>
    <mergeCell ref="AQ83:AQ84"/>
    <mergeCell ref="AR83:AR84"/>
    <mergeCell ref="AS83:AS84"/>
    <mergeCell ref="A81:A82"/>
    <mergeCell ref="B81:B82"/>
    <mergeCell ref="C81:C82"/>
    <mergeCell ref="D81:D82"/>
    <mergeCell ref="AK81:AK82"/>
    <mergeCell ref="AL81:AL82"/>
    <mergeCell ref="AM81:AM82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O83:AO84"/>
    <mergeCell ref="AN81:AN82"/>
    <mergeCell ref="AO81:AO82"/>
    <mergeCell ref="AP81:AP82"/>
    <mergeCell ref="AQ81:AQ82"/>
    <mergeCell ref="AT76:AT77"/>
    <mergeCell ref="A79:A80"/>
    <mergeCell ref="B79:B80"/>
    <mergeCell ref="C79:C80"/>
    <mergeCell ref="D79:D80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S79:AS80"/>
    <mergeCell ref="AR81:AR82"/>
    <mergeCell ref="AS81:AS82"/>
    <mergeCell ref="AM72:AS72"/>
    <mergeCell ref="A76:A77"/>
    <mergeCell ref="B76:B77"/>
    <mergeCell ref="C76:C77"/>
    <mergeCell ref="D76:D77"/>
    <mergeCell ref="E76:E77"/>
    <mergeCell ref="AK76:AM76"/>
    <mergeCell ref="AN76:AN77"/>
    <mergeCell ref="AO76:AO77"/>
    <mergeCell ref="AP76:AP77"/>
    <mergeCell ref="AQ76:AQ77"/>
    <mergeCell ref="AR76:AR77"/>
    <mergeCell ref="AS76:AS77"/>
    <mergeCell ref="A43:A44"/>
    <mergeCell ref="B43:B44"/>
    <mergeCell ref="C43:C44"/>
    <mergeCell ref="D43:D44"/>
    <mergeCell ref="AK43:AK44"/>
    <mergeCell ref="AL43:AL44"/>
    <mergeCell ref="AM43:AM44"/>
    <mergeCell ref="A41:A42"/>
    <mergeCell ref="B41:B42"/>
    <mergeCell ref="C41:C42"/>
    <mergeCell ref="D41:D42"/>
    <mergeCell ref="AK41:AK42"/>
    <mergeCell ref="AL41:AL42"/>
    <mergeCell ref="AM41:AM42"/>
    <mergeCell ref="AK35:AK36"/>
    <mergeCell ref="AL35:AL36"/>
    <mergeCell ref="AM35:AM36"/>
    <mergeCell ref="AN35:AN36"/>
    <mergeCell ref="AO35:AO36"/>
    <mergeCell ref="AP43:AP44"/>
    <mergeCell ref="AQ43:AQ44"/>
    <mergeCell ref="B39:B40"/>
    <mergeCell ref="C39:C40"/>
    <mergeCell ref="D39:D40"/>
    <mergeCell ref="AK39:AK40"/>
    <mergeCell ref="AL39:AL40"/>
    <mergeCell ref="AM39:AM40"/>
    <mergeCell ref="AR43:AR44"/>
    <mergeCell ref="AS43:AS44"/>
    <mergeCell ref="AS39:AS40"/>
    <mergeCell ref="AP41:AP42"/>
    <mergeCell ref="AQ41:AQ42"/>
    <mergeCell ref="AR41:AR42"/>
    <mergeCell ref="AS41:AS42"/>
    <mergeCell ref="AN43:AN44"/>
    <mergeCell ref="AO43:AO44"/>
    <mergeCell ref="AN41:AN42"/>
    <mergeCell ref="AO41:AO42"/>
    <mergeCell ref="AN32:AN33"/>
    <mergeCell ref="AO32:AO33"/>
    <mergeCell ref="AP32:AP33"/>
    <mergeCell ref="AQ32:AQ33"/>
    <mergeCell ref="AR32:AR33"/>
    <mergeCell ref="A32:A33"/>
    <mergeCell ref="AS35:AS36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35:A36"/>
    <mergeCell ref="B35:B36"/>
    <mergeCell ref="C35:C36"/>
    <mergeCell ref="D35:D36"/>
    <mergeCell ref="AS28:AS29"/>
    <mergeCell ref="AM28:AM29"/>
    <mergeCell ref="AN28:AN29"/>
    <mergeCell ref="AO28:AO29"/>
    <mergeCell ref="AP28:AP29"/>
    <mergeCell ref="AQ28:AQ29"/>
    <mergeCell ref="AQ39:AQ40"/>
    <mergeCell ref="AR39:AR40"/>
    <mergeCell ref="A39:A40"/>
    <mergeCell ref="AP30:AP31"/>
    <mergeCell ref="AQ30:AQ31"/>
    <mergeCell ref="AR30:AR31"/>
    <mergeCell ref="AN39:AN40"/>
    <mergeCell ref="AO39:AO40"/>
    <mergeCell ref="AP39:AP40"/>
    <mergeCell ref="AP35:AP36"/>
    <mergeCell ref="AQ35:AQ36"/>
    <mergeCell ref="AR35:AR36"/>
    <mergeCell ref="B32:B33"/>
    <mergeCell ref="C32:C33"/>
    <mergeCell ref="D32:D33"/>
    <mergeCell ref="AK32:AK33"/>
    <mergeCell ref="AL32:AL33"/>
    <mergeCell ref="AM32:AM33"/>
    <mergeCell ref="AS30:AS31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R28:AR29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26:A27"/>
    <mergeCell ref="B26:B27"/>
    <mergeCell ref="C26:C27"/>
    <mergeCell ref="D26:D27"/>
    <mergeCell ref="AK26:AK27"/>
    <mergeCell ref="AL26:AL27"/>
    <mergeCell ref="AM26:AM27"/>
    <mergeCell ref="A28:A29"/>
    <mergeCell ref="B28:B29"/>
    <mergeCell ref="C28:C29"/>
    <mergeCell ref="D28:D29"/>
    <mergeCell ref="AK28:AK29"/>
    <mergeCell ref="AL28:AL29"/>
    <mergeCell ref="AS24:AS25"/>
    <mergeCell ref="AM24:AM25"/>
    <mergeCell ref="AN24:AN25"/>
    <mergeCell ref="AO24:AO25"/>
    <mergeCell ref="AP24:AP25"/>
    <mergeCell ref="AQ24:AQ25"/>
    <mergeCell ref="AR24:AR25"/>
    <mergeCell ref="AP26:AP27"/>
    <mergeCell ref="AQ26:AQ27"/>
    <mergeCell ref="AR26:AR27"/>
    <mergeCell ref="AS26:AS2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N20:AN21"/>
    <mergeCell ref="AO20:AO21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2:AJ103 F5:AJ6 F51:AJ70 F105:AJ118 F9:AJ12 F14:AJ49">
    <cfRule type="expression" dxfId="546" priority="21" stopIfTrue="1">
      <formula>IF(WEEKDAY(F$5)=1,TRUE,FALSE)</formula>
    </cfRule>
  </conditionalFormatting>
  <conditionalFormatting sqref="F5:AJ6 F76:AJ77 F9:AJ12 F79:AJ94">
    <cfRule type="expression" dxfId="545" priority="16" stopIfTrue="1">
      <formula>IF(WEEKDAY(F$5)=1,TRUE,FALSE)</formula>
    </cfRule>
  </conditionalFormatting>
  <conditionalFormatting sqref="K35:P35">
    <cfRule type="expression" dxfId="544" priority="15" stopIfTrue="1">
      <formula>IF(WEEKDAY(K$5)=1,TRUE,FALSE)</formula>
    </cfRule>
  </conditionalFormatting>
  <conditionalFormatting sqref="K37:P37">
    <cfRule type="expression" dxfId="543" priority="14" stopIfTrue="1">
      <formula>IF(WEEKDAY(K$5)=1,TRUE,FALSE)</formula>
    </cfRule>
  </conditionalFormatting>
  <conditionalFormatting sqref="K39:P39">
    <cfRule type="expression" dxfId="542" priority="13" stopIfTrue="1">
      <formula>IF(WEEKDAY(K$5)=1,TRUE,FALSE)</formula>
    </cfRule>
  </conditionalFormatting>
  <conditionalFormatting sqref="K41:P41">
    <cfRule type="expression" dxfId="541" priority="12" stopIfTrue="1">
      <formula>IF(WEEKDAY(K$5)=1,TRUE,FALSE)</formula>
    </cfRule>
  </conditionalFormatting>
  <conditionalFormatting sqref="K43:P43">
    <cfRule type="expression" dxfId="540" priority="11" stopIfTrue="1">
      <formula>IF(WEEKDAY(K$5)=1,TRUE,FALSE)</formula>
    </cfRule>
  </conditionalFormatting>
  <conditionalFormatting sqref="R43:W43">
    <cfRule type="expression" dxfId="539" priority="10" stopIfTrue="1">
      <formula>IF(WEEKDAY(R$5)=1,TRUE,FALSE)</formula>
    </cfRule>
  </conditionalFormatting>
  <conditionalFormatting sqref="R41:W41">
    <cfRule type="expression" dxfId="538" priority="9" stopIfTrue="1">
      <formula>IF(WEEKDAY(R$5)=1,TRUE,FALSE)</formula>
    </cfRule>
  </conditionalFormatting>
  <conditionalFormatting sqref="R39:W39">
    <cfRule type="expression" dxfId="537" priority="8" stopIfTrue="1">
      <formula>IF(WEEKDAY(R$5)=1,TRUE,FALSE)</formula>
    </cfRule>
  </conditionalFormatting>
  <conditionalFormatting sqref="R37:W37">
    <cfRule type="expression" dxfId="536" priority="7" stopIfTrue="1">
      <formula>IF(WEEKDAY(R$5)=1,TRUE,FALSE)</formula>
    </cfRule>
  </conditionalFormatting>
  <conditionalFormatting sqref="R35:W35">
    <cfRule type="expression" dxfId="535" priority="6" stopIfTrue="1">
      <formula>IF(WEEKDAY(R$5)=1,TRUE,FALSE)</formula>
    </cfRule>
  </conditionalFormatting>
  <conditionalFormatting sqref="Y35:AD35">
    <cfRule type="expression" dxfId="534" priority="5" stopIfTrue="1">
      <formula>IF(WEEKDAY(Y$5)=1,TRUE,FALSE)</formula>
    </cfRule>
  </conditionalFormatting>
  <conditionalFormatting sqref="Y37:AD37">
    <cfRule type="expression" dxfId="533" priority="4" stopIfTrue="1">
      <formula>IF(WEEKDAY(Y$5)=1,TRUE,FALSE)</formula>
    </cfRule>
  </conditionalFormatting>
  <conditionalFormatting sqref="Y39:AD39">
    <cfRule type="expression" dxfId="532" priority="3" stopIfTrue="1">
      <formula>IF(WEEKDAY(Y$5)=1,TRUE,FALSE)</formula>
    </cfRule>
  </conditionalFormatting>
  <conditionalFormatting sqref="Y41:AD41">
    <cfRule type="expression" dxfId="531" priority="2" stopIfTrue="1">
      <formula>IF(WEEKDAY(Y$5)=1,TRUE,FALSE)</formula>
    </cfRule>
  </conditionalFormatting>
  <conditionalFormatting sqref="Y43:AD43">
    <cfRule type="expression" dxfId="530" priority="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29" zoomScaleNormal="70" workbookViewId="0">
      <selection activeCell="A43" sqref="A43:E44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259"/>
      <c r="C1" s="259"/>
      <c r="D1" s="493" t="str">
        <f>"BẢNG THANH TOÁN LƯƠNG THÁNG"&amp;" "&amp;TEXT($E$4,"mm")&amp;" / "&amp;TEXT($E$4,"yyyy")</f>
        <v>BẢNG THANH TOÁN LƯƠNG THÁNG 02 / 2017</v>
      </c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4"/>
      <c r="R1" s="495" t="s">
        <v>179</v>
      </c>
      <c r="S1" s="496"/>
      <c r="T1" s="497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259"/>
      <c r="C2" s="259"/>
      <c r="D2" s="259"/>
      <c r="E2" s="71"/>
      <c r="F2" s="259"/>
      <c r="G2" s="259"/>
      <c r="H2" s="259"/>
      <c r="I2" s="259"/>
      <c r="J2" s="72"/>
      <c r="K2" s="259"/>
      <c r="L2" s="259"/>
      <c r="M2" s="259"/>
      <c r="N2" s="259"/>
      <c r="O2" s="259"/>
      <c r="P2" s="259"/>
      <c r="Q2" s="259"/>
      <c r="R2" s="259"/>
      <c r="S2" s="259"/>
      <c r="T2" s="50"/>
      <c r="U2" s="70">
        <v>20</v>
      </c>
      <c r="V2" s="100">
        <v>28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259"/>
      <c r="C3" s="259"/>
      <c r="D3" s="259"/>
      <c r="E3" s="71"/>
      <c r="F3" s="259"/>
      <c r="G3" s="259"/>
      <c r="H3" s="259"/>
      <c r="I3" s="259"/>
      <c r="J3" s="72"/>
      <c r="K3" s="259"/>
      <c r="L3" s="259"/>
      <c r="M3" s="259"/>
      <c r="N3" s="259"/>
      <c r="O3" s="259"/>
      <c r="P3" s="259"/>
      <c r="Q3" s="259"/>
      <c r="R3" s="259"/>
      <c r="S3" s="259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- 02'!$E$4</f>
        <v>42767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98" t="s">
        <v>19</v>
      </c>
      <c r="B5" s="498" t="s">
        <v>20</v>
      </c>
      <c r="C5" s="425" t="s">
        <v>1</v>
      </c>
      <c r="D5" s="425" t="s">
        <v>2</v>
      </c>
      <c r="E5" s="418" t="s">
        <v>56</v>
      </c>
      <c r="F5" s="501" t="s">
        <v>26</v>
      </c>
      <c r="G5" s="502"/>
      <c r="H5" s="502"/>
      <c r="I5" s="502"/>
      <c r="J5" s="502"/>
      <c r="K5" s="503"/>
      <c r="L5" s="500" t="s">
        <v>57</v>
      </c>
      <c r="M5" s="500" t="s">
        <v>5</v>
      </c>
      <c r="N5" s="425" t="s">
        <v>6</v>
      </c>
      <c r="O5" s="425"/>
      <c r="P5" s="425"/>
      <c r="Q5" s="500" t="s">
        <v>7</v>
      </c>
      <c r="R5" s="500" t="s">
        <v>8</v>
      </c>
      <c r="S5" s="500" t="s">
        <v>9</v>
      </c>
      <c r="T5" s="419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99"/>
      <c r="B6" s="499"/>
      <c r="C6" s="425"/>
      <c r="D6" s="425"/>
      <c r="E6" s="418"/>
      <c r="F6" s="501" t="s">
        <v>59</v>
      </c>
      <c r="G6" s="503"/>
      <c r="H6" s="501" t="s">
        <v>189</v>
      </c>
      <c r="I6" s="502"/>
      <c r="J6" s="519" t="s">
        <v>27</v>
      </c>
      <c r="K6" s="500" t="s">
        <v>4</v>
      </c>
      <c r="L6" s="504"/>
      <c r="M6" s="504"/>
      <c r="N6" s="506" t="s">
        <v>12</v>
      </c>
      <c r="O6" s="500" t="s">
        <v>13</v>
      </c>
      <c r="P6" s="500" t="s">
        <v>34</v>
      </c>
      <c r="Q6" s="504"/>
      <c r="R6" s="504"/>
      <c r="S6" s="504"/>
      <c r="T6" s="420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99"/>
      <c r="B7" s="499"/>
      <c r="C7" s="500"/>
      <c r="D7" s="500"/>
      <c r="E7" s="418"/>
      <c r="F7" s="258" t="s">
        <v>40</v>
      </c>
      <c r="G7" s="257" t="s">
        <v>18</v>
      </c>
      <c r="H7" s="258" t="s">
        <v>40</v>
      </c>
      <c r="I7" s="262" t="s">
        <v>18</v>
      </c>
      <c r="J7" s="520"/>
      <c r="K7" s="504"/>
      <c r="L7" s="505"/>
      <c r="M7" s="505"/>
      <c r="N7" s="507"/>
      <c r="O7" s="504"/>
      <c r="P7" s="504"/>
      <c r="Q7" s="504"/>
      <c r="R7" s="504"/>
      <c r="S7" s="504"/>
      <c r="T7" s="420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- 02'!$B$8:$AS$70,36,0)</f>
        <v>20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- 02'!$B$8:$AS$70,36,0)</f>
        <v>20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274"/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8" si="0">VLOOKUP(B13,DS,2,0)</f>
        <v>Huỳnh Thị Hường</v>
      </c>
      <c r="D13" s="103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- 02'!$B$8:$AS$70,36,0)</f>
        <v>20</v>
      </c>
      <c r="G13" s="198">
        <f t="shared" ref="G13:G28" si="3">ROUND(E13/$U$2*F13,0)</f>
        <v>3552000</v>
      </c>
      <c r="H13" s="82">
        <f>(VLOOKUP(B13,'CC - 02'!$B$8:$AS$70,37,0)+VLOOKUP(B13,'CC - 02'!$B$8:$AS$70,38,0))</f>
        <v>0</v>
      </c>
      <c r="I13" s="198">
        <f t="shared" ref="I13:I28" si="4">ROUND(E13/$U$2*H13,0)</f>
        <v>0</v>
      </c>
      <c r="J13" s="199">
        <f t="shared" ref="J13:K18" si="5">F13+H13</f>
        <v>20</v>
      </c>
      <c r="K13" s="36">
        <f t="shared" si="5"/>
        <v>3552000</v>
      </c>
      <c r="L13" s="80">
        <f t="shared" ref="L13:L28" si="6">+F13*15000</f>
        <v>300000</v>
      </c>
      <c r="M13" s="37">
        <f t="shared" ref="M13:M28" si="7">K13+L13</f>
        <v>3852000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5" si="11">M13-SUM(N13:P13)</f>
        <v>3479040</v>
      </c>
      <c r="R13" s="36">
        <f t="shared" ref="R13:R28" si="12">VLOOKUP(B13,DS,23,0)</f>
        <v>0</v>
      </c>
      <c r="S13" s="38">
        <f t="shared" ref="S13:S28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- 02'!$B$8:$AS$70,36,0)</f>
        <v>20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- 02'!$B$8:$AS$70,36,0)</f>
        <v>20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- 02'!$B$8:$AS$70,36,0)</f>
        <v>20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- 02'!$B$8:$AS$70,36,0)</f>
        <v>20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95</v>
      </c>
      <c r="C18" s="79" t="str">
        <f t="shared" si="0"/>
        <v>Sơn Thị Muỗi Tron</v>
      </c>
      <c r="D18" s="103" t="str">
        <f t="shared" si="1"/>
        <v>Công nhân</v>
      </c>
      <c r="E18" s="80">
        <v>3317000</v>
      </c>
      <c r="F18" s="82">
        <f>VLOOKUP(B18,'CC - 02'!$B$8:$AS$70,36,0)</f>
        <v>6</v>
      </c>
      <c r="G18" s="198">
        <f t="shared" si="3"/>
        <v>995100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6</v>
      </c>
      <c r="K18" s="36">
        <f t="shared" si="5"/>
        <v>995100</v>
      </c>
      <c r="L18" s="80">
        <f t="shared" si="6"/>
        <v>90000</v>
      </c>
      <c r="M18" s="37">
        <f t="shared" si="7"/>
        <v>1085100</v>
      </c>
      <c r="N18" s="37">
        <f t="shared" si="8"/>
        <v>0</v>
      </c>
      <c r="O18" s="37">
        <f t="shared" si="9"/>
        <v>0</v>
      </c>
      <c r="P18" s="37">
        <f t="shared" si="10"/>
        <v>0</v>
      </c>
      <c r="Q18" s="36">
        <f t="shared" si="11"/>
        <v>1085100</v>
      </c>
      <c r="R18" s="36">
        <f t="shared" si="12"/>
        <v>0</v>
      </c>
      <c r="S18" s="38">
        <f t="shared" si="13"/>
        <v>1085100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6" t="s">
        <v>101</v>
      </c>
      <c r="C19" s="79" t="str">
        <f t="shared" si="0"/>
        <v>Trần Thị Bích Phượng</v>
      </c>
      <c r="D19" s="103" t="str">
        <f t="shared" si="1"/>
        <v>Công nhân</v>
      </c>
      <c r="E19" s="80">
        <f t="shared" si="2"/>
        <v>3552000</v>
      </c>
      <c r="F19" s="82">
        <f>VLOOKUP(B19,'CC - 02'!$B$8:$AS$70,36,0)</f>
        <v>20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ref="J19:K28" si="14">F19+H19</f>
        <v>20</v>
      </c>
      <c r="K19" s="36">
        <f t="shared" si="14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17" customFormat="1" ht="23.25" customHeight="1">
      <c r="A20" s="301">
        <v>10</v>
      </c>
      <c r="B20" s="302" t="s">
        <v>102</v>
      </c>
      <c r="C20" s="303" t="str">
        <f t="shared" si="0"/>
        <v>Sơn Thị Trường Sa</v>
      </c>
      <c r="D20" s="304" t="str">
        <f t="shared" si="1"/>
        <v>Công nhân</v>
      </c>
      <c r="E20" s="305">
        <f t="shared" si="2"/>
        <v>3552000</v>
      </c>
      <c r="F20" s="306">
        <f>VLOOKUP(B20,'CC - 02'!$B$8:$AS$70,36,0)</f>
        <v>20</v>
      </c>
      <c r="G20" s="307">
        <f t="shared" si="3"/>
        <v>3552000</v>
      </c>
      <c r="H20" s="306">
        <f>(VLOOKUP(B20,'CC - 02'!$B$8:$AS$70,37,0)+VLOOKUP(B20,'CC - 02'!$B$8:$AS$70,38,0))</f>
        <v>0</v>
      </c>
      <c r="I20" s="307">
        <f t="shared" si="4"/>
        <v>0</v>
      </c>
      <c r="J20" s="308">
        <f t="shared" si="14"/>
        <v>20</v>
      </c>
      <c r="K20" s="309">
        <f t="shared" si="14"/>
        <v>3552000</v>
      </c>
      <c r="L20" s="305">
        <f t="shared" si="6"/>
        <v>300000</v>
      </c>
      <c r="M20" s="310">
        <f t="shared" si="7"/>
        <v>3852000</v>
      </c>
      <c r="N20" s="310">
        <f t="shared" si="8"/>
        <v>284160</v>
      </c>
      <c r="O20" s="310">
        <f t="shared" si="9"/>
        <v>53280</v>
      </c>
      <c r="P20" s="310">
        <f t="shared" si="10"/>
        <v>35520</v>
      </c>
      <c r="Q20" s="309">
        <f t="shared" si="11"/>
        <v>3479040</v>
      </c>
      <c r="R20" s="309">
        <f t="shared" si="12"/>
        <v>0</v>
      </c>
      <c r="S20" s="311">
        <f t="shared" si="13"/>
        <v>3479040</v>
      </c>
      <c r="T20" s="309"/>
      <c r="U20" s="312"/>
      <c r="V20" s="313"/>
      <c r="W20" s="314"/>
      <c r="X20" s="315"/>
      <c r="Y20" s="315"/>
      <c r="Z20" s="315"/>
      <c r="AA20" s="316"/>
      <c r="AB20" s="316"/>
      <c r="AC20" s="316"/>
      <c r="AD20" s="316"/>
      <c r="AE20" s="316"/>
    </row>
    <row r="21" spans="1:31" s="33" customFormat="1" ht="23.25" customHeight="1">
      <c r="A21" s="35">
        <v>11</v>
      </c>
      <c r="B21" s="273" t="s">
        <v>88</v>
      </c>
      <c r="C21" s="79" t="str">
        <f t="shared" ref="C21" si="15">VLOOKUP(B21,DS,2,0)</f>
        <v>Huỳnh Thị Bé Tha</v>
      </c>
      <c r="D21" s="103" t="str">
        <f t="shared" ref="D21" si="16">VLOOKUP(B21,DS,3,0)</f>
        <v>Công nhân</v>
      </c>
      <c r="E21" s="80">
        <v>3552000</v>
      </c>
      <c r="F21" s="82">
        <f>VLOOKUP(B21,'CC - 02'!$B$8:$AS$70,36,0)</f>
        <v>20</v>
      </c>
      <c r="G21" s="198">
        <f t="shared" ref="G21" si="17">ROUND(E21/$U$2*F21,0)</f>
        <v>3552000</v>
      </c>
      <c r="H21" s="82">
        <f>(VLOOKUP(B21,'CC - 02'!$B$8:$AS$70,37,0)+VLOOKUP(B21,'CC - 02'!$B$8:$AS$70,38,0))</f>
        <v>0</v>
      </c>
      <c r="I21" s="198">
        <f t="shared" ref="I21" si="18">ROUND(E21/$U$2*H21,0)</f>
        <v>0</v>
      </c>
      <c r="J21" s="199">
        <f t="shared" ref="J21" si="19">F21+H21</f>
        <v>20</v>
      </c>
      <c r="K21" s="36">
        <f t="shared" si="14"/>
        <v>3552000</v>
      </c>
      <c r="L21" s="80">
        <f t="shared" ref="L21" si="20">+F21*15000</f>
        <v>300000</v>
      </c>
      <c r="M21" s="37">
        <f t="shared" ref="M21" si="21">K21+L21</f>
        <v>3852000</v>
      </c>
      <c r="N21" s="37">
        <f t="shared" si="8"/>
        <v>284160</v>
      </c>
      <c r="O21" s="37">
        <f t="shared" ref="O21" si="22">IF(VLOOKUP(B21,DS,10,0)="x",E21*$O$4,0)</f>
        <v>53280</v>
      </c>
      <c r="P21" s="37">
        <f t="shared" ref="P21" si="23">IF(VLOOKUP(B21,DS,10,0)="x",E21*$P$4,0)</f>
        <v>35520</v>
      </c>
      <c r="Q21" s="36">
        <f t="shared" ref="Q21" si="24">M21-SUM(N21:P21)</f>
        <v>3479040</v>
      </c>
      <c r="R21" s="36">
        <f t="shared" ref="R21" si="25">VLOOKUP(B21,DS,23,0)</f>
        <v>0</v>
      </c>
      <c r="S21" s="38">
        <f t="shared" ref="S21" si="26">Q21-R21</f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6" t="s">
        <v>103</v>
      </c>
      <c r="C22" s="79" t="str">
        <f t="shared" si="0"/>
        <v>Lý Thị Sà Kha</v>
      </c>
      <c r="D22" s="103" t="str">
        <f t="shared" si="1"/>
        <v>Công nhân</v>
      </c>
      <c r="E22" s="80">
        <f t="shared" si="2"/>
        <v>3552000</v>
      </c>
      <c r="F22" s="82">
        <f>VLOOKUP(B22,'CC - 02'!$B$8:$AS$70,36,0)</f>
        <v>20</v>
      </c>
      <c r="G22" s="198">
        <f t="shared" si="3"/>
        <v>3552000</v>
      </c>
      <c r="H22" s="82">
        <f>(VLOOKUP(B22,'CC - 02'!$B$8:$AS$70,37,0)+VLOOKUP(B22,'CC - 02'!$B$8:$AS$70,38,0))</f>
        <v>0</v>
      </c>
      <c r="I22" s="198">
        <f t="shared" si="4"/>
        <v>0</v>
      </c>
      <c r="J22" s="199">
        <f t="shared" si="14"/>
        <v>20</v>
      </c>
      <c r="K22" s="36">
        <f t="shared" si="14"/>
        <v>3552000</v>
      </c>
      <c r="L22" s="80">
        <f t="shared" si="6"/>
        <v>300000</v>
      </c>
      <c r="M22" s="37">
        <f t="shared" si="7"/>
        <v>3852000</v>
      </c>
      <c r="N22" s="37">
        <f t="shared" si="8"/>
        <v>284160</v>
      </c>
      <c r="O22" s="37">
        <f t="shared" si="9"/>
        <v>53280</v>
      </c>
      <c r="P22" s="37">
        <f t="shared" si="10"/>
        <v>35520</v>
      </c>
      <c r="Q22" s="36">
        <f t="shared" si="11"/>
        <v>3479040</v>
      </c>
      <c r="R22" s="36">
        <f t="shared" si="12"/>
        <v>0</v>
      </c>
      <c r="S22" s="38">
        <f t="shared" si="13"/>
        <v>3479040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6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- 02'!$B$8:$AS$70,36,0)</f>
        <v>20</v>
      </c>
      <c r="G23" s="198">
        <f t="shared" si="3"/>
        <v>3552000</v>
      </c>
      <c r="H23" s="82">
        <f>(VLOOKUP(B23,'CC - 02'!$B$8:$AS$70,37,0)+VLOOKUP(B23,'CC - 02'!$B$8:$AS$70,38,0))</f>
        <v>0</v>
      </c>
      <c r="I23" s="198">
        <f t="shared" si="4"/>
        <v>0</v>
      </c>
      <c r="J23" s="199">
        <f t="shared" si="14"/>
        <v>20</v>
      </c>
      <c r="K23" s="36">
        <f t="shared" si="14"/>
        <v>3552000</v>
      </c>
      <c r="L23" s="80">
        <f t="shared" si="6"/>
        <v>300000</v>
      </c>
      <c r="M23" s="37">
        <f t="shared" si="7"/>
        <v>3852000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3479040</v>
      </c>
      <c r="R23" s="36">
        <f t="shared" si="12"/>
        <v>0</v>
      </c>
      <c r="S23" s="38">
        <f t="shared" si="13"/>
        <v>3479040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24" customHeight="1">
      <c r="A24" s="35"/>
      <c r="B24" s="275" t="s">
        <v>188</v>
      </c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37"/>
      <c r="O24" s="37"/>
      <c r="P24" s="37"/>
      <c r="Q24" s="274"/>
      <c r="R24" s="274"/>
      <c r="S24" s="274"/>
      <c r="T24" s="274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v>14</v>
      </c>
      <c r="B25" s="234" t="s">
        <v>113</v>
      </c>
      <c r="C25" s="79" t="str">
        <f t="shared" si="0"/>
        <v>Nguyễn Văn Bé Hai</v>
      </c>
      <c r="D25" s="103" t="str">
        <f t="shared" si="1"/>
        <v>Công nhân</v>
      </c>
      <c r="E25" s="80">
        <f t="shared" si="2"/>
        <v>3776000</v>
      </c>
      <c r="F25" s="82">
        <f>VLOOKUP(B25,'CC - 02'!$B$8:$AS$70,36,0)</f>
        <v>20</v>
      </c>
      <c r="G25" s="198">
        <f t="shared" si="3"/>
        <v>3776000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14"/>
        <v>20</v>
      </c>
      <c r="K25" s="36">
        <f t="shared" si="14"/>
        <v>3776000</v>
      </c>
      <c r="L25" s="80">
        <f t="shared" si="6"/>
        <v>300000</v>
      </c>
      <c r="M25" s="37">
        <f t="shared" si="7"/>
        <v>4076000</v>
      </c>
      <c r="N25" s="37">
        <f t="shared" ref="N25:N28" si="27">IF(VLOOKUP(B25,DS,10,0)="x",E25*$N$4,0)</f>
        <v>302080</v>
      </c>
      <c r="O25" s="37">
        <f t="shared" ref="O25:O28" si="28">IF(VLOOKUP(B25,DS,10,0)="x",E25*$O$4,0)</f>
        <v>56640</v>
      </c>
      <c r="P25" s="37">
        <f t="shared" ref="P25:P28" si="29">IF(VLOOKUP(B25,DS,10,0)="x",E25*$P$4,0)</f>
        <v>37760</v>
      </c>
      <c r="Q25" s="36">
        <f t="shared" si="11"/>
        <v>3679520</v>
      </c>
      <c r="R25" s="36">
        <f t="shared" si="12"/>
        <v>0</v>
      </c>
      <c r="S25" s="38">
        <f t="shared" si="13"/>
        <v>3679520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4" t="s">
        <v>118</v>
      </c>
      <c r="C26" s="79" t="str">
        <f t="shared" si="0"/>
        <v>Trần Nhiên</v>
      </c>
      <c r="D26" s="103" t="str">
        <f t="shared" si="1"/>
        <v>Công nhân</v>
      </c>
      <c r="E26" s="80">
        <f t="shared" si="2"/>
        <v>3552000</v>
      </c>
      <c r="F26" s="82">
        <f>VLOOKUP(B26,'CC - 02'!$B$8:$AS$70,36,0)</f>
        <v>20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14"/>
        <v>20</v>
      </c>
      <c r="K26" s="36">
        <f t="shared" si="14"/>
        <v>3552000</v>
      </c>
      <c r="L26" s="80">
        <f t="shared" si="6"/>
        <v>300000</v>
      </c>
      <c r="M26" s="37">
        <f t="shared" si="7"/>
        <v>3852000</v>
      </c>
      <c r="N26" s="37">
        <f t="shared" si="27"/>
        <v>284160</v>
      </c>
      <c r="O26" s="37">
        <f t="shared" si="28"/>
        <v>53280</v>
      </c>
      <c r="P26" s="37">
        <f t="shared" si="29"/>
        <v>35520</v>
      </c>
      <c r="Q26" s="36">
        <f t="shared" ref="Q26:Q28" si="30">M26-SUM(N26:P26)</f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234" t="s">
        <v>119</v>
      </c>
      <c r="C27" s="79" t="str">
        <f t="shared" si="0"/>
        <v>Thạch Giang</v>
      </c>
      <c r="D27" s="103" t="str">
        <f t="shared" si="1"/>
        <v>Công nhân</v>
      </c>
      <c r="E27" s="80">
        <f t="shared" si="2"/>
        <v>3552000</v>
      </c>
      <c r="F27" s="82">
        <f>VLOOKUP(B27,'CC - 02'!$B$8:$AS$70,36,0)</f>
        <v>19</v>
      </c>
      <c r="G27" s="198">
        <f t="shared" si="3"/>
        <v>3374400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14"/>
        <v>19</v>
      </c>
      <c r="K27" s="36">
        <f t="shared" si="14"/>
        <v>3374400</v>
      </c>
      <c r="L27" s="80">
        <f t="shared" si="6"/>
        <v>285000</v>
      </c>
      <c r="M27" s="37">
        <f t="shared" si="7"/>
        <v>3659400</v>
      </c>
      <c r="N27" s="37">
        <f t="shared" si="27"/>
        <v>284160</v>
      </c>
      <c r="O27" s="37">
        <f t="shared" si="28"/>
        <v>53280</v>
      </c>
      <c r="P27" s="37">
        <f t="shared" si="29"/>
        <v>35520</v>
      </c>
      <c r="Q27" s="36">
        <f t="shared" si="30"/>
        <v>3286440</v>
      </c>
      <c r="R27" s="36">
        <f t="shared" si="12"/>
        <v>0</v>
      </c>
      <c r="S27" s="38">
        <f t="shared" si="13"/>
        <v>3286440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37">
        <v>17</v>
      </c>
      <c r="B28" s="234" t="s">
        <v>122</v>
      </c>
      <c r="C28" s="79" t="str">
        <f t="shared" si="0"/>
        <v>Lâm Chanh Đa Ra</v>
      </c>
      <c r="D28" s="103" t="str">
        <f t="shared" si="1"/>
        <v>Công nhân</v>
      </c>
      <c r="E28" s="80">
        <f t="shared" si="2"/>
        <v>3552000</v>
      </c>
      <c r="F28" s="82">
        <f>VLOOKUP(B28,'CC - 02'!$B$8:$AS$70,36,0)</f>
        <v>20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14"/>
        <v>20</v>
      </c>
      <c r="K28" s="36">
        <f t="shared" si="14"/>
        <v>3552000</v>
      </c>
      <c r="L28" s="80">
        <f t="shared" si="6"/>
        <v>300000</v>
      </c>
      <c r="M28" s="37">
        <f t="shared" si="7"/>
        <v>3852000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si="30"/>
        <v>3479040</v>
      </c>
      <c r="R28" s="36">
        <f t="shared" si="12"/>
        <v>0</v>
      </c>
      <c r="S28" s="38">
        <f t="shared" si="13"/>
        <v>3479040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513" t="s">
        <v>25</v>
      </c>
      <c r="B29" s="513"/>
      <c r="C29" s="513"/>
      <c r="D29" s="513"/>
      <c r="E29" s="125">
        <f>SUM(E10:E28)</f>
        <v>61661000</v>
      </c>
      <c r="F29" s="125"/>
      <c r="G29" s="125">
        <f>SUM(G10:G28)</f>
        <v>59161500</v>
      </c>
      <c r="H29" s="125"/>
      <c r="I29" s="125">
        <f>SUM(I10:I28)</f>
        <v>0</v>
      </c>
      <c r="J29" s="25"/>
      <c r="K29" s="25">
        <f>SUM(K10:K28)</f>
        <v>59161500</v>
      </c>
      <c r="L29" s="25">
        <f t="shared" ref="L29:S29" si="31">SUM(L10:L28)</f>
        <v>4875000</v>
      </c>
      <c r="M29" s="25">
        <f t="shared" si="31"/>
        <v>64036500</v>
      </c>
      <c r="N29" s="25">
        <f t="shared" si="31"/>
        <v>4667520</v>
      </c>
      <c r="O29" s="25">
        <f t="shared" si="31"/>
        <v>875160</v>
      </c>
      <c r="P29" s="25">
        <f t="shared" si="31"/>
        <v>583440</v>
      </c>
      <c r="Q29" s="25">
        <f t="shared" si="31"/>
        <v>57910380</v>
      </c>
      <c r="R29" s="25">
        <f t="shared" si="31"/>
        <v>0</v>
      </c>
      <c r="S29" s="25">
        <f t="shared" si="31"/>
        <v>57910380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4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8"/>
      <c r="E31" s="119"/>
      <c r="F31" s="68"/>
      <c r="G31" s="68"/>
      <c r="H31" s="68"/>
      <c r="I31" s="68"/>
      <c r="J31" s="120"/>
      <c r="K31" s="119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28   tháng   02   năm 2017</v>
      </c>
      <c r="T31" s="68"/>
      <c r="U31" s="121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2"/>
      <c r="E32" s="69"/>
      <c r="F32" s="121"/>
      <c r="G32" s="69"/>
      <c r="H32" s="69"/>
      <c r="I32" s="69"/>
      <c r="J32" s="123"/>
      <c r="K32" s="34"/>
      <c r="L32" s="28"/>
      <c r="M32" s="232"/>
      <c r="N32" s="19"/>
      <c r="O32" s="19"/>
      <c r="P32" s="19"/>
      <c r="Q32" s="19"/>
      <c r="S32" s="121" t="s">
        <v>22</v>
      </c>
      <c r="T32" s="121"/>
      <c r="U32" s="121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ht="12">
      <c r="U41" s="94"/>
    </row>
    <row r="42" spans="1:31" s="157" customFormat="1" ht="29.25" customHeight="1">
      <c r="A42" s="124"/>
      <c r="B42" s="260"/>
      <c r="C42" s="260"/>
      <c r="D42" s="514" t="str">
        <f>D1</f>
        <v>BẢNG THANH TOÁN LƯƠNG THÁNG 02 / 2017</v>
      </c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5"/>
      <c r="R42" s="516" t="s">
        <v>112</v>
      </c>
      <c r="S42" s="517"/>
      <c r="T42" s="518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TH!$A$1</f>
        <v>Công ty TNHH Hải sản An Lạc</v>
      </c>
      <c r="B43" s="260"/>
      <c r="C43" s="260"/>
      <c r="D43" s="260"/>
      <c r="E43" s="181"/>
      <c r="F43" s="260"/>
      <c r="G43" s="260"/>
      <c r="H43" s="260"/>
      <c r="I43" s="260"/>
      <c r="J43" s="182"/>
      <c r="K43" s="260"/>
      <c r="L43" s="260"/>
      <c r="M43" s="260"/>
      <c r="N43" s="260"/>
      <c r="O43" s="260"/>
      <c r="P43" s="260"/>
      <c r="Q43" s="260"/>
      <c r="R43" s="260"/>
      <c r="S43" s="260"/>
      <c r="T43" s="135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TH!$A$2</f>
        <v>Địa chỉ: Lô A14, đường 4A, KCN Hải Sơn, Đức Hòa, Long An</v>
      </c>
      <c r="B44" s="260"/>
      <c r="C44" s="260"/>
      <c r="D44" s="260"/>
      <c r="E44" s="181"/>
      <c r="F44" s="260"/>
      <c r="G44" s="260"/>
      <c r="H44" s="260"/>
      <c r="I44" s="260"/>
      <c r="J44" s="182"/>
      <c r="K44" s="260"/>
      <c r="L44" s="260"/>
      <c r="M44" s="260"/>
      <c r="N44" s="260"/>
      <c r="O44" s="260"/>
      <c r="P44" s="260"/>
      <c r="Q44" s="260"/>
      <c r="R44" s="260"/>
      <c r="S44" s="260"/>
      <c r="T44" s="135"/>
      <c r="U44" s="94"/>
      <c r="V44" s="6"/>
      <c r="W44" s="179"/>
      <c r="X44" s="179"/>
      <c r="Y44" s="180"/>
      <c r="Z44" s="180"/>
    </row>
    <row r="45" spans="1:31" s="186" customFormat="1" ht="14.25" customHeight="1">
      <c r="A45" s="18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94"/>
      <c r="V45" s="6"/>
      <c r="W45" s="185"/>
      <c r="X45" s="185"/>
      <c r="Y45" s="185"/>
      <c r="Z45" s="185"/>
    </row>
    <row r="46" spans="1:31" s="188" customFormat="1" ht="24" customHeight="1">
      <c r="A46" s="508" t="s">
        <v>19</v>
      </c>
      <c r="B46" s="508" t="s">
        <v>20</v>
      </c>
      <c r="C46" s="510" t="s">
        <v>1</v>
      </c>
      <c r="D46" s="510" t="s">
        <v>2</v>
      </c>
      <c r="E46" s="512" t="s">
        <v>56</v>
      </c>
      <c r="F46" s="526" t="s">
        <v>26</v>
      </c>
      <c r="G46" s="532"/>
      <c r="H46" s="532"/>
      <c r="I46" s="532"/>
      <c r="J46" s="532"/>
      <c r="K46" s="527"/>
      <c r="L46" s="500" t="s">
        <v>57</v>
      </c>
      <c r="M46" s="500" t="s">
        <v>5</v>
      </c>
      <c r="N46" s="510" t="s">
        <v>6</v>
      </c>
      <c r="O46" s="510"/>
      <c r="P46" s="510"/>
      <c r="Q46" s="511" t="s">
        <v>7</v>
      </c>
      <c r="R46" s="511" t="s">
        <v>8</v>
      </c>
      <c r="S46" s="511" t="s">
        <v>9</v>
      </c>
      <c r="T46" s="524" t="s">
        <v>10</v>
      </c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3.75" customHeight="1">
      <c r="A47" s="509"/>
      <c r="B47" s="509"/>
      <c r="C47" s="510"/>
      <c r="D47" s="510"/>
      <c r="E47" s="512"/>
      <c r="F47" s="526" t="s">
        <v>59</v>
      </c>
      <c r="G47" s="527"/>
      <c r="H47" s="501" t="s">
        <v>189</v>
      </c>
      <c r="I47" s="502"/>
      <c r="J47" s="528" t="s">
        <v>27</v>
      </c>
      <c r="K47" s="511" t="s">
        <v>4</v>
      </c>
      <c r="L47" s="504"/>
      <c r="M47" s="504"/>
      <c r="N47" s="530" t="s">
        <v>12</v>
      </c>
      <c r="O47" s="511" t="s">
        <v>13</v>
      </c>
      <c r="P47" s="511" t="s">
        <v>34</v>
      </c>
      <c r="Q47" s="523"/>
      <c r="R47" s="523"/>
      <c r="S47" s="523"/>
      <c r="T47" s="525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5.25" customHeight="1">
      <c r="A48" s="509"/>
      <c r="B48" s="509"/>
      <c r="C48" s="511"/>
      <c r="D48" s="511"/>
      <c r="E48" s="512"/>
      <c r="F48" s="261" t="s">
        <v>40</v>
      </c>
      <c r="G48" s="262" t="s">
        <v>18</v>
      </c>
      <c r="H48" s="258" t="s">
        <v>40</v>
      </c>
      <c r="I48" s="262" t="s">
        <v>18</v>
      </c>
      <c r="J48" s="529"/>
      <c r="K48" s="523"/>
      <c r="L48" s="505"/>
      <c r="M48" s="505"/>
      <c r="N48" s="531"/>
      <c r="O48" s="523"/>
      <c r="P48" s="523"/>
      <c r="Q48" s="523"/>
      <c r="R48" s="523"/>
      <c r="S48" s="523"/>
      <c r="T48" s="525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93" customFormat="1" ht="12.75" customHeight="1">
      <c r="A49" s="189">
        <v>1</v>
      </c>
      <c r="B49" s="189">
        <v>2</v>
      </c>
      <c r="C49" s="189">
        <v>3</v>
      </c>
      <c r="D49" s="189">
        <v>4</v>
      </c>
      <c r="E49" s="189">
        <v>5</v>
      </c>
      <c r="F49" s="189">
        <v>7</v>
      </c>
      <c r="G49" s="189">
        <v>8</v>
      </c>
      <c r="H49" s="189">
        <v>9</v>
      </c>
      <c r="I49" s="189">
        <v>10</v>
      </c>
      <c r="J49" s="189">
        <v>13</v>
      </c>
      <c r="K49" s="189">
        <v>14</v>
      </c>
      <c r="L49" s="189">
        <v>16</v>
      </c>
      <c r="M49" s="74">
        <v>17</v>
      </c>
      <c r="N49" s="189">
        <v>24</v>
      </c>
      <c r="O49" s="189">
        <v>25</v>
      </c>
      <c r="P49" s="189">
        <v>26</v>
      </c>
      <c r="Q49" s="189">
        <v>29</v>
      </c>
      <c r="R49" s="189">
        <v>30</v>
      </c>
      <c r="S49" s="189">
        <v>31</v>
      </c>
      <c r="T49" s="189">
        <v>32</v>
      </c>
      <c r="U49" s="164"/>
      <c r="V49" s="190"/>
      <c r="W49" s="190"/>
      <c r="X49" s="191"/>
      <c r="Y49" s="191"/>
      <c r="Z49" s="191"/>
      <c r="AA49" s="192"/>
      <c r="AB49" s="192"/>
      <c r="AC49" s="192"/>
      <c r="AD49" s="192"/>
      <c r="AE49" s="192"/>
    </row>
    <row r="50" spans="1:31" s="203" customFormat="1" ht="23.25" customHeight="1">
      <c r="A50" s="194">
        <v>1</v>
      </c>
      <c r="B50" s="194" t="s">
        <v>68</v>
      </c>
      <c r="C50" s="195" t="str">
        <f t="shared" ref="C50:C56" si="32">VLOOKUP(B50,DS,2,0)</f>
        <v>Nguyễn Thiện Duy</v>
      </c>
      <c r="D50" s="196" t="str">
        <f t="shared" ref="D50:D56" si="33">VLOOKUP(B50,DS,3,0)</f>
        <v>Giám đốc</v>
      </c>
      <c r="E50" s="197">
        <f>VLOOKUP(B50,TH!$B$11:$E$56,4,0)</f>
        <v>10851000</v>
      </c>
      <c r="F50" s="82">
        <f>VLOOKUP($B50,'CC - 02'!$B$9:$AR$98,36,0)</f>
        <v>18</v>
      </c>
      <c r="G50" s="198">
        <f t="shared" ref="G50:G56" si="34">ROUND(E50/$U$2*F50,0)</f>
        <v>9765900</v>
      </c>
      <c r="H50" s="82">
        <f>(VLOOKUP($B50,'CC - 02'!$B$9:$AN$97,37,0)+(VLOOKUP($B50,'CC - 02'!$B$9:$AN$97,38,0)))</f>
        <v>0</v>
      </c>
      <c r="I50" s="198">
        <f t="shared" ref="I50:I56" si="35">ROUND(E50/$U$2*H50,0)</f>
        <v>0</v>
      </c>
      <c r="J50" s="199">
        <f t="shared" ref="J50:K56" si="36">F50+H50</f>
        <v>18</v>
      </c>
      <c r="K50" s="36">
        <f t="shared" si="36"/>
        <v>9765900</v>
      </c>
      <c r="L50" s="80">
        <f>+F50*15000</f>
        <v>270000</v>
      </c>
      <c r="M50" s="200">
        <f t="shared" ref="M50:M56" si="37">K50+SUM(L50:L50)</f>
        <v>10035900</v>
      </c>
      <c r="N50" s="37">
        <f t="shared" ref="N50:N56" si="38">IF(VLOOKUP(B50,DS,10,0)="x",E50*$N$4,0)</f>
        <v>868080</v>
      </c>
      <c r="O50" s="37">
        <f t="shared" ref="O50:O56" si="39">IF(VLOOKUP(B50,DS,10,0)="x",E50*$O$4,0)</f>
        <v>162765</v>
      </c>
      <c r="P50" s="37">
        <f t="shared" ref="P50:P56" si="40">IF(VLOOKUP(B50,DS,10,0)="x",E50*$P$4,0)</f>
        <v>108510</v>
      </c>
      <c r="Q50" s="198">
        <f t="shared" ref="Q50:Q56" si="41">M50-SUM(N50:P50)</f>
        <v>8896545</v>
      </c>
      <c r="R50" s="198">
        <f t="shared" ref="R50:R56" si="42">VLOOKUP(B50,DS,23,0)</f>
        <v>0</v>
      </c>
      <c r="S50" s="201">
        <f>Q50-R50</f>
        <v>8896545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2</v>
      </c>
      <c r="B51" s="194" t="s">
        <v>70</v>
      </c>
      <c r="C51" s="195" t="str">
        <f t="shared" si="32"/>
        <v>Nguyễn Văn Sẽ</v>
      </c>
      <c r="D51" s="196" t="str">
        <f t="shared" si="33"/>
        <v>Kỹ Thuật</v>
      </c>
      <c r="E51" s="197">
        <f>VLOOKUP(B51,TH!$B$11:$E$56,4,0)</f>
        <v>4895000</v>
      </c>
      <c r="F51" s="82">
        <f>VLOOKUP($B51,'CC - 02'!$B$9:$AR$98,36,0)</f>
        <v>20</v>
      </c>
      <c r="G51" s="198">
        <f t="shared" si="34"/>
        <v>4895000</v>
      </c>
      <c r="H51" s="82">
        <f>(VLOOKUP($B51,'CC - 02'!$B$9:$AN$97,37,0)+(VLOOKUP($B51,'CC - 02'!$B$9:$AN$97,38,0)))</f>
        <v>0</v>
      </c>
      <c r="I51" s="198">
        <f t="shared" si="35"/>
        <v>0</v>
      </c>
      <c r="J51" s="199">
        <f t="shared" si="36"/>
        <v>20</v>
      </c>
      <c r="K51" s="36">
        <f t="shared" si="36"/>
        <v>4895000</v>
      </c>
      <c r="L51" s="80">
        <f t="shared" ref="L51:L56" si="43">+F51*15000</f>
        <v>300000</v>
      </c>
      <c r="M51" s="200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198">
        <f t="shared" si="41"/>
        <v>4681025</v>
      </c>
      <c r="R51" s="198">
        <f t="shared" si="42"/>
        <v>0</v>
      </c>
      <c r="S51" s="201">
        <f t="shared" ref="S51:S56" si="44">Q51-R51</f>
        <v>4681025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3</v>
      </c>
      <c r="B52" s="194" t="s">
        <v>72</v>
      </c>
      <c r="C52" s="195" t="str">
        <f t="shared" si="32"/>
        <v>Võ Uyên Phương</v>
      </c>
      <c r="D52" s="196" t="str">
        <f t="shared" si="33"/>
        <v>Kế toán</v>
      </c>
      <c r="E52" s="197">
        <f>VLOOKUP(B52,TH!$B$11:$E$56,4,0)</f>
        <v>4895000</v>
      </c>
      <c r="F52" s="82">
        <f>VLOOKUP($B52,'CC - 02'!$B$9:$AR$98,36,0)</f>
        <v>20</v>
      </c>
      <c r="G52" s="198">
        <f t="shared" si="34"/>
        <v>4895000</v>
      </c>
      <c r="H52" s="82">
        <f>(VLOOKUP($B52,'CC - 02'!$B$9:$AN$97,37,0)+(VLOOKUP($B52,'CC - 02'!$B$9:$AN$97,38,0)))</f>
        <v>0</v>
      </c>
      <c r="I52" s="198">
        <f t="shared" si="35"/>
        <v>0</v>
      </c>
      <c r="J52" s="199">
        <f t="shared" si="36"/>
        <v>20</v>
      </c>
      <c r="K52" s="36">
        <f t="shared" si="36"/>
        <v>4895000</v>
      </c>
      <c r="L52" s="80">
        <f t="shared" si="43"/>
        <v>300000</v>
      </c>
      <c r="M52" s="200">
        <f t="shared" si="37"/>
        <v>5195000</v>
      </c>
      <c r="N52" s="37">
        <f t="shared" si="38"/>
        <v>391600</v>
      </c>
      <c r="O52" s="37">
        <f t="shared" si="39"/>
        <v>73425</v>
      </c>
      <c r="P52" s="37">
        <f t="shared" si="40"/>
        <v>48950</v>
      </c>
      <c r="Q52" s="198">
        <f t="shared" si="41"/>
        <v>4681025</v>
      </c>
      <c r="R52" s="198">
        <f t="shared" si="42"/>
        <v>0</v>
      </c>
      <c r="S52" s="201">
        <f t="shared" si="44"/>
        <v>4681025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4</v>
      </c>
      <c r="B53" s="194" t="s">
        <v>75</v>
      </c>
      <c r="C53" s="195" t="str">
        <f t="shared" si="32"/>
        <v>Lê Nguyễn Huy Cường</v>
      </c>
      <c r="D53" s="196" t="str">
        <f t="shared" si="33"/>
        <v>XNK</v>
      </c>
      <c r="E53" s="197">
        <f>VLOOKUP(B53,TH!$B$11:$E$56,4,0)</f>
        <v>4336000</v>
      </c>
      <c r="F53" s="82">
        <f>VLOOKUP($B53,'CC - 02'!$B$9:$AR$98,36,0)</f>
        <v>20</v>
      </c>
      <c r="G53" s="198">
        <f t="shared" si="34"/>
        <v>4336000</v>
      </c>
      <c r="H53" s="82">
        <f>(VLOOKUP($B53,'CC - 02'!$B$9:$AN$97,37,0)+(VLOOKUP($B53,'CC - 02'!$B$9:$AN$97,38,0)))</f>
        <v>0</v>
      </c>
      <c r="I53" s="198">
        <f t="shared" si="35"/>
        <v>0</v>
      </c>
      <c r="J53" s="199">
        <f t="shared" si="36"/>
        <v>20</v>
      </c>
      <c r="K53" s="36">
        <f t="shared" si="36"/>
        <v>4336000</v>
      </c>
      <c r="L53" s="80">
        <f t="shared" si="43"/>
        <v>300000</v>
      </c>
      <c r="M53" s="200">
        <f t="shared" si="37"/>
        <v>4636000</v>
      </c>
      <c r="N53" s="37">
        <f t="shared" si="38"/>
        <v>346880</v>
      </c>
      <c r="O53" s="37">
        <f t="shared" si="39"/>
        <v>65040</v>
      </c>
      <c r="P53" s="37">
        <f t="shared" si="40"/>
        <v>43360</v>
      </c>
      <c r="Q53" s="198">
        <f t="shared" si="41"/>
        <v>4180720</v>
      </c>
      <c r="R53" s="198">
        <f t="shared" si="42"/>
        <v>0</v>
      </c>
      <c r="S53" s="201">
        <f t="shared" si="44"/>
        <v>4180720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5</v>
      </c>
      <c r="B54" s="194" t="s">
        <v>77</v>
      </c>
      <c r="C54" s="195" t="str">
        <f t="shared" si="32"/>
        <v>Nguyễn Văn Bé Tư</v>
      </c>
      <c r="D54" s="196" t="str">
        <f t="shared" si="33"/>
        <v>Tài xế</v>
      </c>
      <c r="E54" s="197">
        <f>VLOOKUP(B54,TH!$B$11:$E$56,4,0)</f>
        <v>3776000</v>
      </c>
      <c r="F54" s="82">
        <f>VLOOKUP($B54,'CC - 02'!$B$9:$AR$98,36,0)</f>
        <v>20</v>
      </c>
      <c r="G54" s="198">
        <f t="shared" si="34"/>
        <v>3776000</v>
      </c>
      <c r="H54" s="82">
        <f>(VLOOKUP($B54,'CC - 02'!$B$9:$AN$97,37,0)+(VLOOKUP($B54,'CC - 02'!$B$9:$AN$97,38,0)))</f>
        <v>0</v>
      </c>
      <c r="I54" s="198">
        <f t="shared" si="35"/>
        <v>0</v>
      </c>
      <c r="J54" s="199">
        <f t="shared" si="36"/>
        <v>20</v>
      </c>
      <c r="K54" s="36">
        <f t="shared" si="36"/>
        <v>3776000</v>
      </c>
      <c r="L54" s="80">
        <f t="shared" si="43"/>
        <v>300000</v>
      </c>
      <c r="M54" s="200">
        <f t="shared" si="37"/>
        <v>4076000</v>
      </c>
      <c r="N54" s="37">
        <f t="shared" si="38"/>
        <v>302080</v>
      </c>
      <c r="O54" s="37">
        <f t="shared" si="39"/>
        <v>56640</v>
      </c>
      <c r="P54" s="37">
        <f t="shared" si="40"/>
        <v>37760</v>
      </c>
      <c r="Q54" s="198">
        <f t="shared" si="41"/>
        <v>3679520</v>
      </c>
      <c r="R54" s="198">
        <f t="shared" si="42"/>
        <v>0</v>
      </c>
      <c r="S54" s="201">
        <f t="shared" si="44"/>
        <v>3679520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6</v>
      </c>
      <c r="B55" s="194" t="s">
        <v>78</v>
      </c>
      <c r="C55" s="195" t="str">
        <f t="shared" si="32"/>
        <v>Dương Thanh Tuấn</v>
      </c>
      <c r="D55" s="196" t="str">
        <f t="shared" si="33"/>
        <v>Nhân sự</v>
      </c>
      <c r="E55" s="197">
        <f>VLOOKUP(B55,TH!$B$11:$E$56,4,0)</f>
        <v>4056000</v>
      </c>
      <c r="F55" s="82">
        <f>VLOOKUP($B55,'CC - 02'!$B$9:$AR$98,36,0)</f>
        <v>20</v>
      </c>
      <c r="G55" s="198">
        <f t="shared" si="34"/>
        <v>4056000</v>
      </c>
      <c r="H55" s="82">
        <f>(VLOOKUP($B55,'CC - 02'!$B$9:$AN$97,37,0)+(VLOOKUP($B55,'CC - 02'!$B$9:$AN$97,38,0)))</f>
        <v>0</v>
      </c>
      <c r="I55" s="198">
        <f t="shared" si="35"/>
        <v>0</v>
      </c>
      <c r="J55" s="199">
        <f t="shared" si="36"/>
        <v>20</v>
      </c>
      <c r="K55" s="36">
        <f t="shared" si="36"/>
        <v>4056000</v>
      </c>
      <c r="L55" s="80">
        <f t="shared" si="43"/>
        <v>300000</v>
      </c>
      <c r="M55" s="200">
        <f t="shared" si="37"/>
        <v>4356000</v>
      </c>
      <c r="N55" s="37">
        <f t="shared" si="38"/>
        <v>324480</v>
      </c>
      <c r="O55" s="37">
        <f t="shared" si="39"/>
        <v>60840</v>
      </c>
      <c r="P55" s="37">
        <f t="shared" si="40"/>
        <v>40560</v>
      </c>
      <c r="Q55" s="198">
        <f t="shared" si="41"/>
        <v>3930120</v>
      </c>
      <c r="R55" s="198">
        <f t="shared" si="42"/>
        <v>0</v>
      </c>
      <c r="S55" s="201">
        <f t="shared" si="44"/>
        <v>3930120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7</v>
      </c>
      <c r="B56" s="194" t="s">
        <v>81</v>
      </c>
      <c r="C56" s="195" t="str">
        <f t="shared" si="32"/>
        <v>Nguyễn Thiện Duyệt</v>
      </c>
      <c r="D56" s="196" t="str">
        <f t="shared" si="33"/>
        <v>XNK</v>
      </c>
      <c r="E56" s="197">
        <f>VLOOKUP(B56,TH!$B$11:$E$56,4,0)</f>
        <v>4840000</v>
      </c>
      <c r="F56" s="82">
        <f>VLOOKUP($B56,'CC - 02'!$B$9:$AR$98,36,0)</f>
        <v>20</v>
      </c>
      <c r="G56" s="198">
        <f t="shared" si="34"/>
        <v>4840000</v>
      </c>
      <c r="H56" s="82">
        <f>(VLOOKUP($B56,'CC - 02'!$B$9:$AN$97,37,0)+(VLOOKUP($B56,'CC - 02'!$B$9:$AN$97,38,0)))</f>
        <v>0</v>
      </c>
      <c r="I56" s="198">
        <f t="shared" si="35"/>
        <v>0</v>
      </c>
      <c r="J56" s="199">
        <f t="shared" si="36"/>
        <v>20</v>
      </c>
      <c r="K56" s="36">
        <f t="shared" si="36"/>
        <v>4840000</v>
      </c>
      <c r="L56" s="80">
        <f t="shared" si="43"/>
        <v>300000</v>
      </c>
      <c r="M56" s="200">
        <f t="shared" si="37"/>
        <v>5140000</v>
      </c>
      <c r="N56" s="37">
        <f t="shared" si="38"/>
        <v>387200</v>
      </c>
      <c r="O56" s="37">
        <f t="shared" si="39"/>
        <v>72600</v>
      </c>
      <c r="P56" s="37">
        <f t="shared" si="40"/>
        <v>48400</v>
      </c>
      <c r="Q56" s="198">
        <f t="shared" si="41"/>
        <v>4631800</v>
      </c>
      <c r="R56" s="198">
        <f t="shared" si="42"/>
        <v>0</v>
      </c>
      <c r="S56" s="201">
        <f t="shared" si="44"/>
        <v>4631800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2.5" customHeight="1">
      <c r="A57" s="204">
        <v>8</v>
      </c>
      <c r="B57" s="194" t="s">
        <v>192</v>
      </c>
      <c r="C57" s="195" t="str">
        <f t="shared" ref="C57" si="45">VLOOKUP(B57,DS,2,0)</f>
        <v>Trần Đình Thái</v>
      </c>
      <c r="D57" s="196" t="str">
        <f t="shared" ref="D57" si="46">VLOOKUP(B57,DS,3,0)</f>
        <v>Cơ Điện</v>
      </c>
      <c r="E57" s="197">
        <f>VLOOKUP(B57,TH!$B$11:$E$56,4,0)</f>
        <v>3568000</v>
      </c>
      <c r="F57" s="82">
        <f>VLOOKUP($B57,'CC - 02'!$B$9:$AR$98,36,0)</f>
        <v>3</v>
      </c>
      <c r="G57" s="198">
        <f t="shared" ref="G57" si="47">ROUND(E57/$U$2*F57,0)</f>
        <v>535200</v>
      </c>
      <c r="H57" s="82">
        <f>(VLOOKUP($B57,'CC - 02'!$B$9:$AN$97,37,0)+(VLOOKUP($B57,'CC - 02'!$B$9:$AN$97,38,0)))</f>
        <v>0</v>
      </c>
      <c r="I57" s="198">
        <f t="shared" ref="I57" si="48">ROUND(E57/$U$2*H57,0)</f>
        <v>0</v>
      </c>
      <c r="J57" s="199">
        <f t="shared" ref="J57" si="49">F57+H57</f>
        <v>3</v>
      </c>
      <c r="K57" s="36">
        <f t="shared" ref="K57" si="50">G57+I57</f>
        <v>535200</v>
      </c>
      <c r="L57" s="80">
        <f t="shared" ref="L57" si="51">+F57*15000</f>
        <v>45000</v>
      </c>
      <c r="M57" s="200">
        <f t="shared" ref="M57" si="52">K57+SUM(L57:L57)</f>
        <v>580200</v>
      </c>
      <c r="N57" s="37"/>
      <c r="O57" s="37"/>
      <c r="P57" s="37"/>
      <c r="Q57" s="198">
        <f t="shared" ref="Q57" si="53">M57-SUM(N57:P57)</f>
        <v>580200</v>
      </c>
      <c r="R57" s="198">
        <f t="shared" ref="R57" si="54">VLOOKUP(B57,DS,23,0)</f>
        <v>0</v>
      </c>
      <c r="S57" s="201">
        <f t="shared" ref="S57" si="55">Q57-R57</f>
        <v>580200</v>
      </c>
      <c r="T57" s="198"/>
      <c r="U57" s="164"/>
      <c r="V57" s="202"/>
      <c r="W57" s="202"/>
      <c r="X57" s="202"/>
      <c r="Y57" s="202"/>
      <c r="Z57" s="202"/>
    </row>
    <row r="58" spans="1:31" s="208" customFormat="1" ht="21" customHeight="1">
      <c r="A58" s="521" t="s">
        <v>25</v>
      </c>
      <c r="B58" s="522"/>
      <c r="C58" s="522"/>
      <c r="D58" s="522"/>
      <c r="E58" s="205">
        <f>SUM(E50:E57)</f>
        <v>41217000</v>
      </c>
      <c r="F58" s="205"/>
      <c r="G58" s="205">
        <f t="shared" ref="G58:S58" si="56">SUM(G50:G57)</f>
        <v>37099100</v>
      </c>
      <c r="H58" s="205">
        <f t="shared" si="56"/>
        <v>0</v>
      </c>
      <c r="I58" s="205">
        <f t="shared" si="56"/>
        <v>0</v>
      </c>
      <c r="J58" s="205">
        <f t="shared" si="56"/>
        <v>141</v>
      </c>
      <c r="K58" s="206">
        <f t="shared" si="56"/>
        <v>37099100</v>
      </c>
      <c r="L58" s="206">
        <f t="shared" si="56"/>
        <v>2115000</v>
      </c>
      <c r="M58" s="206">
        <f t="shared" si="56"/>
        <v>39214100</v>
      </c>
      <c r="N58" s="206">
        <f t="shared" si="56"/>
        <v>3011920</v>
      </c>
      <c r="O58" s="206">
        <f t="shared" si="56"/>
        <v>564735</v>
      </c>
      <c r="P58" s="206">
        <f t="shared" si="56"/>
        <v>376490</v>
      </c>
      <c r="Q58" s="206">
        <f t="shared" si="56"/>
        <v>35260955</v>
      </c>
      <c r="R58" s="206">
        <f t="shared" si="56"/>
        <v>0</v>
      </c>
      <c r="S58" s="206">
        <f t="shared" si="56"/>
        <v>35260955</v>
      </c>
      <c r="T58" s="206"/>
      <c r="U58" s="164"/>
      <c r="V58" s="207"/>
      <c r="W58" s="207"/>
      <c r="X58" s="207"/>
      <c r="Y58" s="207"/>
      <c r="Z58" s="207"/>
    </row>
    <row r="59" spans="1:31" s="216" customFormat="1" ht="13.5" customHeight="1">
      <c r="A59" s="209"/>
      <c r="B59" s="209"/>
      <c r="C59" s="210"/>
      <c r="D59" s="211"/>
      <c r="E59" s="212"/>
      <c r="F59" s="210"/>
      <c r="G59" s="210"/>
      <c r="H59" s="210"/>
      <c r="I59" s="210"/>
      <c r="J59" s="213"/>
      <c r="K59" s="210"/>
      <c r="L59" s="210"/>
      <c r="M59" s="214"/>
      <c r="N59" s="210"/>
      <c r="O59" s="210"/>
      <c r="P59" s="210"/>
      <c r="Q59" s="210"/>
      <c r="R59" s="210"/>
      <c r="S59" s="210"/>
      <c r="T59" s="210"/>
      <c r="U59" s="164"/>
      <c r="V59" s="215"/>
      <c r="W59" s="215"/>
      <c r="X59" s="215"/>
      <c r="Y59" s="215"/>
      <c r="Z59" s="215"/>
    </row>
    <row r="60" spans="1:31" s="203" customFormat="1" ht="17.25" customHeight="1">
      <c r="A60" s="217"/>
      <c r="B60" s="217"/>
      <c r="C60" s="217"/>
      <c r="D60" s="218"/>
      <c r="E60" s="219">
        <f>E58+E29</f>
        <v>102878000</v>
      </c>
      <c r="F60" s="217"/>
      <c r="G60" s="217"/>
      <c r="H60" s="217"/>
      <c r="I60" s="217"/>
      <c r="J60" s="220"/>
      <c r="K60" s="219"/>
      <c r="L60" s="217"/>
      <c r="M60" s="217"/>
      <c r="N60" s="217"/>
      <c r="O60" s="217"/>
      <c r="P60" s="217"/>
      <c r="Q60" s="217"/>
      <c r="R60" s="217"/>
      <c r="S60" s="221" t="str">
        <f>$S$31</f>
        <v>Long An, ngày  28   tháng   02   năm 2017</v>
      </c>
      <c r="T60" s="217"/>
      <c r="U60" s="222"/>
      <c r="V60" s="202"/>
      <c r="W60" s="202"/>
      <c r="X60" s="202"/>
      <c r="Y60" s="202"/>
      <c r="Z60" s="202"/>
    </row>
    <row r="61" spans="1:31" s="203" customFormat="1" ht="12.75">
      <c r="A61" s="223"/>
      <c r="B61" s="223"/>
      <c r="C61" s="222" t="s">
        <v>60</v>
      </c>
      <c r="D61" s="224"/>
      <c r="E61" s="183"/>
      <c r="F61" s="222"/>
      <c r="G61" s="183"/>
      <c r="H61" s="183"/>
      <c r="I61" s="183"/>
      <c r="J61" s="225"/>
      <c r="K61" s="202"/>
      <c r="L61" s="226"/>
      <c r="M61" s="233"/>
      <c r="N61" s="227"/>
      <c r="O61" s="227"/>
      <c r="P61" s="227"/>
      <c r="Q61" s="227"/>
      <c r="S61" s="227" t="s">
        <v>22</v>
      </c>
      <c r="T61" s="222"/>
      <c r="U61" s="222"/>
      <c r="V61" s="202"/>
      <c r="W61" s="202"/>
      <c r="X61" s="202"/>
      <c r="Y61" s="202"/>
      <c r="Z61" s="202"/>
    </row>
    <row r="62" spans="1:31" s="216" customFormat="1" ht="12">
      <c r="A62" s="209"/>
      <c r="B62" s="209"/>
      <c r="C62" s="228"/>
      <c r="D62" s="228"/>
      <c r="E62" s="229"/>
      <c r="F62" s="167"/>
      <c r="G62" s="229"/>
      <c r="H62" s="229"/>
      <c r="I62" s="229"/>
      <c r="J62" s="213"/>
      <c r="K62" s="215"/>
      <c r="L62" s="230"/>
      <c r="N62" s="231"/>
      <c r="O62" s="231"/>
      <c r="P62" s="231"/>
      <c r="Q62" s="231"/>
      <c r="S62" s="231"/>
      <c r="T62" s="167"/>
      <c r="U62" s="164"/>
      <c r="V62" s="215"/>
      <c r="W62" s="215"/>
      <c r="X62" s="215"/>
      <c r="Y62" s="215"/>
      <c r="Z62" s="215"/>
    </row>
    <row r="64" spans="1:31">
      <c r="F64" s="280"/>
    </row>
  </sheetData>
  <protectedRanges>
    <protectedRange password="CC78" sqref="V29:IK29 A10:B11 C5:D7 B32:C32 V5:W9 A29:A33 B29:B31 B33 A63:A93 V12:W12 Q5:T7 AF5:IK12 V24:W24 E5:I6 N5:P6 L5 Q10:S11 L48 L32 J6:K7 L7 L46 AF24:IK24 A35:A41 W35:IK41 W10:W11 C63:IK93 D29:T29 A94:IK65361 C35:T41 B35:B49 V35:V45 H47:I47 B52:B93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8 C46:D48 B61:C61 V46:W49 B62 N46:P47 Q46:T48 E46:I46 AF46:IK56 D58:T58 J47:K48 L61 W50:W56 A52:B55 E47:G47 A50:A51 Q50:S57 B56:B60 A56:A62" name="Range1_3"/>
    <protectedRange password="CC78" sqref="F48:G48" name="Range1_4_2"/>
    <protectedRange password="CC78" sqref="V61:IK62 N61:Q62 S61:T62 E61:I62" name="Range1_1_1_1"/>
    <protectedRange password="CC78" sqref="W42:IK45 U46:U62 X46:AE56 B45:T45 B42:Q44 R43:S44" name="Range1_2_2"/>
    <protectedRange password="CC78" sqref="V50:V56" name="Range1_1_2"/>
    <protectedRange password="CC78" sqref="A42" name="Range1_2_1_1_1"/>
    <protectedRange password="CC78" sqref="I48" name="Range1_4_1_1"/>
    <protectedRange password="CC78" sqref="AF25:IK28 W25:W28 B19:B20 B25:B28 B22:B23 AF13:IK23 W13:W23 A13:B18 Q13:S23 Q25:S28 A19:A28" name="Range1_5"/>
    <protectedRange password="CC78" sqref="X25:AE28 U25:U28 X13:AE23 U13:U23" name="Range1_2_3"/>
    <protectedRange password="CC78" sqref="V25:V28 V13:V23" name="Range1_1_3"/>
    <protectedRange password="CC78" sqref="K10:K11 K50:K57 K13:K23 K25:K28" name="Range1_6"/>
    <protectedRange password="CC78" sqref="A2:A3 A43:A44" name="Range1_2_1_3"/>
    <protectedRange password="CC78" sqref="B21" name="Range1_7"/>
  </protectedRanges>
  <autoFilter ref="A7:AE28"/>
  <mergeCells count="46">
    <mergeCell ref="A58:D58"/>
    <mergeCell ref="S46:S48"/>
    <mergeCell ref="T46:T48"/>
    <mergeCell ref="F47:G47"/>
    <mergeCell ref="H47:I47"/>
    <mergeCell ref="J47:J48"/>
    <mergeCell ref="K47:K48"/>
    <mergeCell ref="N47:N48"/>
    <mergeCell ref="O47:O48"/>
    <mergeCell ref="P47:P48"/>
    <mergeCell ref="F46:K46"/>
    <mergeCell ref="L46:L48"/>
    <mergeCell ref="M46:M48"/>
    <mergeCell ref="N46:P46"/>
    <mergeCell ref="Q46:Q48"/>
    <mergeCell ref="R46:R48"/>
    <mergeCell ref="O6:O7"/>
    <mergeCell ref="P6:P7"/>
    <mergeCell ref="A29:D29"/>
    <mergeCell ref="D42:Q42"/>
    <mergeCell ref="R42:T42"/>
    <mergeCell ref="F6:G6"/>
    <mergeCell ref="H6:I6"/>
    <mergeCell ref="J6:J7"/>
    <mergeCell ref="K6:K7"/>
    <mergeCell ref="A46:A48"/>
    <mergeCell ref="B46:B48"/>
    <mergeCell ref="C46:C48"/>
    <mergeCell ref="D46:D48"/>
    <mergeCell ref="E46:E48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6"/>
  <sheetViews>
    <sheetView zoomScaleNormal="115" workbookViewId="0">
      <pane xSplit="3" ySplit="6" topLeftCell="D25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36" sqref="E3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39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03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50" t="s">
        <v>180</v>
      </c>
      <c r="AN1" s="451"/>
      <c r="AO1" s="451"/>
      <c r="AP1" s="451"/>
      <c r="AQ1" s="451"/>
      <c r="AR1" s="451"/>
      <c r="AS1" s="452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42795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53" t="s">
        <v>28</v>
      </c>
      <c r="B5" s="453" t="s">
        <v>3</v>
      </c>
      <c r="C5" s="453" t="s">
        <v>1</v>
      </c>
      <c r="D5" s="455" t="s">
        <v>29</v>
      </c>
      <c r="E5" s="453" t="s">
        <v>30</v>
      </c>
      <c r="F5" s="105">
        <f>+E4</f>
        <v>42795</v>
      </c>
      <c r="G5" s="105">
        <f t="shared" ref="G5:AG5" si="0">F5+1</f>
        <v>42796</v>
      </c>
      <c r="H5" s="105">
        <f t="shared" si="0"/>
        <v>42797</v>
      </c>
      <c r="I5" s="105">
        <f t="shared" si="0"/>
        <v>42798</v>
      </c>
      <c r="J5" s="105">
        <f t="shared" si="0"/>
        <v>42799</v>
      </c>
      <c r="K5" s="105">
        <f t="shared" si="0"/>
        <v>42800</v>
      </c>
      <c r="L5" s="105">
        <f t="shared" si="0"/>
        <v>42801</v>
      </c>
      <c r="M5" s="105">
        <f t="shared" si="0"/>
        <v>42802</v>
      </c>
      <c r="N5" s="105">
        <f t="shared" si="0"/>
        <v>42803</v>
      </c>
      <c r="O5" s="105">
        <f t="shared" si="0"/>
        <v>42804</v>
      </c>
      <c r="P5" s="105">
        <f t="shared" si="0"/>
        <v>42805</v>
      </c>
      <c r="Q5" s="105">
        <f t="shared" si="0"/>
        <v>42806</v>
      </c>
      <c r="R5" s="105">
        <f t="shared" si="0"/>
        <v>42807</v>
      </c>
      <c r="S5" s="105">
        <f t="shared" si="0"/>
        <v>42808</v>
      </c>
      <c r="T5" s="105">
        <f t="shared" si="0"/>
        <v>42809</v>
      </c>
      <c r="U5" s="105">
        <f t="shared" si="0"/>
        <v>42810</v>
      </c>
      <c r="V5" s="105">
        <f t="shared" si="0"/>
        <v>42811</v>
      </c>
      <c r="W5" s="105">
        <f t="shared" si="0"/>
        <v>42812</v>
      </c>
      <c r="X5" s="105">
        <f t="shared" si="0"/>
        <v>42813</v>
      </c>
      <c r="Y5" s="105">
        <f t="shared" si="0"/>
        <v>42814</v>
      </c>
      <c r="Z5" s="105">
        <f t="shared" si="0"/>
        <v>42815</v>
      </c>
      <c r="AA5" s="105">
        <f t="shared" si="0"/>
        <v>42816</v>
      </c>
      <c r="AB5" s="105">
        <f t="shared" si="0"/>
        <v>42817</v>
      </c>
      <c r="AC5" s="105">
        <f t="shared" si="0"/>
        <v>42818</v>
      </c>
      <c r="AD5" s="105">
        <f t="shared" si="0"/>
        <v>42819</v>
      </c>
      <c r="AE5" s="105">
        <f t="shared" si="0"/>
        <v>42820</v>
      </c>
      <c r="AF5" s="105">
        <f t="shared" si="0"/>
        <v>42821</v>
      </c>
      <c r="AG5" s="105">
        <f t="shared" si="0"/>
        <v>42822</v>
      </c>
      <c r="AH5" s="105">
        <f>AG5+1</f>
        <v>42823</v>
      </c>
      <c r="AI5" s="105">
        <f>AH5+1</f>
        <v>42824</v>
      </c>
      <c r="AJ5" s="105">
        <v>31</v>
      </c>
      <c r="AK5" s="456" t="s">
        <v>15</v>
      </c>
      <c r="AL5" s="457"/>
      <c r="AM5" s="458"/>
      <c r="AN5" s="459" t="s">
        <v>45</v>
      </c>
      <c r="AO5" s="459" t="s">
        <v>41</v>
      </c>
      <c r="AP5" s="459" t="s">
        <v>42</v>
      </c>
      <c r="AQ5" s="459" t="s">
        <v>43</v>
      </c>
      <c r="AR5" s="459" t="s">
        <v>44</v>
      </c>
      <c r="AS5" s="455" t="s">
        <v>0</v>
      </c>
      <c r="AT5" s="4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54"/>
      <c r="B6" s="454"/>
      <c r="C6" s="454"/>
      <c r="D6" s="454"/>
      <c r="E6" s="454"/>
      <c r="F6" s="263" t="str">
        <f>CHOOSE(WEEKDAY(F5),"C.Nhật","T.Hai","T.Ba","T.Tư","T.Năm","T.Sáu","T.Bảy")</f>
        <v>T.Tư</v>
      </c>
      <c r="G6" s="263" t="str">
        <f t="shared" ref="G6:AI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60"/>
      <c r="AO6" s="460"/>
      <c r="AP6" s="460"/>
      <c r="AQ6" s="460"/>
      <c r="AR6" s="460"/>
      <c r="AS6" s="454"/>
      <c r="AT6" s="4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4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33">
        <v>1</v>
      </c>
      <c r="B9" s="533" t="s">
        <v>61</v>
      </c>
      <c r="C9" s="472" t="str">
        <f>VLOOKUP(B9,DS,2,0)</f>
        <v>Mai Út Hiền</v>
      </c>
      <c r="D9" s="474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>
        <v>8</v>
      </c>
      <c r="AI9" s="153">
        <v>8</v>
      </c>
      <c r="AJ9" s="153">
        <v>8</v>
      </c>
      <c r="AK9" s="444">
        <f>((SUM(F9:AJ9))/8)-(SUMIF($F$6:$AJ$6,"C.Nhật",F9:AJ9)/8)</f>
        <v>27</v>
      </c>
      <c r="AL9" s="444">
        <f>SUM(F10:AI10)/8*1.5</f>
        <v>0</v>
      </c>
      <c r="AM9" s="446">
        <f>SUMIF($F$6:$AI$6,"C.Nhật",$F9:$AI10)/8*2</f>
        <v>0</v>
      </c>
      <c r="AN9" s="435">
        <f>SUM(AK9:AM10)</f>
        <v>27</v>
      </c>
      <c r="AO9" s="448">
        <v>0</v>
      </c>
      <c r="AP9" s="435"/>
      <c r="AQ9" s="435"/>
      <c r="AR9" s="435"/>
      <c r="AS9" s="437"/>
      <c r="AT9" s="34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534"/>
      <c r="B10" s="534"/>
      <c r="C10" s="473"/>
      <c r="D10" s="475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45"/>
      <c r="AL10" s="445"/>
      <c r="AM10" s="447"/>
      <c r="AN10" s="436"/>
      <c r="AO10" s="449"/>
      <c r="AP10" s="436"/>
      <c r="AQ10" s="436"/>
      <c r="AR10" s="436"/>
      <c r="AS10" s="438"/>
      <c r="AT10" s="34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533">
        <f>A9+1</f>
        <v>2</v>
      </c>
      <c r="B11" s="533" t="s">
        <v>62</v>
      </c>
      <c r="C11" s="472" t="str">
        <f>VLOOKUP(B11,DS,2,0)</f>
        <v>Nguyễn Thị Xuân Thảo</v>
      </c>
      <c r="D11" s="474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>
        <v>8</v>
      </c>
      <c r="AI11" s="153">
        <v>8</v>
      </c>
      <c r="AJ11" s="153">
        <v>8</v>
      </c>
      <c r="AK11" s="444">
        <f>((SUM(F11:AJ11))/8)-(SUMIF($F$6:$AJ$6,"C.Nhật",F11:AJ11)/8)</f>
        <v>27</v>
      </c>
      <c r="AL11" s="444">
        <f>SUM(F12:AI12)/8*1.5</f>
        <v>0</v>
      </c>
      <c r="AM11" s="446">
        <f>SUMIF($F$6:$AI$6,"C.Nhật",$F11:$AI12)/8*2</f>
        <v>0</v>
      </c>
      <c r="AN11" s="435">
        <f>SUM(AK11:AM12)</f>
        <v>27</v>
      </c>
      <c r="AO11" s="448">
        <v>0</v>
      </c>
      <c r="AP11" s="435"/>
      <c r="AQ11" s="435"/>
      <c r="AR11" s="435"/>
      <c r="AS11" s="437"/>
      <c r="AT11" s="34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534"/>
      <c r="B12" s="534"/>
      <c r="C12" s="473"/>
      <c r="D12" s="475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45"/>
      <c r="AL12" s="445"/>
      <c r="AM12" s="447"/>
      <c r="AN12" s="436"/>
      <c r="AO12" s="449"/>
      <c r="AP12" s="436"/>
      <c r="AQ12" s="436"/>
      <c r="AR12" s="436"/>
      <c r="AS12" s="438"/>
      <c r="AT12" s="34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33">
        <v>3</v>
      </c>
      <c r="B14" s="533" t="s">
        <v>85</v>
      </c>
      <c r="C14" s="472" t="str">
        <f>VLOOKUP(B14,DS,2,0)</f>
        <v>Huỳnh Thị Hường</v>
      </c>
      <c r="D14" s="474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>
        <v>8</v>
      </c>
      <c r="AI14" s="153">
        <v>8</v>
      </c>
      <c r="AJ14" s="153">
        <v>8</v>
      </c>
      <c r="AK14" s="444">
        <f>((SUM(F14:AJ14))/8)-(SUMIF($F$6:$AJ$6,"C.Nhật",F14:AJ14)/8)</f>
        <v>27</v>
      </c>
      <c r="AL14" s="444">
        <f>SUM(F15:AI15)/8*1.5</f>
        <v>0</v>
      </c>
      <c r="AM14" s="446">
        <f>SUMIF($F$6:$AI$6,"C.Nhật",$F14:$AI15)/8*2</f>
        <v>0</v>
      </c>
      <c r="AN14" s="435">
        <f>SUM(AK14:AM15)</f>
        <v>27</v>
      </c>
      <c r="AO14" s="448">
        <v>0</v>
      </c>
      <c r="AP14" s="435"/>
      <c r="AQ14" s="435"/>
      <c r="AR14" s="435"/>
      <c r="AS14" s="437"/>
      <c r="AT14" s="34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34"/>
      <c r="B15" s="534"/>
      <c r="C15" s="473"/>
      <c r="D15" s="475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45"/>
      <c r="AL15" s="445"/>
      <c r="AM15" s="447"/>
      <c r="AN15" s="436"/>
      <c r="AO15" s="449"/>
      <c r="AP15" s="436"/>
      <c r="AQ15" s="436"/>
      <c r="AR15" s="436"/>
      <c r="AS15" s="438"/>
      <c r="AT15" s="34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533">
        <f>A14+1</f>
        <v>4</v>
      </c>
      <c r="B16" s="533" t="s">
        <v>86</v>
      </c>
      <c r="C16" s="472" t="str">
        <f>VLOOKUP(B16,DS,2,0)</f>
        <v>Nguyễn Thị Rong</v>
      </c>
      <c r="D16" s="474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>
        <v>8</v>
      </c>
      <c r="AI16" s="153">
        <v>8</v>
      </c>
      <c r="AJ16" s="153">
        <v>8</v>
      </c>
      <c r="AK16" s="444">
        <f>((SUM(F16:AJ16))/8)-(SUMIF($F$6:$AJ$6,"C.Nhật",F16:AJ16)/8)</f>
        <v>27</v>
      </c>
      <c r="AL16" s="444">
        <f>SUM(F17:AI17)/8*1.5</f>
        <v>0</v>
      </c>
      <c r="AM16" s="446">
        <f>SUMIF($F$6:$AI$6,"C.Nhật",$F16:$AI17)/8*2</f>
        <v>0</v>
      </c>
      <c r="AN16" s="435">
        <f>SUM(AK16:AM17)</f>
        <v>27</v>
      </c>
      <c r="AO16" s="448">
        <v>0</v>
      </c>
      <c r="AP16" s="435"/>
      <c r="AQ16" s="435"/>
      <c r="AR16" s="435"/>
      <c r="AS16" s="437"/>
      <c r="AT16" s="34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34"/>
      <c r="B17" s="534"/>
      <c r="C17" s="473"/>
      <c r="D17" s="475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45"/>
      <c r="AL17" s="445"/>
      <c r="AM17" s="447"/>
      <c r="AN17" s="436"/>
      <c r="AO17" s="449"/>
      <c r="AP17" s="436"/>
      <c r="AQ17" s="436"/>
      <c r="AR17" s="436"/>
      <c r="AS17" s="438"/>
      <c r="AT17" s="34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33">
        <f t="shared" ref="A18" si="2">A16+1</f>
        <v>5</v>
      </c>
      <c r="B18" s="533" t="s">
        <v>87</v>
      </c>
      <c r="C18" s="472" t="str">
        <f>VLOOKUP(B18,DS,2,0)</f>
        <v>Sơn Thị Nil</v>
      </c>
      <c r="D18" s="474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>
        <v>8</v>
      </c>
      <c r="AI18" s="153">
        <v>8</v>
      </c>
      <c r="AJ18" s="153">
        <v>8</v>
      </c>
      <c r="AK18" s="444">
        <f>((SUM(F18:AJ18))/8)-(SUMIF($F$6:$AJ$6,"C.Nhật",F18:AJ18)/8)</f>
        <v>27</v>
      </c>
      <c r="AL18" s="444">
        <f>SUM(F19:AI19)/8*1.5</f>
        <v>0</v>
      </c>
      <c r="AM18" s="446">
        <f>SUMIF($F$6:$AI$6,"C.Nhật",$F18:$AI19)/8*2</f>
        <v>0</v>
      </c>
      <c r="AN18" s="435">
        <f>SUM(AK18:AM19)</f>
        <v>27</v>
      </c>
      <c r="AO18" s="448">
        <v>0</v>
      </c>
      <c r="AP18" s="435"/>
      <c r="AQ18" s="435"/>
      <c r="AR18" s="435"/>
      <c r="AS18" s="437"/>
      <c r="AT18" s="34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34"/>
      <c r="B19" s="534"/>
      <c r="C19" s="473"/>
      <c r="D19" s="475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45"/>
      <c r="AL19" s="445"/>
      <c r="AM19" s="447"/>
      <c r="AN19" s="436"/>
      <c r="AO19" s="449"/>
      <c r="AP19" s="436"/>
      <c r="AQ19" s="436"/>
      <c r="AR19" s="436"/>
      <c r="AS19" s="438"/>
      <c r="AT19" s="34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33">
        <f t="shared" ref="A20" si="3">A18+1</f>
        <v>6</v>
      </c>
      <c r="B20" s="533" t="s">
        <v>91</v>
      </c>
      <c r="C20" s="472" t="str">
        <f>VLOOKUP(B20,DS,2,0)</f>
        <v>Nguyễn Thị Lựu</v>
      </c>
      <c r="D20" s="474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>
        <v>8</v>
      </c>
      <c r="AI20" s="153">
        <v>8</v>
      </c>
      <c r="AJ20" s="153">
        <v>8</v>
      </c>
      <c r="AK20" s="444">
        <f>((SUM(F20:AJ20))/8)-(SUMIF($F$6:$AJ$6,"C.Nhật",F20:AJ20)/8)</f>
        <v>27</v>
      </c>
      <c r="AL20" s="444">
        <f>SUM(F21:AI21)/8*1.5</f>
        <v>0</v>
      </c>
      <c r="AM20" s="446">
        <f>SUMIF($F$6:$AI$6,"C.Nhật",$F20:$AI21)/8*2</f>
        <v>0</v>
      </c>
      <c r="AN20" s="435">
        <f>SUM(AK20:AM21)</f>
        <v>27</v>
      </c>
      <c r="AO20" s="448">
        <v>0</v>
      </c>
      <c r="AP20" s="435"/>
      <c r="AQ20" s="435"/>
      <c r="AR20" s="435"/>
      <c r="AS20" s="437"/>
      <c r="AT20" s="34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534"/>
      <c r="B21" s="534"/>
      <c r="C21" s="473"/>
      <c r="D21" s="475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45"/>
      <c r="AL21" s="445"/>
      <c r="AM21" s="447"/>
      <c r="AN21" s="436"/>
      <c r="AO21" s="449"/>
      <c r="AP21" s="436"/>
      <c r="AQ21" s="436"/>
      <c r="AR21" s="436"/>
      <c r="AS21" s="438"/>
      <c r="AT21" s="34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33">
        <f t="shared" ref="A22" si="4">A20+1</f>
        <v>7</v>
      </c>
      <c r="B22" s="533" t="s">
        <v>94</v>
      </c>
      <c r="C22" s="472" t="str">
        <f>VLOOKUP(B22,DS,2,0)</f>
        <v>Trà Thị Soi</v>
      </c>
      <c r="D22" s="474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>
        <v>8</v>
      </c>
      <c r="AI22" s="153">
        <v>8</v>
      </c>
      <c r="AJ22" s="153">
        <v>8</v>
      </c>
      <c r="AK22" s="444">
        <f>((SUM(F22:AJ22))/8)-(SUMIF($F$6:$AJ$6,"C.Nhật",F22:AJ22)/8)</f>
        <v>27</v>
      </c>
      <c r="AL22" s="444">
        <f>SUM(F23:AI23)/8*1.5</f>
        <v>0</v>
      </c>
      <c r="AM22" s="446">
        <f>SUMIF($F$6:$AI$6,"C.Nhật",$F22:$AI23)/8*2</f>
        <v>0</v>
      </c>
      <c r="AN22" s="435">
        <f>SUM(AK22:AM23)</f>
        <v>27</v>
      </c>
      <c r="AO22" s="448">
        <v>0</v>
      </c>
      <c r="AP22" s="435"/>
      <c r="AQ22" s="435"/>
      <c r="AR22" s="435"/>
      <c r="AS22" s="437"/>
      <c r="AT22" s="34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534"/>
      <c r="B23" s="534"/>
      <c r="C23" s="473"/>
      <c r="D23" s="475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45"/>
      <c r="AL23" s="445"/>
      <c r="AM23" s="447"/>
      <c r="AN23" s="436"/>
      <c r="AO23" s="449"/>
      <c r="AP23" s="436"/>
      <c r="AQ23" s="436"/>
      <c r="AR23" s="436"/>
      <c r="AS23" s="438"/>
      <c r="AT23" s="34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33">
        <f t="shared" ref="A24" si="5">A22+1</f>
        <v>8</v>
      </c>
      <c r="B24" s="533" t="s">
        <v>101</v>
      </c>
      <c r="C24" s="472" t="str">
        <f>VLOOKUP(B24,DS,2,0)</f>
        <v>Trần Thị Bích Phượng</v>
      </c>
      <c r="D24" s="474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>
        <v>8</v>
      </c>
      <c r="AI24" s="153">
        <v>8</v>
      </c>
      <c r="AJ24" s="153">
        <v>8</v>
      </c>
      <c r="AK24" s="444">
        <f>((SUM(F24:AJ24))/8)-(SUMIF($F$6:$AJ$6,"C.Nhật",F24:AJ24)/8)</f>
        <v>27</v>
      </c>
      <c r="AL24" s="444">
        <f>SUM(F25:AI25)/8*1.5</f>
        <v>0</v>
      </c>
      <c r="AM24" s="446">
        <f>SUMIF($F$6:$AI$6,"C.Nhật",$F24:$AI25)/8*2</f>
        <v>0</v>
      </c>
      <c r="AN24" s="435">
        <f>SUM(AK24:AM25)</f>
        <v>27</v>
      </c>
      <c r="AO24" s="448">
        <v>0</v>
      </c>
      <c r="AP24" s="435"/>
      <c r="AQ24" s="435"/>
      <c r="AR24" s="435"/>
      <c r="AS24" s="437"/>
      <c r="AT24" s="34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534"/>
      <c r="B25" s="534"/>
      <c r="C25" s="473"/>
      <c r="D25" s="475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45"/>
      <c r="AL25" s="445"/>
      <c r="AM25" s="447"/>
      <c r="AN25" s="436"/>
      <c r="AO25" s="449"/>
      <c r="AP25" s="436"/>
      <c r="AQ25" s="436"/>
      <c r="AR25" s="436"/>
      <c r="AS25" s="438"/>
      <c r="AT25" s="34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533">
        <f t="shared" ref="A26" si="6">A24+1</f>
        <v>9</v>
      </c>
      <c r="B26" s="533" t="s">
        <v>102</v>
      </c>
      <c r="C26" s="472" t="str">
        <f>VLOOKUP(B26,DS,2,0)</f>
        <v>Sơn Thị Trường Sa</v>
      </c>
      <c r="D26" s="474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>
        <v>8</v>
      </c>
      <c r="AI26" s="153">
        <v>8</v>
      </c>
      <c r="AJ26" s="153">
        <v>8</v>
      </c>
      <c r="AK26" s="444">
        <f>((SUM(F26:AJ26))/8)-(SUMIF($F$6:$AJ$6,"C.Nhật",F26:AJ26)/8)</f>
        <v>27</v>
      </c>
      <c r="AL26" s="444">
        <f>SUM(F27:AI27)/8*1.5</f>
        <v>0</v>
      </c>
      <c r="AM26" s="446">
        <f>SUMIF($F$6:$AI$6,"C.Nhật",$F26:$AI27)/8*2</f>
        <v>0</v>
      </c>
      <c r="AN26" s="435">
        <f>SUM(AK26:AM27)</f>
        <v>27</v>
      </c>
      <c r="AO26" s="448">
        <v>0</v>
      </c>
      <c r="AP26" s="435"/>
      <c r="AQ26" s="435"/>
      <c r="AR26" s="435"/>
      <c r="AS26" s="437"/>
      <c r="AT26" s="34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534"/>
      <c r="B27" s="534"/>
      <c r="C27" s="473"/>
      <c r="D27" s="475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45"/>
      <c r="AL27" s="445"/>
      <c r="AM27" s="447"/>
      <c r="AN27" s="436"/>
      <c r="AO27" s="449"/>
      <c r="AP27" s="436"/>
      <c r="AQ27" s="436"/>
      <c r="AR27" s="436"/>
      <c r="AS27" s="438"/>
      <c r="AT27" s="34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533">
        <f t="shared" ref="A28" si="7">A26+1</f>
        <v>10</v>
      </c>
      <c r="B28" s="533" t="s">
        <v>103</v>
      </c>
      <c r="C28" s="472" t="str">
        <f>VLOOKUP(B28,DS,2,0)</f>
        <v>Lý Thị Sà Kha</v>
      </c>
      <c r="D28" s="474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>
        <v>8</v>
      </c>
      <c r="AI28" s="153">
        <v>8</v>
      </c>
      <c r="AJ28" s="153">
        <v>8</v>
      </c>
      <c r="AK28" s="444">
        <f>((SUM(F28:AJ28))/8)-(SUMIF($F$6:$AJ$6,"C.Nhật",F28:AJ28)/8)</f>
        <v>27</v>
      </c>
      <c r="AL28" s="444">
        <f>SUM(F29:AI29)/8*1.5</f>
        <v>0</v>
      </c>
      <c r="AM28" s="446">
        <f>SUMIF($F$6:$AI$6,"C.Nhật",$F28:$AI29)/8*2</f>
        <v>0</v>
      </c>
      <c r="AN28" s="435">
        <f>SUM(AK28:AM29)</f>
        <v>27</v>
      </c>
      <c r="AO28" s="448">
        <v>0</v>
      </c>
      <c r="AP28" s="435"/>
      <c r="AQ28" s="435"/>
      <c r="AR28" s="435"/>
      <c r="AS28" s="437"/>
      <c r="AT28" s="34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534"/>
      <c r="B29" s="534"/>
      <c r="C29" s="473"/>
      <c r="D29" s="475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45"/>
      <c r="AL29" s="445"/>
      <c r="AM29" s="447"/>
      <c r="AN29" s="436"/>
      <c r="AO29" s="449"/>
      <c r="AP29" s="436"/>
      <c r="AQ29" s="436"/>
      <c r="AR29" s="436"/>
      <c r="AS29" s="438"/>
      <c r="AT29" s="34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533">
        <f t="shared" ref="A30" si="8">A28+1</f>
        <v>11</v>
      </c>
      <c r="B30" s="533" t="s">
        <v>104</v>
      </c>
      <c r="C30" s="472" t="str">
        <f>VLOOKUP(B30,DS,2,0)</f>
        <v xml:space="preserve"> Lâm Thị Mộng Thường</v>
      </c>
      <c r="D30" s="474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/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/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/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/>
      <c r="AF30" s="153">
        <v>8</v>
      </c>
      <c r="AG30" s="153">
        <v>8</v>
      </c>
      <c r="AH30" s="153">
        <v>8</v>
      </c>
      <c r="AI30" s="153">
        <v>8</v>
      </c>
      <c r="AJ30" s="153">
        <v>8</v>
      </c>
      <c r="AK30" s="444">
        <f>((SUM(F30:AJ30))/8)-(SUMIF($F$6:$AJ$6,"C.Nhật",F30:AJ30)/8)</f>
        <v>27</v>
      </c>
      <c r="AL30" s="444">
        <f>SUM(F31:AI31)/8*1.5</f>
        <v>0</v>
      </c>
      <c r="AM30" s="446">
        <f>SUMIF($F$6:$AI$6,"C.Nhật",$F30:$AI31)/8*2</f>
        <v>0</v>
      </c>
      <c r="AN30" s="435">
        <f>SUM(AK30:AM31)</f>
        <v>27</v>
      </c>
      <c r="AO30" s="448">
        <v>0</v>
      </c>
      <c r="AP30" s="435"/>
      <c r="AQ30" s="435"/>
      <c r="AR30" s="435"/>
      <c r="AS30" s="437"/>
      <c r="AT30" s="34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534"/>
      <c r="B31" s="534"/>
      <c r="C31" s="473"/>
      <c r="D31" s="475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45"/>
      <c r="AL31" s="445"/>
      <c r="AM31" s="447"/>
      <c r="AN31" s="436"/>
      <c r="AO31" s="449"/>
      <c r="AP31" s="436"/>
      <c r="AQ31" s="436"/>
      <c r="AR31" s="436"/>
      <c r="AS31" s="438"/>
      <c r="AT31" s="34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533">
        <f t="shared" ref="A32" si="9">A30+1</f>
        <v>12</v>
      </c>
      <c r="B32" s="535" t="s">
        <v>88</v>
      </c>
      <c r="C32" s="472" t="str">
        <f>VLOOKUP(B32,DS,2,0)</f>
        <v>Huỳnh Thị Bé Tha</v>
      </c>
      <c r="D32" s="474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8</v>
      </c>
      <c r="J32" s="153"/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8</v>
      </c>
      <c r="Q32" s="153"/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8</v>
      </c>
      <c r="X32" s="153"/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8</v>
      </c>
      <c r="AE32" s="153"/>
      <c r="AF32" s="153">
        <v>8</v>
      </c>
      <c r="AG32" s="153">
        <v>8</v>
      </c>
      <c r="AH32" s="153">
        <v>8</v>
      </c>
      <c r="AI32" s="153">
        <v>8</v>
      </c>
      <c r="AJ32" s="153">
        <v>8</v>
      </c>
      <c r="AK32" s="444">
        <f>((SUM(F32:AJ32))/8)-(SUMIF($F$6:$AJ$6,"C.Nhật",F32:AJ32)/8)</f>
        <v>27</v>
      </c>
      <c r="AL32" s="444">
        <f>SUM(F33:AI33)/8*1.5</f>
        <v>0</v>
      </c>
      <c r="AM32" s="446">
        <f>SUMIF($F$6:$AI$6,"C.Nhật",$F32:$AI33)/8*2</f>
        <v>0</v>
      </c>
      <c r="AN32" s="435">
        <f>SUM(AK32:AM33)</f>
        <v>27</v>
      </c>
      <c r="AO32" s="448">
        <v>0</v>
      </c>
      <c r="AP32" s="435"/>
      <c r="AQ32" s="435"/>
      <c r="AR32" s="435"/>
      <c r="AS32" s="437"/>
      <c r="AT32" s="34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534"/>
      <c r="B33" s="536"/>
      <c r="C33" s="473"/>
      <c r="D33" s="475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45"/>
      <c r="AL33" s="445"/>
      <c r="AM33" s="447"/>
      <c r="AN33" s="436"/>
      <c r="AO33" s="449"/>
      <c r="AP33" s="436"/>
      <c r="AQ33" s="436"/>
      <c r="AR33" s="436"/>
      <c r="AS33" s="438"/>
      <c r="AT33" s="34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533">
        <v>13</v>
      </c>
      <c r="B34" s="535" t="s">
        <v>210</v>
      </c>
      <c r="C34" s="472" t="str">
        <f>VLOOKUP(B34,DS,2,0)</f>
        <v>Nguyễn Thị Diễm</v>
      </c>
      <c r="D34" s="474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58">
        <v>8</v>
      </c>
      <c r="J34" s="153"/>
      <c r="K34" s="153">
        <v>8</v>
      </c>
      <c r="L34" s="153">
        <v>8</v>
      </c>
      <c r="M34" s="58">
        <v>8</v>
      </c>
      <c r="N34" s="153">
        <v>8</v>
      </c>
      <c r="O34" s="153">
        <v>8</v>
      </c>
      <c r="P34" s="153">
        <v>8</v>
      </c>
      <c r="Q34" s="58"/>
      <c r="R34" s="153">
        <v>8</v>
      </c>
      <c r="S34" s="153">
        <v>8</v>
      </c>
      <c r="T34" s="153">
        <v>8</v>
      </c>
      <c r="U34" s="58">
        <v>8</v>
      </c>
      <c r="V34" s="153">
        <v>8</v>
      </c>
      <c r="W34" s="153">
        <v>8</v>
      </c>
      <c r="X34" s="153"/>
      <c r="Y34" s="58">
        <v>8</v>
      </c>
      <c r="Z34" s="153">
        <v>8</v>
      </c>
      <c r="AA34" s="153">
        <v>8</v>
      </c>
      <c r="AB34" s="153">
        <v>8</v>
      </c>
      <c r="AC34" s="58">
        <v>8</v>
      </c>
      <c r="AD34" s="153">
        <v>8</v>
      </c>
      <c r="AE34" s="153"/>
      <c r="AF34" s="153">
        <v>8</v>
      </c>
      <c r="AG34" s="58">
        <v>8</v>
      </c>
      <c r="AH34" s="153">
        <v>8</v>
      </c>
      <c r="AI34" s="153">
        <v>8</v>
      </c>
      <c r="AJ34" s="153">
        <v>8</v>
      </c>
      <c r="AK34" s="444">
        <f>((SUM(F34:AJ34))/8)-(SUMIF($F$6:$AJ$6,"C.Nhật",F34:AJ34)/8)</f>
        <v>27</v>
      </c>
      <c r="AL34" s="444">
        <f>SUM(F35:AI35)/8*1.5</f>
        <v>0</v>
      </c>
      <c r="AM34" s="446">
        <f>SUMIF($F$6:$AI$6,"C.Nhật",$F34:$AI35)/8*2</f>
        <v>0</v>
      </c>
      <c r="AN34" s="435">
        <f>SUM(AK34:AM35)</f>
        <v>27</v>
      </c>
      <c r="AO34" s="376"/>
      <c r="AP34" s="375"/>
      <c r="AQ34" s="375"/>
      <c r="AR34" s="435"/>
      <c r="AS34" s="377"/>
      <c r="AT34" s="35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534"/>
      <c r="B35" s="536"/>
      <c r="C35" s="473"/>
      <c r="D35" s="475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445"/>
      <c r="AL35" s="445"/>
      <c r="AM35" s="447"/>
      <c r="AN35" s="436"/>
      <c r="AO35" s="376"/>
      <c r="AP35" s="375"/>
      <c r="AQ35" s="375"/>
      <c r="AR35" s="436"/>
      <c r="AS35" s="377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269" customFormat="1" ht="32.25" customHeight="1">
      <c r="A36" s="267" t="s">
        <v>187</v>
      </c>
      <c r="B36" s="270" t="s">
        <v>188</v>
      </c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2"/>
      <c r="AT36" s="268"/>
    </row>
    <row r="37" spans="1:90" s="57" customFormat="1" ht="18" customHeight="1">
      <c r="A37" s="533">
        <v>14</v>
      </c>
      <c r="B37" s="533" t="s">
        <v>113</v>
      </c>
      <c r="C37" s="472" t="str">
        <f>VLOOKUP(B37,DS,2,0)</f>
        <v>Nguyễn Văn Bé Hai</v>
      </c>
      <c r="D37" s="474" t="str">
        <f>VLOOKUP(B37,DS,3,0)</f>
        <v>Công nhân</v>
      </c>
      <c r="E37" s="58" t="s">
        <v>32</v>
      </c>
      <c r="F37" s="153">
        <v>8</v>
      </c>
      <c r="G37" s="153">
        <v>8</v>
      </c>
      <c r="H37" s="153">
        <v>8</v>
      </c>
      <c r="I37" s="153">
        <v>8</v>
      </c>
      <c r="J37" s="153"/>
      <c r="K37" s="153">
        <v>8</v>
      </c>
      <c r="L37" s="153">
        <v>8</v>
      </c>
      <c r="M37" s="153">
        <v>8</v>
      </c>
      <c r="N37" s="153">
        <v>8</v>
      </c>
      <c r="O37" s="153">
        <v>8</v>
      </c>
      <c r="P37" s="153">
        <v>8</v>
      </c>
      <c r="Q37" s="153"/>
      <c r="R37" s="153">
        <v>8</v>
      </c>
      <c r="S37" s="153">
        <v>8</v>
      </c>
      <c r="T37" s="153">
        <v>8</v>
      </c>
      <c r="U37" s="153">
        <v>8</v>
      </c>
      <c r="V37" s="153">
        <v>8</v>
      </c>
      <c r="W37" s="153">
        <v>8</v>
      </c>
      <c r="X37" s="153"/>
      <c r="Y37" s="153">
        <v>8</v>
      </c>
      <c r="Z37" s="153">
        <v>8</v>
      </c>
      <c r="AA37" s="153">
        <v>8</v>
      </c>
      <c r="AB37" s="153">
        <v>8</v>
      </c>
      <c r="AC37" s="153">
        <v>8</v>
      </c>
      <c r="AD37" s="153">
        <v>8</v>
      </c>
      <c r="AE37" s="153"/>
      <c r="AF37" s="153">
        <v>8</v>
      </c>
      <c r="AG37" s="153">
        <v>8</v>
      </c>
      <c r="AH37" s="153">
        <v>8</v>
      </c>
      <c r="AI37" s="153">
        <v>8</v>
      </c>
      <c r="AJ37" s="153">
        <v>8</v>
      </c>
      <c r="AK37" s="444">
        <f>((SUM(F37:AJ37))/8)-(SUMIF($F$6:$AJ$6,"C.Nhật",F37:AJ37)/8)</f>
        <v>27</v>
      </c>
      <c r="AL37" s="444">
        <f>SUM(F38:AI38)/8*1.5</f>
        <v>0</v>
      </c>
      <c r="AM37" s="446">
        <f>SUMIF($F$6:$AI$6,"C.Nhật",$F37:$AI38)/8*2</f>
        <v>0</v>
      </c>
      <c r="AN37" s="435">
        <f>SUM(AK37:AM38)</f>
        <v>27</v>
      </c>
      <c r="AO37" s="448">
        <v>0</v>
      </c>
      <c r="AP37" s="435"/>
      <c r="AQ37" s="435"/>
      <c r="AR37" s="435"/>
      <c r="AS37" s="437"/>
      <c r="AT37" s="34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534"/>
      <c r="B38" s="534"/>
      <c r="C38" s="473"/>
      <c r="D38" s="475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445"/>
      <c r="AL38" s="445"/>
      <c r="AM38" s="447"/>
      <c r="AN38" s="436"/>
      <c r="AO38" s="449"/>
      <c r="AP38" s="436"/>
      <c r="AQ38" s="436"/>
      <c r="AR38" s="436"/>
      <c r="AS38" s="438"/>
      <c r="AT38" s="34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336" customFormat="1" ht="18" customHeight="1">
      <c r="A39" s="537">
        <f>A37+1</f>
        <v>15</v>
      </c>
      <c r="B39" s="537" t="s">
        <v>206</v>
      </c>
      <c r="C39" s="539" t="s">
        <v>205</v>
      </c>
      <c r="D39" s="541" t="str">
        <f>VLOOKUP(B39,DS,3,0)</f>
        <v>Công nhân</v>
      </c>
      <c r="E39" s="326" t="s">
        <v>32</v>
      </c>
      <c r="F39" s="153">
        <v>8</v>
      </c>
      <c r="G39" s="153">
        <v>8</v>
      </c>
      <c r="H39" s="153">
        <v>8</v>
      </c>
      <c r="I39" s="153">
        <v>8</v>
      </c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>
        <v>8</v>
      </c>
      <c r="AI39" s="153">
        <v>8</v>
      </c>
      <c r="AJ39" s="153">
        <v>8</v>
      </c>
      <c r="AK39" s="543">
        <f>((SUM(F39:AJ39))/8)-(SUMIF($F$6:$AJ$6,"C.Nhật",F39:AJ39)/8)</f>
        <v>27</v>
      </c>
      <c r="AL39" s="543">
        <f>SUM(F40:AI40)/8*1.5</f>
        <v>0</v>
      </c>
      <c r="AM39" s="545">
        <f>SUMIF($F$6:$AI$6,"C.Nhật",$F39:$AI40)/8*2</f>
        <v>0</v>
      </c>
      <c r="AN39" s="547">
        <f>SUM(AK39:AM40)</f>
        <v>27</v>
      </c>
      <c r="AO39" s="549">
        <v>0</v>
      </c>
      <c r="AP39" s="547"/>
      <c r="AQ39" s="547"/>
      <c r="AR39" s="547"/>
      <c r="AS39" s="551"/>
      <c r="AT39" s="334"/>
      <c r="AU39" s="335"/>
      <c r="AV39" s="335"/>
      <c r="AW39" s="335"/>
      <c r="AX39" s="335"/>
      <c r="AY39" s="335"/>
      <c r="AZ39" s="335"/>
      <c r="BA39" s="335"/>
      <c r="BB39" s="335"/>
      <c r="BC39" s="335"/>
      <c r="BD39" s="335"/>
      <c r="BE39" s="335"/>
      <c r="BF39" s="335"/>
      <c r="BG39" s="335"/>
      <c r="BH39" s="335"/>
      <c r="BI39" s="335"/>
      <c r="BJ39" s="335"/>
      <c r="BK39" s="335"/>
      <c r="BL39" s="335"/>
      <c r="BM39" s="335"/>
      <c r="BN39" s="335"/>
      <c r="BO39" s="335"/>
      <c r="BP39" s="335"/>
      <c r="BQ39" s="335"/>
      <c r="BR39" s="335"/>
      <c r="BS39" s="335"/>
      <c r="BT39" s="335"/>
      <c r="BU39" s="335"/>
      <c r="BV39" s="335"/>
      <c r="BW39" s="335"/>
      <c r="BX39" s="335"/>
      <c r="BY39" s="335"/>
      <c r="BZ39" s="335"/>
      <c r="CA39" s="335"/>
      <c r="CB39" s="335"/>
      <c r="CC39" s="335"/>
      <c r="CD39" s="335"/>
      <c r="CE39" s="335"/>
      <c r="CF39" s="335"/>
      <c r="CG39" s="335"/>
      <c r="CH39" s="335"/>
      <c r="CI39" s="335"/>
      <c r="CJ39" s="335"/>
      <c r="CK39" s="335"/>
      <c r="CL39" s="335"/>
    </row>
    <row r="40" spans="1:90" s="336" customFormat="1" ht="18" customHeight="1">
      <c r="A40" s="538"/>
      <c r="B40" s="538"/>
      <c r="C40" s="540"/>
      <c r="D40" s="542"/>
      <c r="E40" s="332" t="s">
        <v>31</v>
      </c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  <c r="AA40" s="333"/>
      <c r="AB40" s="333"/>
      <c r="AC40" s="333"/>
      <c r="AD40" s="333"/>
      <c r="AE40" s="333"/>
      <c r="AF40" s="333"/>
      <c r="AG40" s="333"/>
      <c r="AH40" s="333"/>
      <c r="AI40" s="333"/>
      <c r="AJ40" s="333"/>
      <c r="AK40" s="544"/>
      <c r="AL40" s="544"/>
      <c r="AM40" s="546"/>
      <c r="AN40" s="548"/>
      <c r="AO40" s="550"/>
      <c r="AP40" s="548"/>
      <c r="AQ40" s="548"/>
      <c r="AR40" s="548"/>
      <c r="AS40" s="552"/>
      <c r="AT40" s="334"/>
      <c r="AU40" s="335"/>
      <c r="AV40" s="335"/>
      <c r="AW40" s="335"/>
      <c r="AX40" s="335"/>
      <c r="AY40" s="335"/>
      <c r="AZ40" s="335"/>
      <c r="BA40" s="335"/>
      <c r="BB40" s="335"/>
      <c r="BC40" s="335"/>
      <c r="BD40" s="335"/>
      <c r="BE40" s="335"/>
      <c r="BF40" s="335"/>
      <c r="BG40" s="335"/>
      <c r="BH40" s="335"/>
      <c r="BI40" s="335"/>
      <c r="BJ40" s="335"/>
      <c r="BK40" s="335"/>
      <c r="BL40" s="335"/>
      <c r="BM40" s="335"/>
      <c r="BN40" s="335"/>
      <c r="BO40" s="335"/>
      <c r="BP40" s="335"/>
      <c r="BQ40" s="335"/>
      <c r="BR40" s="335"/>
      <c r="BS40" s="335"/>
      <c r="BT40" s="335"/>
      <c r="BU40" s="335"/>
      <c r="BV40" s="335"/>
      <c r="BW40" s="335"/>
      <c r="BX40" s="335"/>
      <c r="BY40" s="335"/>
      <c r="BZ40" s="335"/>
      <c r="CA40" s="335"/>
      <c r="CB40" s="335"/>
      <c r="CC40" s="335"/>
      <c r="CD40" s="335"/>
      <c r="CE40" s="335"/>
      <c r="CF40" s="335"/>
      <c r="CG40" s="335"/>
      <c r="CH40" s="335"/>
      <c r="CI40" s="335"/>
      <c r="CJ40" s="335"/>
      <c r="CK40" s="335"/>
      <c r="CL40" s="335"/>
    </row>
    <row r="41" spans="1:90" s="57" customFormat="1" ht="18" customHeight="1">
      <c r="A41" s="533">
        <v>16</v>
      </c>
      <c r="B41" s="533" t="s">
        <v>118</v>
      </c>
      <c r="C41" s="472" t="str">
        <f>VLOOKUP(B41,DS,2,0)</f>
        <v>Trần Nhiên</v>
      </c>
      <c r="D41" s="474" t="str">
        <f>VLOOKUP(B41,DS,3,0)</f>
        <v>Công nhân</v>
      </c>
      <c r="E41" s="58" t="s">
        <v>32</v>
      </c>
      <c r="F41" s="153">
        <v>8</v>
      </c>
      <c r="G41" s="153">
        <v>8</v>
      </c>
      <c r="H41" s="153">
        <v>8</v>
      </c>
      <c r="I41" s="153">
        <v>8</v>
      </c>
      <c r="J41" s="153"/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>
        <v>8</v>
      </c>
      <c r="AE41" s="153"/>
      <c r="AF41" s="153">
        <v>8</v>
      </c>
      <c r="AG41" s="153">
        <v>8</v>
      </c>
      <c r="AH41" s="153">
        <v>8</v>
      </c>
      <c r="AI41" s="153">
        <v>8</v>
      </c>
      <c r="AJ41" s="153">
        <v>8</v>
      </c>
      <c r="AK41" s="444">
        <f>((SUM(F41:AJ41))/8)-(SUMIF($F$6:$AJ$6,"C.Nhật",F41:AJ41)/8)</f>
        <v>27</v>
      </c>
      <c r="AL41" s="444">
        <f>SUM(F42:AI42)/8*1.5</f>
        <v>0</v>
      </c>
      <c r="AM41" s="446">
        <f>SUMIF($F$6:$AI$6,"C.Nhật",$F41:$AI42)/8*2</f>
        <v>0</v>
      </c>
      <c r="AN41" s="435">
        <f>SUM(AK41:AM42)</f>
        <v>27</v>
      </c>
      <c r="AO41" s="448">
        <v>0</v>
      </c>
      <c r="AP41" s="435"/>
      <c r="AQ41" s="435"/>
      <c r="AR41" s="435"/>
      <c r="AS41" s="437"/>
      <c r="AT41" s="34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534"/>
      <c r="B42" s="534"/>
      <c r="C42" s="473"/>
      <c r="D42" s="475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445"/>
      <c r="AL42" s="445"/>
      <c r="AM42" s="447"/>
      <c r="AN42" s="436"/>
      <c r="AO42" s="449"/>
      <c r="AP42" s="436"/>
      <c r="AQ42" s="436"/>
      <c r="AR42" s="436"/>
      <c r="AS42" s="438"/>
      <c r="AT42" s="34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533">
        <v>17</v>
      </c>
      <c r="B43" s="533" t="s">
        <v>119</v>
      </c>
      <c r="C43" s="472" t="str">
        <f>VLOOKUP(B43,DS,2,0)</f>
        <v>Thạch Giang</v>
      </c>
      <c r="D43" s="474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8</v>
      </c>
      <c r="J43" s="153"/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8</v>
      </c>
      <c r="AE43" s="153"/>
      <c r="AF43" s="153">
        <v>8</v>
      </c>
      <c r="AG43" s="153">
        <v>8</v>
      </c>
      <c r="AH43" s="153">
        <v>8</v>
      </c>
      <c r="AI43" s="153">
        <v>8</v>
      </c>
      <c r="AJ43" s="153">
        <v>8</v>
      </c>
      <c r="AK43" s="444">
        <f>((SUM(F43:AJ43))/8)-(SUMIF($F$6:$AJ$6,"C.Nhật",F43:AJ43)/8)</f>
        <v>27</v>
      </c>
      <c r="AL43" s="444">
        <f>SUM(F44:AI44)/8*1.5</f>
        <v>0</v>
      </c>
      <c r="AM43" s="446">
        <f>SUMIF($F$6:$AI$6,"C.Nhật",$F43:$AI44)/8*2</f>
        <v>0</v>
      </c>
      <c r="AN43" s="435">
        <f>SUM(AK43:AM44)</f>
        <v>27</v>
      </c>
      <c r="AO43" s="448">
        <v>0</v>
      </c>
      <c r="AP43" s="435"/>
      <c r="AQ43" s="435"/>
      <c r="AR43" s="435"/>
      <c r="AS43" s="437"/>
      <c r="AT43" s="34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34"/>
      <c r="B44" s="534"/>
      <c r="C44" s="473"/>
      <c r="D44" s="475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45"/>
      <c r="AL44" s="445"/>
      <c r="AM44" s="447"/>
      <c r="AN44" s="436"/>
      <c r="AO44" s="449"/>
      <c r="AP44" s="436"/>
      <c r="AQ44" s="436"/>
      <c r="AR44" s="436"/>
      <c r="AS44" s="438"/>
      <c r="AT44" s="34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533">
        <v>18</v>
      </c>
      <c r="B45" s="533" t="s">
        <v>122</v>
      </c>
      <c r="C45" s="472" t="str">
        <f>VLOOKUP(B45,DS,2,0)</f>
        <v>Lâm Chanh Đa Ra</v>
      </c>
      <c r="D45" s="474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8</v>
      </c>
      <c r="J45" s="153"/>
      <c r="K45" s="153">
        <v>8</v>
      </c>
      <c r="L45" s="153">
        <v>8</v>
      </c>
      <c r="M45" s="153">
        <v>8</v>
      </c>
      <c r="N45" s="153">
        <v>8</v>
      </c>
      <c r="O45" s="153">
        <v>8</v>
      </c>
      <c r="P45" s="153">
        <v>8</v>
      </c>
      <c r="Q45" s="153"/>
      <c r="R45" s="153">
        <v>8</v>
      </c>
      <c r="S45" s="153">
        <v>8</v>
      </c>
      <c r="T45" s="153">
        <v>8</v>
      </c>
      <c r="U45" s="153">
        <v>8</v>
      </c>
      <c r="V45" s="153">
        <v>8</v>
      </c>
      <c r="W45" s="153">
        <v>8</v>
      </c>
      <c r="X45" s="153"/>
      <c r="Y45" s="153">
        <v>8</v>
      </c>
      <c r="Z45" s="153">
        <v>8</v>
      </c>
      <c r="AA45" s="153">
        <v>8</v>
      </c>
      <c r="AB45" s="153">
        <v>8</v>
      </c>
      <c r="AC45" s="153">
        <v>8</v>
      </c>
      <c r="AD45" s="153">
        <v>8</v>
      </c>
      <c r="AE45" s="153"/>
      <c r="AF45" s="153">
        <v>8</v>
      </c>
      <c r="AG45" s="153">
        <v>8</v>
      </c>
      <c r="AH45" s="153">
        <v>8</v>
      </c>
      <c r="AI45" s="153">
        <v>8</v>
      </c>
      <c r="AJ45" s="153">
        <v>8</v>
      </c>
      <c r="AK45" s="444">
        <f>((SUM(F45:AJ45))/8)-(SUMIF($F$6:$AJ$6,"C.Nhật",F45:AJ45)/8)</f>
        <v>27</v>
      </c>
      <c r="AL45" s="444">
        <f>SUM(F46:AI46)/8*1.5</f>
        <v>0</v>
      </c>
      <c r="AM45" s="446">
        <f>SUMIF($F$6:$AI$6,"C.Nhật",$F45:$AI46)/8*2</f>
        <v>0</v>
      </c>
      <c r="AN45" s="435">
        <f>SUM(AK45:AM46)</f>
        <v>27</v>
      </c>
      <c r="AO45" s="448">
        <v>0</v>
      </c>
      <c r="AP45" s="435"/>
      <c r="AQ45" s="435"/>
      <c r="AR45" s="435"/>
      <c r="AS45" s="437"/>
      <c r="AT45" s="34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534"/>
      <c r="B46" s="534"/>
      <c r="C46" s="473"/>
      <c r="D46" s="475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445"/>
      <c r="AL46" s="445"/>
      <c r="AM46" s="447"/>
      <c r="AN46" s="436"/>
      <c r="AO46" s="449"/>
      <c r="AP46" s="436"/>
      <c r="AQ46" s="436"/>
      <c r="AR46" s="436"/>
      <c r="AS46" s="438"/>
      <c r="AT46" s="34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1"/>
      <c r="E47" s="3"/>
      <c r="F47" s="65"/>
      <c r="G47" s="65"/>
      <c r="H47" s="108"/>
      <c r="I47" s="108"/>
      <c r="J47" s="108"/>
      <c r="K47" s="65"/>
      <c r="L47" s="108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8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2"/>
      <c r="E48" s="67"/>
      <c r="F48" s="107"/>
      <c r="G48" s="109"/>
      <c r="H48" s="62"/>
      <c r="I48" s="62"/>
      <c r="J48" s="62"/>
      <c r="K48" s="109"/>
      <c r="L48" s="62"/>
      <c r="M48" s="109"/>
      <c r="N48" s="109"/>
      <c r="O48" s="109"/>
      <c r="P48" s="109"/>
      <c r="Q48" s="62"/>
      <c r="R48" s="107"/>
      <c r="S48" s="109"/>
      <c r="T48" s="109"/>
      <c r="U48" s="62"/>
      <c r="V48" s="109"/>
      <c r="W48" s="109"/>
      <c r="X48" s="62"/>
      <c r="Y48" s="109"/>
      <c r="Z48" s="109"/>
      <c r="AA48" s="109"/>
      <c r="AB48" s="109"/>
      <c r="AC48" s="109"/>
      <c r="AD48" s="62"/>
      <c r="AE48" s="109"/>
      <c r="AF48" s="109"/>
      <c r="AG48" s="109"/>
      <c r="AH48" s="109"/>
      <c r="AI48" s="109"/>
      <c r="AJ48" s="109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39"/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39"/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3" customFormat="1" ht="20.25">
      <c r="A69" s="124"/>
      <c r="B69" s="127"/>
      <c r="C69" s="127"/>
      <c r="D69" s="128"/>
      <c r="E69" s="127"/>
      <c r="F69" s="128"/>
      <c r="G69" s="128"/>
      <c r="H69" s="128"/>
      <c r="I69" s="128"/>
      <c r="J69" s="128"/>
      <c r="K69" s="129"/>
      <c r="L69" s="129"/>
      <c r="M69" s="129"/>
      <c r="N69" s="129"/>
      <c r="O69" s="129"/>
      <c r="P69" s="129"/>
      <c r="Q69" s="129"/>
      <c r="R69" s="129"/>
      <c r="S69" s="130" t="str">
        <f>S1</f>
        <v>BẢNG CHẤM CÔNG THÁNG 03 NĂM 2017</v>
      </c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31"/>
      <c r="AL69" s="131"/>
      <c r="AM69" s="463" t="s">
        <v>112</v>
      </c>
      <c r="AN69" s="464"/>
      <c r="AO69" s="464"/>
      <c r="AP69" s="464"/>
      <c r="AQ69" s="464"/>
      <c r="AR69" s="464"/>
      <c r="AS69" s="465"/>
      <c r="AT69" s="132"/>
    </row>
    <row r="70" spans="1:91" s="133" customFormat="1" ht="20.25">
      <c r="A70" s="124" t="str">
        <f>$A$2</f>
        <v>Công ty TNHH Hải sản An Lạc</v>
      </c>
      <c r="B70" s="128"/>
      <c r="C70" s="128"/>
      <c r="D70" s="128"/>
      <c r="E70" s="128"/>
      <c r="F70" s="128"/>
      <c r="G70" s="128"/>
      <c r="H70" s="128"/>
      <c r="I70" s="128"/>
      <c r="J70" s="128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31"/>
      <c r="AL70" s="131"/>
      <c r="AM70" s="134"/>
      <c r="AN70" s="135"/>
      <c r="AO70" s="135"/>
      <c r="AP70" s="135"/>
      <c r="AQ70" s="135"/>
      <c r="AR70" s="135"/>
      <c r="AS70" s="136"/>
      <c r="AT70" s="136"/>
    </row>
    <row r="71" spans="1:91" s="133" customFormat="1" ht="21" customHeight="1">
      <c r="A71" s="124" t="str">
        <f>$A$3</f>
        <v>Địa chỉ: Lô A14, đường 4A, KCN Hải Sơn, Đức Hòa, Long An</v>
      </c>
      <c r="B71" s="137"/>
      <c r="C71" s="137"/>
      <c r="D71" s="138"/>
      <c r="E71" s="138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134"/>
      <c r="AN71" s="132"/>
      <c r="AO71" s="132"/>
      <c r="AP71" s="132"/>
      <c r="AQ71" s="132"/>
      <c r="AR71" s="132"/>
      <c r="AS71" s="139"/>
      <c r="AT71" s="139"/>
    </row>
    <row r="72" spans="1:91" s="133" customFormat="1" ht="14.25" customHeight="1">
      <c r="A72" s="140"/>
      <c r="B72" s="140"/>
      <c r="C72" s="141"/>
      <c r="D72" s="142"/>
      <c r="E72" s="143">
        <f>$E$4</f>
        <v>42795</v>
      </c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5"/>
      <c r="AI72" s="145"/>
      <c r="AJ72" s="145"/>
      <c r="AK72" s="140"/>
      <c r="AL72" s="140"/>
      <c r="AM72" s="146"/>
      <c r="AN72" s="140"/>
      <c r="AO72" s="140"/>
      <c r="AP72" s="140"/>
      <c r="AQ72" s="140"/>
      <c r="AR72" s="140"/>
      <c r="AS72" s="140"/>
      <c r="AT72" s="147"/>
    </row>
    <row r="73" spans="1:91" s="149" customFormat="1" ht="18.75" customHeight="1">
      <c r="A73" s="466" t="s">
        <v>28</v>
      </c>
      <c r="B73" s="466" t="s">
        <v>3</v>
      </c>
      <c r="C73" s="466" t="s">
        <v>1</v>
      </c>
      <c r="D73" s="468" t="s">
        <v>29</v>
      </c>
      <c r="E73" s="466" t="s">
        <v>30</v>
      </c>
      <c r="F73" s="148">
        <f>+E72</f>
        <v>42795</v>
      </c>
      <c r="G73" s="148">
        <f t="shared" ref="G73:AG73" si="10">F73+1</f>
        <v>42796</v>
      </c>
      <c r="H73" s="148">
        <f t="shared" si="10"/>
        <v>42797</v>
      </c>
      <c r="I73" s="148">
        <f t="shared" si="10"/>
        <v>42798</v>
      </c>
      <c r="J73" s="148">
        <f t="shared" si="10"/>
        <v>42799</v>
      </c>
      <c r="K73" s="148">
        <f t="shared" si="10"/>
        <v>42800</v>
      </c>
      <c r="L73" s="148">
        <f t="shared" si="10"/>
        <v>42801</v>
      </c>
      <c r="M73" s="148">
        <f t="shared" si="10"/>
        <v>42802</v>
      </c>
      <c r="N73" s="148">
        <f t="shared" si="10"/>
        <v>42803</v>
      </c>
      <c r="O73" s="148">
        <f t="shared" si="10"/>
        <v>42804</v>
      </c>
      <c r="P73" s="148">
        <f t="shared" si="10"/>
        <v>42805</v>
      </c>
      <c r="Q73" s="148">
        <f t="shared" si="10"/>
        <v>42806</v>
      </c>
      <c r="R73" s="148">
        <f t="shared" si="10"/>
        <v>42807</v>
      </c>
      <c r="S73" s="148">
        <f t="shared" si="10"/>
        <v>42808</v>
      </c>
      <c r="T73" s="148">
        <f t="shared" si="10"/>
        <v>42809</v>
      </c>
      <c r="U73" s="148">
        <f t="shared" si="10"/>
        <v>42810</v>
      </c>
      <c r="V73" s="148">
        <f t="shared" si="10"/>
        <v>42811</v>
      </c>
      <c r="W73" s="148">
        <f t="shared" si="10"/>
        <v>42812</v>
      </c>
      <c r="X73" s="148">
        <f t="shared" si="10"/>
        <v>42813</v>
      </c>
      <c r="Y73" s="148">
        <f t="shared" si="10"/>
        <v>42814</v>
      </c>
      <c r="Z73" s="148">
        <f t="shared" si="10"/>
        <v>42815</v>
      </c>
      <c r="AA73" s="148">
        <f t="shared" si="10"/>
        <v>42816</v>
      </c>
      <c r="AB73" s="148">
        <f t="shared" si="10"/>
        <v>42817</v>
      </c>
      <c r="AC73" s="148">
        <f t="shared" si="10"/>
        <v>42818</v>
      </c>
      <c r="AD73" s="148">
        <f t="shared" si="10"/>
        <v>42819</v>
      </c>
      <c r="AE73" s="148">
        <f t="shared" si="10"/>
        <v>42820</v>
      </c>
      <c r="AF73" s="148">
        <f t="shared" si="10"/>
        <v>42821</v>
      </c>
      <c r="AG73" s="148">
        <f t="shared" si="10"/>
        <v>42822</v>
      </c>
      <c r="AH73" s="148">
        <f>AG73+1</f>
        <v>42823</v>
      </c>
      <c r="AI73" s="148">
        <f>AH73+1</f>
        <v>42824</v>
      </c>
      <c r="AJ73" s="148"/>
      <c r="AK73" s="476" t="s">
        <v>15</v>
      </c>
      <c r="AL73" s="477"/>
      <c r="AM73" s="478"/>
      <c r="AN73" s="479" t="s">
        <v>45</v>
      </c>
      <c r="AO73" s="479" t="s">
        <v>41</v>
      </c>
      <c r="AP73" s="479" t="s">
        <v>42</v>
      </c>
      <c r="AQ73" s="479" t="s">
        <v>43</v>
      </c>
      <c r="AR73" s="479" t="s">
        <v>44</v>
      </c>
      <c r="AS73" s="468" t="s">
        <v>0</v>
      </c>
      <c r="AT73" s="469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43.5" customHeight="1">
      <c r="A74" s="467"/>
      <c r="B74" s="467"/>
      <c r="C74" s="467"/>
      <c r="D74" s="467"/>
      <c r="E74" s="467"/>
      <c r="F74" s="278" t="str">
        <f>CHOOSE(WEEKDAY(F73),"C.Nhật","T.Hai","T.Ba","T.Tư","T.Năm","T.Sáu","T.Bảy")</f>
        <v>T.Tư</v>
      </c>
      <c r="G74" s="278" t="str">
        <f t="shared" ref="G74:AI74" si="11">CHOOSE(WEEKDAY(G73),"C.Nhật","T.Hai","T.Ba","T.Tư","T.Năm","T.Sáu","T.Bảy")</f>
        <v>T.Năm</v>
      </c>
      <c r="H74" s="278" t="str">
        <f t="shared" si="11"/>
        <v>T.Sáu</v>
      </c>
      <c r="I74" s="278" t="str">
        <f t="shared" si="11"/>
        <v>T.Bảy</v>
      </c>
      <c r="J74" s="278" t="str">
        <f t="shared" si="11"/>
        <v>C.Nhật</v>
      </c>
      <c r="K74" s="150" t="str">
        <f t="shared" si="11"/>
        <v>T.Hai</v>
      </c>
      <c r="L74" s="150" t="str">
        <f t="shared" si="11"/>
        <v>T.Ba</v>
      </c>
      <c r="M74" s="150" t="str">
        <f t="shared" si="11"/>
        <v>T.Tư</v>
      </c>
      <c r="N74" s="150" t="str">
        <f t="shared" si="11"/>
        <v>T.Năm</v>
      </c>
      <c r="O74" s="150" t="str">
        <f t="shared" si="11"/>
        <v>T.Sáu</v>
      </c>
      <c r="P74" s="150" t="str">
        <f t="shared" si="11"/>
        <v>T.Bảy</v>
      </c>
      <c r="Q74" s="150" t="str">
        <f t="shared" si="11"/>
        <v>C.Nhật</v>
      </c>
      <c r="R74" s="150" t="str">
        <f t="shared" si="11"/>
        <v>T.Hai</v>
      </c>
      <c r="S74" s="150" t="str">
        <f t="shared" si="11"/>
        <v>T.Ba</v>
      </c>
      <c r="T74" s="150" t="str">
        <f t="shared" si="11"/>
        <v>T.Tư</v>
      </c>
      <c r="U74" s="150" t="str">
        <f t="shared" si="11"/>
        <v>T.Năm</v>
      </c>
      <c r="V74" s="150" t="str">
        <f t="shared" si="11"/>
        <v>T.Sáu</v>
      </c>
      <c r="W74" s="150" t="str">
        <f t="shared" si="11"/>
        <v>T.Bảy</v>
      </c>
      <c r="X74" s="150" t="str">
        <f t="shared" si="11"/>
        <v>C.Nhật</v>
      </c>
      <c r="Y74" s="150" t="str">
        <f t="shared" si="11"/>
        <v>T.Hai</v>
      </c>
      <c r="Z74" s="150" t="str">
        <f t="shared" si="11"/>
        <v>T.Ba</v>
      </c>
      <c r="AA74" s="150" t="str">
        <f t="shared" si="11"/>
        <v>T.Tư</v>
      </c>
      <c r="AB74" s="150" t="str">
        <f t="shared" si="11"/>
        <v>T.Năm</v>
      </c>
      <c r="AC74" s="150" t="str">
        <f t="shared" si="11"/>
        <v>T.Sáu</v>
      </c>
      <c r="AD74" s="150" t="str">
        <f t="shared" si="11"/>
        <v>T.Bảy</v>
      </c>
      <c r="AE74" s="150" t="str">
        <f t="shared" si="11"/>
        <v>C.Nhật</v>
      </c>
      <c r="AF74" s="150" t="str">
        <f t="shared" si="11"/>
        <v>T.Hai</v>
      </c>
      <c r="AG74" s="150" t="str">
        <f t="shared" si="11"/>
        <v>T.Ba</v>
      </c>
      <c r="AH74" s="150" t="str">
        <f t="shared" si="11"/>
        <v>T.Tư</v>
      </c>
      <c r="AI74" s="150" t="str">
        <f t="shared" si="11"/>
        <v>T.Năm</v>
      </c>
      <c r="AJ74" s="150"/>
      <c r="AK74" s="151" t="s">
        <v>16</v>
      </c>
      <c r="AL74" s="151" t="s">
        <v>31</v>
      </c>
      <c r="AM74" s="152" t="s">
        <v>17</v>
      </c>
      <c r="AN74" s="480"/>
      <c r="AO74" s="480"/>
      <c r="AP74" s="480"/>
      <c r="AQ74" s="480"/>
      <c r="AR74" s="480"/>
      <c r="AS74" s="467"/>
      <c r="AT74" s="469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2.75" customHeight="1">
      <c r="A75" s="279">
        <v>1</v>
      </c>
      <c r="B75" s="279">
        <v>2</v>
      </c>
      <c r="C75" s="279">
        <v>3</v>
      </c>
      <c r="D75" s="279">
        <v>4</v>
      </c>
      <c r="E75" s="279">
        <v>5</v>
      </c>
      <c r="F75" s="279">
        <v>6</v>
      </c>
      <c r="G75" s="279">
        <v>7</v>
      </c>
      <c r="H75" s="279">
        <v>8</v>
      </c>
      <c r="I75" s="279">
        <v>9</v>
      </c>
      <c r="J75" s="279">
        <v>10</v>
      </c>
      <c r="K75" s="279">
        <v>11</v>
      </c>
      <c r="L75" s="279">
        <v>12</v>
      </c>
      <c r="M75" s="279">
        <v>13</v>
      </c>
      <c r="N75" s="279">
        <v>14</v>
      </c>
      <c r="O75" s="279">
        <v>15</v>
      </c>
      <c r="P75" s="279">
        <v>16</v>
      </c>
      <c r="Q75" s="279">
        <v>17</v>
      </c>
      <c r="R75" s="279">
        <v>18</v>
      </c>
      <c r="S75" s="279">
        <v>19</v>
      </c>
      <c r="T75" s="279">
        <v>20</v>
      </c>
      <c r="U75" s="279">
        <v>21</v>
      </c>
      <c r="V75" s="279">
        <v>22</v>
      </c>
      <c r="W75" s="279">
        <v>23</v>
      </c>
      <c r="X75" s="279">
        <v>24</v>
      </c>
      <c r="Y75" s="279">
        <v>25</v>
      </c>
      <c r="Z75" s="279">
        <v>26</v>
      </c>
      <c r="AA75" s="279">
        <v>27</v>
      </c>
      <c r="AB75" s="279">
        <v>28</v>
      </c>
      <c r="AC75" s="279">
        <v>29</v>
      </c>
      <c r="AD75" s="279">
        <v>30</v>
      </c>
      <c r="AE75" s="279">
        <v>31</v>
      </c>
      <c r="AF75" s="279">
        <v>32</v>
      </c>
      <c r="AG75" s="279">
        <v>33</v>
      </c>
      <c r="AH75" s="279">
        <v>34</v>
      </c>
      <c r="AI75" s="279">
        <v>35</v>
      </c>
      <c r="AJ75" s="279">
        <v>36</v>
      </c>
      <c r="AK75" s="279">
        <v>37</v>
      </c>
      <c r="AL75" s="279">
        <v>38</v>
      </c>
      <c r="AM75" s="279">
        <v>39</v>
      </c>
      <c r="AN75" s="279">
        <v>40</v>
      </c>
      <c r="AO75" s="279">
        <v>41</v>
      </c>
      <c r="AP75" s="279">
        <v>42</v>
      </c>
      <c r="AQ75" s="279">
        <v>43</v>
      </c>
      <c r="AR75" s="279">
        <v>44</v>
      </c>
      <c r="AS75" s="279">
        <v>45</v>
      </c>
      <c r="AT75" s="342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470">
        <v>1</v>
      </c>
      <c r="B76" s="470" t="s">
        <v>68</v>
      </c>
      <c r="C76" s="472" t="str">
        <f>VLOOKUP(B76,DS,2,0)</f>
        <v>Nguyễn Thiện Duy</v>
      </c>
      <c r="D76" s="474" t="str">
        <f>VLOOKUP(B76,DS,3,0)</f>
        <v>Giám đốc</v>
      </c>
      <c r="E76" s="58" t="s">
        <v>32</v>
      </c>
      <c r="F76" s="153">
        <v>8</v>
      </c>
      <c r="G76" s="153"/>
      <c r="H76" s="153">
        <v>8</v>
      </c>
      <c r="I76" s="153">
        <v>8</v>
      </c>
      <c r="J76" s="153"/>
      <c r="K76" s="153">
        <v>8</v>
      </c>
      <c r="L76" s="153">
        <v>8</v>
      </c>
      <c r="M76" s="153">
        <v>8</v>
      </c>
      <c r="N76" s="153">
        <v>8</v>
      </c>
      <c r="O76" s="153">
        <v>8</v>
      </c>
      <c r="P76" s="153">
        <v>0</v>
      </c>
      <c r="Q76" s="153"/>
      <c r="R76" s="153">
        <v>8</v>
      </c>
      <c r="S76" s="153">
        <v>8</v>
      </c>
      <c r="T76" s="153">
        <v>8</v>
      </c>
      <c r="U76" s="153">
        <v>8</v>
      </c>
      <c r="V76" s="153">
        <v>8</v>
      </c>
      <c r="W76" s="153">
        <v>8</v>
      </c>
      <c r="X76" s="153"/>
      <c r="Y76" s="153">
        <v>0</v>
      </c>
      <c r="Z76" s="153">
        <v>8</v>
      </c>
      <c r="AA76" s="153">
        <v>8</v>
      </c>
      <c r="AB76" s="153">
        <v>8</v>
      </c>
      <c r="AC76" s="153">
        <v>8</v>
      </c>
      <c r="AD76" s="153">
        <v>8</v>
      </c>
      <c r="AE76" s="153"/>
      <c r="AF76" s="153">
        <v>8</v>
      </c>
      <c r="AG76" s="153"/>
      <c r="AH76" s="153">
        <v>8</v>
      </c>
      <c r="AI76" s="153">
        <v>8</v>
      </c>
      <c r="AJ76" s="153">
        <v>8</v>
      </c>
      <c r="AK76" s="444">
        <f>((SUM(F76:AJ76))/8)-(SUMIF($F$6:$AJ$6,"C.Nhật",F76:AJ76)/8)</f>
        <v>23</v>
      </c>
      <c r="AL76" s="444">
        <f>SUM(F77:AI77)/8*1.5</f>
        <v>0</v>
      </c>
      <c r="AM76" s="446">
        <f>SUMIF($F$6:$AI$6,"C.Nhật",$F76:$AI77)/8*2</f>
        <v>0</v>
      </c>
      <c r="AN76" s="435">
        <f>SUM(AK76:AM77)</f>
        <v>23</v>
      </c>
      <c r="AO76" s="481">
        <v>0</v>
      </c>
      <c r="AP76" s="483"/>
      <c r="AQ76" s="483"/>
      <c r="AR76" s="483"/>
      <c r="AS76" s="485"/>
      <c r="AT76" s="342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471"/>
      <c r="B77" s="471"/>
      <c r="C77" s="473"/>
      <c r="D77" s="475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445"/>
      <c r="AL77" s="445"/>
      <c r="AM77" s="447"/>
      <c r="AN77" s="436"/>
      <c r="AO77" s="482"/>
      <c r="AP77" s="484"/>
      <c r="AQ77" s="484"/>
      <c r="AR77" s="484"/>
      <c r="AS77" s="486"/>
      <c r="AT77" s="342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70">
        <v>2</v>
      </c>
      <c r="B78" s="470" t="s">
        <v>70</v>
      </c>
      <c r="C78" s="472" t="str">
        <f>VLOOKUP(B78,DS,2,0)</f>
        <v>Nguyễn Văn Sẽ</v>
      </c>
      <c r="D78" s="474" t="str">
        <f>VLOOKUP(B78,DS,3,0)</f>
        <v>Kỹ Thuật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/>
      <c r="K78" s="153">
        <v>8</v>
      </c>
      <c r="L78" s="153">
        <v>8</v>
      </c>
      <c r="M78" s="153">
        <v>8</v>
      </c>
      <c r="N78" s="153">
        <v>8</v>
      </c>
      <c r="O78" s="153">
        <v>8</v>
      </c>
      <c r="P78" s="153">
        <v>8</v>
      </c>
      <c r="Q78" s="153"/>
      <c r="R78" s="153">
        <v>8</v>
      </c>
      <c r="S78" s="153">
        <v>8</v>
      </c>
      <c r="T78" s="153">
        <v>8</v>
      </c>
      <c r="U78" s="153">
        <v>8</v>
      </c>
      <c r="V78" s="153">
        <v>8</v>
      </c>
      <c r="W78" s="153">
        <v>8</v>
      </c>
      <c r="X78" s="153"/>
      <c r="Y78" s="153">
        <v>8</v>
      </c>
      <c r="Z78" s="153">
        <v>8</v>
      </c>
      <c r="AA78" s="153">
        <v>8</v>
      </c>
      <c r="AB78" s="153">
        <v>8</v>
      </c>
      <c r="AC78" s="153">
        <v>8</v>
      </c>
      <c r="AD78" s="153">
        <v>8</v>
      </c>
      <c r="AE78" s="153"/>
      <c r="AF78" s="153">
        <v>8</v>
      </c>
      <c r="AG78" s="153">
        <v>8</v>
      </c>
      <c r="AH78" s="153">
        <v>8</v>
      </c>
      <c r="AI78" s="153">
        <v>8</v>
      </c>
      <c r="AJ78" s="153">
        <v>8</v>
      </c>
      <c r="AK78" s="444">
        <f>((SUM(F78:AJ78))/8)-(SUMIF($F$6:$AJ$6,"C.Nhật",F78:AJ78)/8)</f>
        <v>27</v>
      </c>
      <c r="AL78" s="444">
        <f>SUM(F79:AI79)/8*1.5</f>
        <v>0</v>
      </c>
      <c r="AM78" s="446">
        <f>SUMIF($F$6:$AI$6,"C.Nhật",$F78:$AI79)/8*2</f>
        <v>0</v>
      </c>
      <c r="AN78" s="435">
        <f>SUM(AK78:AM79)</f>
        <v>27</v>
      </c>
      <c r="AO78" s="481">
        <v>0</v>
      </c>
      <c r="AP78" s="483"/>
      <c r="AQ78" s="483"/>
      <c r="AR78" s="483"/>
      <c r="AS78" s="485"/>
      <c r="AT78" s="342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71"/>
      <c r="B79" s="471"/>
      <c r="C79" s="473"/>
      <c r="D79" s="475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45"/>
      <c r="AL79" s="445"/>
      <c r="AM79" s="447"/>
      <c r="AN79" s="436"/>
      <c r="AO79" s="482"/>
      <c r="AP79" s="484"/>
      <c r="AQ79" s="484"/>
      <c r="AR79" s="484"/>
      <c r="AS79" s="486"/>
      <c r="AT79" s="342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70">
        <v>3</v>
      </c>
      <c r="B80" s="470" t="s">
        <v>72</v>
      </c>
      <c r="C80" s="472" t="str">
        <f>VLOOKUP(B80,DS,2,0)</f>
        <v>Võ Uyên Phương</v>
      </c>
      <c r="D80" s="474" t="str">
        <f>VLOOKUP(B80,DS,3,0)</f>
        <v>Kế toán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/>
      <c r="K80" s="153">
        <v>8</v>
      </c>
      <c r="L80" s="153">
        <v>8</v>
      </c>
      <c r="M80" s="153">
        <v>8</v>
      </c>
      <c r="N80" s="153">
        <v>8</v>
      </c>
      <c r="O80" s="153">
        <v>8</v>
      </c>
      <c r="P80" s="153">
        <v>8</v>
      </c>
      <c r="Q80" s="153"/>
      <c r="R80" s="153">
        <v>8</v>
      </c>
      <c r="S80" s="153">
        <v>8</v>
      </c>
      <c r="T80" s="153">
        <v>8</v>
      </c>
      <c r="U80" s="153">
        <v>8</v>
      </c>
      <c r="V80" s="153">
        <v>8</v>
      </c>
      <c r="W80" s="153">
        <v>8</v>
      </c>
      <c r="X80" s="153"/>
      <c r="Y80" s="153">
        <v>8</v>
      </c>
      <c r="Z80" s="153">
        <v>8</v>
      </c>
      <c r="AA80" s="153">
        <v>8</v>
      </c>
      <c r="AB80" s="153">
        <v>8</v>
      </c>
      <c r="AC80" s="153">
        <v>8</v>
      </c>
      <c r="AD80" s="153">
        <v>8</v>
      </c>
      <c r="AE80" s="153"/>
      <c r="AF80" s="153">
        <v>8</v>
      </c>
      <c r="AG80" s="153">
        <v>8</v>
      </c>
      <c r="AH80" s="153">
        <v>8</v>
      </c>
      <c r="AI80" s="153">
        <v>8</v>
      </c>
      <c r="AJ80" s="153">
        <v>8</v>
      </c>
      <c r="AK80" s="444">
        <f>((SUM(F80:AJ80))/8)-(SUMIF($F$6:$AJ$6,"C.Nhật",F80:AJ80)/8)</f>
        <v>27</v>
      </c>
      <c r="AL80" s="444">
        <f>SUM(F81:AI81)/8*1.5</f>
        <v>0</v>
      </c>
      <c r="AM80" s="446">
        <f>SUMIF($F$6:$AI$6,"C.Nhật",$F80:$AI81)/8*2</f>
        <v>0</v>
      </c>
      <c r="AN80" s="435">
        <f>SUM(AK80:AM81)</f>
        <v>27</v>
      </c>
      <c r="AO80" s="481">
        <v>0</v>
      </c>
      <c r="AP80" s="483"/>
      <c r="AQ80" s="483"/>
      <c r="AR80" s="483"/>
      <c r="AS80" s="485"/>
      <c r="AT80" s="342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71"/>
      <c r="B81" s="471"/>
      <c r="C81" s="473"/>
      <c r="D81" s="475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45"/>
      <c r="AL81" s="445"/>
      <c r="AM81" s="447"/>
      <c r="AN81" s="436"/>
      <c r="AO81" s="482"/>
      <c r="AP81" s="484"/>
      <c r="AQ81" s="484"/>
      <c r="AR81" s="484"/>
      <c r="AS81" s="486"/>
      <c r="AT81" s="342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70">
        <v>4</v>
      </c>
      <c r="B82" s="470" t="s">
        <v>75</v>
      </c>
      <c r="C82" s="472" t="str">
        <f>VLOOKUP(B82,DS,2,0)</f>
        <v>Lê Nguyễn Huy Cường</v>
      </c>
      <c r="D82" s="474" t="str">
        <f>VLOOKUP(B82,DS,3,0)</f>
        <v>XNK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/>
      <c r="K82" s="153">
        <v>8</v>
      </c>
      <c r="L82" s="153">
        <v>8</v>
      </c>
      <c r="M82" s="153">
        <v>8</v>
      </c>
      <c r="N82" s="153">
        <v>8</v>
      </c>
      <c r="O82" s="153">
        <v>8</v>
      </c>
      <c r="P82" s="153">
        <v>8</v>
      </c>
      <c r="Q82" s="153"/>
      <c r="R82" s="153">
        <v>8</v>
      </c>
      <c r="S82" s="153">
        <v>8</v>
      </c>
      <c r="T82" s="153">
        <v>8</v>
      </c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>
        <v>8</v>
      </c>
      <c r="AB82" s="153">
        <v>8</v>
      </c>
      <c r="AC82" s="153">
        <v>8</v>
      </c>
      <c r="AD82" s="153">
        <v>8</v>
      </c>
      <c r="AE82" s="153"/>
      <c r="AF82" s="153">
        <v>8</v>
      </c>
      <c r="AG82" s="153">
        <v>8</v>
      </c>
      <c r="AH82" s="153">
        <v>8</v>
      </c>
      <c r="AI82" s="153">
        <v>8</v>
      </c>
      <c r="AJ82" s="153">
        <v>8</v>
      </c>
      <c r="AK82" s="444">
        <f>((SUM(F82:AJ82))/8)-(SUMIF($F$6:$AJ$6,"C.Nhật",F82:AJ82)/8)</f>
        <v>27</v>
      </c>
      <c r="AL82" s="444">
        <f>SUM(F83:AI83)/8*1.5</f>
        <v>0</v>
      </c>
      <c r="AM82" s="446">
        <f>SUMIF($F$6:$AI$6,"C.Nhật",$F82:$AI83)/8*2</f>
        <v>0</v>
      </c>
      <c r="AN82" s="435">
        <f>SUM(AK82:AM83)</f>
        <v>27</v>
      </c>
      <c r="AO82" s="481">
        <v>0</v>
      </c>
      <c r="AP82" s="483"/>
      <c r="AQ82" s="483"/>
      <c r="AR82" s="483"/>
      <c r="AS82" s="485"/>
      <c r="AT82" s="342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71"/>
      <c r="B83" s="471"/>
      <c r="C83" s="473"/>
      <c r="D83" s="475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45"/>
      <c r="AL83" s="445"/>
      <c r="AM83" s="447"/>
      <c r="AN83" s="436"/>
      <c r="AO83" s="482"/>
      <c r="AP83" s="484"/>
      <c r="AQ83" s="484"/>
      <c r="AR83" s="484"/>
      <c r="AS83" s="486"/>
      <c r="AT83" s="342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70">
        <v>5</v>
      </c>
      <c r="B84" s="470" t="s">
        <v>77</v>
      </c>
      <c r="C84" s="472" t="str">
        <f>VLOOKUP(B84,DS,2,0)</f>
        <v>Nguyễn Văn Bé Tư</v>
      </c>
      <c r="D84" s="474" t="str">
        <f>VLOOKUP(B84,DS,3,0)</f>
        <v>Tài xế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/>
      <c r="K84" s="153">
        <v>8</v>
      </c>
      <c r="L84" s="153">
        <v>8</v>
      </c>
      <c r="M84" s="153">
        <v>8</v>
      </c>
      <c r="N84" s="153">
        <v>8</v>
      </c>
      <c r="O84" s="153">
        <v>8</v>
      </c>
      <c r="P84" s="153">
        <v>8</v>
      </c>
      <c r="Q84" s="153"/>
      <c r="R84" s="153">
        <v>8</v>
      </c>
      <c r="S84" s="153">
        <v>8</v>
      </c>
      <c r="T84" s="153">
        <v>8</v>
      </c>
      <c r="U84" s="153">
        <v>8</v>
      </c>
      <c r="V84" s="153">
        <v>8</v>
      </c>
      <c r="W84" s="153">
        <v>8</v>
      </c>
      <c r="X84" s="153"/>
      <c r="Y84" s="153">
        <v>8</v>
      </c>
      <c r="Z84" s="153">
        <v>8</v>
      </c>
      <c r="AA84" s="153">
        <v>8</v>
      </c>
      <c r="AB84" s="153">
        <v>8</v>
      </c>
      <c r="AC84" s="153">
        <v>8</v>
      </c>
      <c r="AD84" s="153">
        <v>8</v>
      </c>
      <c r="AE84" s="153"/>
      <c r="AF84" s="153">
        <v>8</v>
      </c>
      <c r="AG84" s="153">
        <v>8</v>
      </c>
      <c r="AH84" s="153">
        <v>8</v>
      </c>
      <c r="AI84" s="153">
        <v>8</v>
      </c>
      <c r="AJ84" s="153">
        <v>8</v>
      </c>
      <c r="AK84" s="444">
        <f>((SUM(F84:AJ84))/8)-(SUMIF($F$6:$AJ$6,"C.Nhật",F84:AJ84)/8)</f>
        <v>27</v>
      </c>
      <c r="AL84" s="444">
        <f>SUM(F85:AI85)/8*1.5</f>
        <v>0</v>
      </c>
      <c r="AM84" s="446">
        <f>SUMIF($F$6:$AI$6,"C.Nhật",$F84:$AI85)/8*2</f>
        <v>0</v>
      </c>
      <c r="AN84" s="435">
        <f>SUM(AK84:AM85)</f>
        <v>27</v>
      </c>
      <c r="AO84" s="481">
        <v>0</v>
      </c>
      <c r="AP84" s="483"/>
      <c r="AQ84" s="483"/>
      <c r="AR84" s="483"/>
      <c r="AS84" s="485"/>
      <c r="AT84" s="342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71"/>
      <c r="B85" s="471"/>
      <c r="C85" s="473"/>
      <c r="D85" s="475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45"/>
      <c r="AL85" s="445"/>
      <c r="AM85" s="447"/>
      <c r="AN85" s="436"/>
      <c r="AO85" s="482"/>
      <c r="AP85" s="484"/>
      <c r="AQ85" s="484"/>
      <c r="AR85" s="484"/>
      <c r="AS85" s="486"/>
      <c r="AT85" s="342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70">
        <v>6</v>
      </c>
      <c r="B86" s="470" t="s">
        <v>78</v>
      </c>
      <c r="C86" s="472" t="str">
        <f>VLOOKUP(B86,DS,2,0)</f>
        <v>Dương Thanh Tuấn</v>
      </c>
      <c r="D86" s="474" t="str">
        <f>VLOOKUP(B86,DS,3,0)</f>
        <v>Nhân sự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/>
      <c r="K86" s="153">
        <v>8</v>
      </c>
      <c r="L86" s="153">
        <v>8</v>
      </c>
      <c r="M86" s="153">
        <v>8</v>
      </c>
      <c r="N86" s="153">
        <v>8</v>
      </c>
      <c r="O86" s="153">
        <v>8</v>
      </c>
      <c r="P86" s="153">
        <v>8</v>
      </c>
      <c r="Q86" s="153"/>
      <c r="R86" s="153">
        <v>8</v>
      </c>
      <c r="S86" s="153">
        <v>8</v>
      </c>
      <c r="T86" s="153">
        <v>8</v>
      </c>
      <c r="U86" s="153">
        <v>8</v>
      </c>
      <c r="V86" s="153">
        <v>8</v>
      </c>
      <c r="W86" s="153">
        <v>8</v>
      </c>
      <c r="X86" s="153"/>
      <c r="Y86" s="153">
        <v>8</v>
      </c>
      <c r="Z86" s="153">
        <v>8</v>
      </c>
      <c r="AA86" s="153">
        <v>8</v>
      </c>
      <c r="AB86" s="153">
        <v>8</v>
      </c>
      <c r="AC86" s="153">
        <v>8</v>
      </c>
      <c r="AD86" s="153">
        <v>8</v>
      </c>
      <c r="AE86" s="153"/>
      <c r="AF86" s="153">
        <v>8</v>
      </c>
      <c r="AG86" s="153">
        <v>8</v>
      </c>
      <c r="AH86" s="153">
        <v>8</v>
      </c>
      <c r="AI86" s="153">
        <v>8</v>
      </c>
      <c r="AJ86" s="153">
        <v>8</v>
      </c>
      <c r="AK86" s="444">
        <f>((SUM(F86:AJ86))/8)-(SUMIF($F$6:$AJ$6,"C.Nhật",F86:AJ86)/8)</f>
        <v>27</v>
      </c>
      <c r="AL86" s="444">
        <f>SUM(F87:AI87)/8*1.5</f>
        <v>0</v>
      </c>
      <c r="AM86" s="446">
        <f>SUMIF($F$6:$AI$6,"C.Nhật",$F86:$AI87)/8*2</f>
        <v>0</v>
      </c>
      <c r="AN86" s="435">
        <f>SUM(AK86:AM87)</f>
        <v>27</v>
      </c>
      <c r="AO86" s="481">
        <v>0</v>
      </c>
      <c r="AP86" s="483"/>
      <c r="AQ86" s="483"/>
      <c r="AR86" s="483"/>
      <c r="AS86" s="485"/>
      <c r="AT86" s="342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71"/>
      <c r="B87" s="471"/>
      <c r="C87" s="473"/>
      <c r="D87" s="475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45"/>
      <c r="AL87" s="445"/>
      <c r="AM87" s="447"/>
      <c r="AN87" s="436"/>
      <c r="AO87" s="482"/>
      <c r="AP87" s="484"/>
      <c r="AQ87" s="484"/>
      <c r="AR87" s="484"/>
      <c r="AS87" s="486"/>
      <c r="AT87" s="342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70">
        <v>7</v>
      </c>
      <c r="B88" s="470" t="s">
        <v>81</v>
      </c>
      <c r="C88" s="472" t="str">
        <f>VLOOKUP(B88,DS,2,0)</f>
        <v>Nguyễn Thiện Duyệt</v>
      </c>
      <c r="D88" s="474" t="str">
        <f>VLOOKUP(B88,DS,3,0)</f>
        <v>XNK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/>
      <c r="K88" s="153">
        <v>8</v>
      </c>
      <c r="L88" s="153">
        <v>8</v>
      </c>
      <c r="M88" s="153">
        <v>8</v>
      </c>
      <c r="N88" s="153">
        <v>8</v>
      </c>
      <c r="O88" s="153">
        <v>8</v>
      </c>
      <c r="P88" s="153">
        <v>8</v>
      </c>
      <c r="Q88" s="153"/>
      <c r="R88" s="153">
        <v>8</v>
      </c>
      <c r="S88" s="153">
        <v>8</v>
      </c>
      <c r="T88" s="153">
        <v>8</v>
      </c>
      <c r="U88" s="153">
        <v>8</v>
      </c>
      <c r="V88" s="153">
        <v>8</v>
      </c>
      <c r="W88" s="153">
        <v>8</v>
      </c>
      <c r="X88" s="153"/>
      <c r="Y88" s="153">
        <v>8</v>
      </c>
      <c r="Z88" s="153">
        <v>8</v>
      </c>
      <c r="AA88" s="153">
        <v>8</v>
      </c>
      <c r="AB88" s="153">
        <v>8</v>
      </c>
      <c r="AC88" s="153">
        <v>8</v>
      </c>
      <c r="AD88" s="153">
        <v>8</v>
      </c>
      <c r="AE88" s="153"/>
      <c r="AF88" s="153">
        <v>8</v>
      </c>
      <c r="AG88" s="153">
        <v>8</v>
      </c>
      <c r="AH88" s="153">
        <v>8</v>
      </c>
      <c r="AI88" s="153">
        <v>8</v>
      </c>
      <c r="AJ88" s="153">
        <v>8</v>
      </c>
      <c r="AK88" s="444">
        <f>((SUM(F88:AJ88))/8)-(SUMIF($F$6:$AJ$6,"C.Nhật",F88:AJ88)/8)</f>
        <v>27</v>
      </c>
      <c r="AL88" s="444">
        <f>SUM(F89:AI89)/8*1.5</f>
        <v>0</v>
      </c>
      <c r="AM88" s="446">
        <f>SUMIF($F$6:$AI$6,"C.Nhật",$F88:$AI89)/8*2</f>
        <v>0</v>
      </c>
      <c r="AN88" s="435">
        <f>SUM(AK88:AM89)</f>
        <v>27</v>
      </c>
      <c r="AO88" s="481">
        <v>0</v>
      </c>
      <c r="AP88" s="483"/>
      <c r="AQ88" s="483"/>
      <c r="AR88" s="483"/>
      <c r="AS88" s="485"/>
      <c r="AT88" s="342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71"/>
      <c r="B89" s="471"/>
      <c r="C89" s="473"/>
      <c r="D89" s="475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445"/>
      <c r="AL89" s="445"/>
      <c r="AM89" s="447"/>
      <c r="AN89" s="436"/>
      <c r="AO89" s="482"/>
      <c r="AP89" s="484"/>
      <c r="AQ89" s="484"/>
      <c r="AR89" s="484"/>
      <c r="AS89" s="486"/>
      <c r="AT89" s="342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70">
        <v>8</v>
      </c>
      <c r="B90" s="470" t="s">
        <v>208</v>
      </c>
      <c r="C90" s="472" t="s">
        <v>203</v>
      </c>
      <c r="D90" s="474" t="str">
        <f>VLOOKUP(B90,DS,3,0)</f>
        <v>Kế toán</v>
      </c>
      <c r="E90" s="58" t="s">
        <v>32</v>
      </c>
      <c r="F90" s="153">
        <v>8</v>
      </c>
      <c r="G90" s="153">
        <v>8</v>
      </c>
      <c r="H90" s="153">
        <v>8</v>
      </c>
      <c r="I90" s="153">
        <v>8</v>
      </c>
      <c r="J90" s="153"/>
      <c r="K90" s="153">
        <v>8</v>
      </c>
      <c r="L90" s="153">
        <v>8</v>
      </c>
      <c r="M90" s="153">
        <v>8</v>
      </c>
      <c r="N90" s="153">
        <v>8</v>
      </c>
      <c r="O90" s="153">
        <v>8</v>
      </c>
      <c r="P90" s="153">
        <v>8</v>
      </c>
      <c r="Q90" s="153"/>
      <c r="R90" s="153">
        <v>8</v>
      </c>
      <c r="S90" s="153">
        <v>8</v>
      </c>
      <c r="T90" s="153">
        <v>8</v>
      </c>
      <c r="U90" s="153">
        <v>8</v>
      </c>
      <c r="V90" s="153">
        <v>8</v>
      </c>
      <c r="W90" s="153">
        <v>8</v>
      </c>
      <c r="X90" s="153"/>
      <c r="Y90" s="153">
        <v>8</v>
      </c>
      <c r="Z90" s="153">
        <v>8</v>
      </c>
      <c r="AA90" s="153">
        <v>8</v>
      </c>
      <c r="AB90" s="153">
        <v>8</v>
      </c>
      <c r="AC90" s="153">
        <v>8</v>
      </c>
      <c r="AD90" s="153">
        <v>8</v>
      </c>
      <c r="AE90" s="153"/>
      <c r="AF90" s="153">
        <v>8</v>
      </c>
      <c r="AG90" s="153">
        <v>8</v>
      </c>
      <c r="AH90" s="153">
        <v>8</v>
      </c>
      <c r="AI90" s="153">
        <v>8</v>
      </c>
      <c r="AJ90" s="153">
        <v>8</v>
      </c>
      <c r="AK90" s="444">
        <f>((SUM(F90:AJ90))/8)-(SUMIF($F$6:$AJ$6,"C.Nhật",F90:AJ90)/8)</f>
        <v>27</v>
      </c>
      <c r="AL90" s="444">
        <f>SUM(F91:AI91)/8*1.5</f>
        <v>0</v>
      </c>
      <c r="AM90" s="446">
        <f>SUMIF($F$6:$AI$6,"C.Nhật",$F90:$AI91)/8*2</f>
        <v>0</v>
      </c>
      <c r="AN90" s="435">
        <f>SUM(AK90:AM91)</f>
        <v>27</v>
      </c>
      <c r="AO90" s="481">
        <v>0</v>
      </c>
      <c r="AP90" s="483"/>
      <c r="AQ90" s="483"/>
      <c r="AR90" s="483"/>
      <c r="AS90" s="485"/>
      <c r="AT90" s="348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471"/>
      <c r="B91" s="471"/>
      <c r="C91" s="473"/>
      <c r="D91" s="475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445"/>
      <c r="AL91" s="445"/>
      <c r="AM91" s="447"/>
      <c r="AN91" s="436"/>
      <c r="AO91" s="482"/>
      <c r="AP91" s="484"/>
      <c r="AQ91" s="484"/>
      <c r="AR91" s="484"/>
      <c r="AS91" s="486"/>
      <c r="AT91" s="348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470">
        <v>9</v>
      </c>
      <c r="B92" s="470" t="s">
        <v>207</v>
      </c>
      <c r="C92" s="472" t="s">
        <v>204</v>
      </c>
      <c r="D92" s="474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8</v>
      </c>
      <c r="J92" s="153"/>
      <c r="K92" s="153">
        <v>8</v>
      </c>
      <c r="L92" s="153">
        <v>8</v>
      </c>
      <c r="M92" s="153">
        <v>8</v>
      </c>
      <c r="N92" s="153">
        <v>8</v>
      </c>
      <c r="O92" s="153">
        <v>8</v>
      </c>
      <c r="P92" s="153">
        <v>8</v>
      </c>
      <c r="Q92" s="153"/>
      <c r="R92" s="153">
        <v>8</v>
      </c>
      <c r="S92" s="153">
        <v>8</v>
      </c>
      <c r="T92" s="153">
        <v>8</v>
      </c>
      <c r="U92" s="153">
        <v>8</v>
      </c>
      <c r="V92" s="153">
        <v>8</v>
      </c>
      <c r="W92" s="153">
        <v>8</v>
      </c>
      <c r="X92" s="153"/>
      <c r="Y92" s="153">
        <v>8</v>
      </c>
      <c r="Z92" s="153">
        <v>8</v>
      </c>
      <c r="AA92" s="153">
        <v>8</v>
      </c>
      <c r="AB92" s="153">
        <v>8</v>
      </c>
      <c r="AC92" s="153">
        <v>8</v>
      </c>
      <c r="AD92" s="153">
        <v>8</v>
      </c>
      <c r="AE92" s="153"/>
      <c r="AF92" s="153">
        <v>8</v>
      </c>
      <c r="AG92" s="153">
        <v>8</v>
      </c>
      <c r="AH92" s="153">
        <v>8</v>
      </c>
      <c r="AI92" s="153">
        <v>8</v>
      </c>
      <c r="AJ92" s="153">
        <v>8</v>
      </c>
      <c r="AK92" s="444">
        <f>((SUM(F92:AJ92))/8)-(SUMIF($F$6:$AJ$6,"C.Nhật",F92:AJ92)/8)</f>
        <v>27</v>
      </c>
      <c r="AL92" s="444">
        <f>SUM(F93:AI93)/8*1.5</f>
        <v>0</v>
      </c>
      <c r="AM92" s="446">
        <f>SUMIF($F$6:$AI$6,"C.Nhật",$F92:$AI93)/8*2</f>
        <v>0</v>
      </c>
      <c r="AN92" s="435">
        <f>SUM(AK92:AM93)</f>
        <v>27</v>
      </c>
      <c r="AO92" s="481">
        <v>0</v>
      </c>
      <c r="AP92" s="483"/>
      <c r="AQ92" s="483"/>
      <c r="AR92" s="483"/>
      <c r="AS92" s="485"/>
      <c r="AT92" s="348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471"/>
      <c r="B93" s="471"/>
      <c r="C93" s="473"/>
      <c r="D93" s="475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445"/>
      <c r="AL93" s="445"/>
      <c r="AM93" s="447"/>
      <c r="AN93" s="436"/>
      <c r="AO93" s="482"/>
      <c r="AP93" s="484"/>
      <c r="AQ93" s="484"/>
      <c r="AR93" s="484"/>
      <c r="AS93" s="486"/>
      <c r="AT93" s="348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65" customFormat="1" ht="12.75">
      <c r="A94" s="155"/>
      <c r="B94" s="156"/>
      <c r="C94" s="157"/>
      <c r="D94" s="158"/>
      <c r="E94" s="157"/>
      <c r="F94" s="159"/>
      <c r="G94" s="159"/>
      <c r="H94" s="160"/>
      <c r="I94" s="160"/>
      <c r="J94" s="161"/>
      <c r="K94" s="159"/>
      <c r="L94" s="160"/>
      <c r="M94" s="159"/>
      <c r="N94" s="159"/>
      <c r="O94" s="159"/>
      <c r="P94" s="159"/>
      <c r="Q94" s="160"/>
      <c r="R94" s="159"/>
      <c r="S94" s="159"/>
      <c r="T94" s="161"/>
      <c r="U94" s="159"/>
      <c r="V94" s="159"/>
      <c r="W94" s="159"/>
      <c r="X94" s="156"/>
      <c r="Y94" s="159"/>
      <c r="Z94" s="159"/>
      <c r="AA94" s="159"/>
      <c r="AB94" s="159"/>
      <c r="AC94" s="159"/>
      <c r="AD94" s="160"/>
      <c r="AE94" s="159"/>
      <c r="AF94" s="159"/>
      <c r="AG94" s="159"/>
      <c r="AH94" s="159"/>
      <c r="AI94" s="159"/>
      <c r="AJ94" s="159"/>
      <c r="AK94" s="157"/>
      <c r="AL94" s="157"/>
      <c r="AM94" s="162"/>
      <c r="AN94" s="163"/>
      <c r="AO94" s="163"/>
      <c r="AP94" s="163"/>
      <c r="AQ94" s="163"/>
      <c r="AR94" s="163"/>
      <c r="AS94" s="157"/>
      <c r="AT94" s="164"/>
    </row>
    <row r="95" spans="1:91" s="165" customFormat="1" ht="12.75">
      <c r="A95" s="155"/>
      <c r="B95" s="156"/>
      <c r="C95" s="166" t="s">
        <v>14</v>
      </c>
      <c r="D95" s="158"/>
      <c r="E95" s="157"/>
      <c r="F95" s="159"/>
      <c r="G95" s="159"/>
      <c r="H95" s="160"/>
      <c r="I95" s="160"/>
      <c r="J95" s="161"/>
      <c r="K95" s="159"/>
      <c r="L95" s="160"/>
      <c r="M95" s="159"/>
      <c r="N95" s="159"/>
      <c r="O95" s="159"/>
      <c r="P95" s="159"/>
      <c r="Q95" s="160"/>
      <c r="R95" s="159"/>
      <c r="S95" s="159"/>
      <c r="T95" s="161"/>
      <c r="U95" s="159"/>
      <c r="V95" s="159"/>
      <c r="W95" s="159"/>
      <c r="X95" s="156"/>
      <c r="Y95" s="159"/>
      <c r="Z95" s="159"/>
      <c r="AA95" s="159"/>
      <c r="AB95" s="159"/>
      <c r="AC95" s="159"/>
      <c r="AD95" s="160"/>
      <c r="AE95" s="159"/>
      <c r="AF95" s="159"/>
      <c r="AG95" s="159"/>
      <c r="AH95" s="159"/>
      <c r="AI95" s="159"/>
      <c r="AJ95" s="159"/>
      <c r="AK95" s="157"/>
      <c r="AL95" s="157"/>
      <c r="AM95" s="162"/>
      <c r="AN95" s="163"/>
      <c r="AO95" s="163"/>
      <c r="AP95" s="163"/>
      <c r="AQ95" s="163"/>
      <c r="AR95" s="163"/>
      <c r="AS95" s="157"/>
      <c r="AT95" s="164"/>
    </row>
    <row r="96" spans="1:91" s="165" customFormat="1" ht="12.75">
      <c r="A96" s="167"/>
      <c r="B96" s="167"/>
      <c r="C96" s="157"/>
      <c r="D96" s="158"/>
      <c r="E96" s="157"/>
      <c r="F96" s="159"/>
      <c r="G96" s="159"/>
      <c r="H96" s="168"/>
      <c r="I96" s="168"/>
      <c r="J96" s="168"/>
      <c r="K96" s="159"/>
      <c r="L96" s="168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68"/>
      <c r="AE96" s="159"/>
      <c r="AF96" s="159"/>
      <c r="AG96" s="159"/>
      <c r="AH96" s="159"/>
      <c r="AI96" s="159"/>
      <c r="AJ96" s="159"/>
      <c r="AK96" s="157"/>
      <c r="AL96" s="157"/>
      <c r="AM96" s="162"/>
      <c r="AN96" s="169"/>
      <c r="AO96" s="169"/>
      <c r="AP96" s="169"/>
      <c r="AQ96" s="169"/>
      <c r="AR96" s="169"/>
      <c r="AS96" s="157"/>
      <c r="AT96" s="164"/>
    </row>
    <row r="97" spans="1:46" s="170" customFormat="1" ht="15" customHeight="1">
      <c r="A97" s="167"/>
      <c r="B97" s="167"/>
      <c r="C97" s="157"/>
      <c r="D97" s="158"/>
      <c r="E97" s="15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57"/>
    </row>
    <row r="98" spans="1:46" s="170" customFormat="1" ht="11.25">
      <c r="A98" s="167"/>
      <c r="B98" s="157"/>
      <c r="C98" s="158"/>
      <c r="D98" s="157"/>
      <c r="E98" s="16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57"/>
    </row>
    <row r="99" spans="1:46" s="170" customFormat="1" ht="11.25">
      <c r="A99" s="167"/>
      <c r="B99" s="157"/>
      <c r="C99" s="158"/>
      <c r="D99" s="157"/>
      <c r="E99" s="16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6"/>
      <c r="B100" s="166"/>
      <c r="C100" s="155"/>
      <c r="D100" s="171"/>
      <c r="E100" s="172"/>
      <c r="F100" s="161"/>
      <c r="G100" s="173"/>
      <c r="H100" s="160"/>
      <c r="I100" s="160"/>
      <c r="J100" s="160"/>
      <c r="K100" s="173"/>
      <c r="L100" s="160"/>
      <c r="M100" s="173"/>
      <c r="N100" s="173"/>
      <c r="O100" s="173"/>
      <c r="P100" s="173"/>
      <c r="Q100" s="160"/>
      <c r="R100" s="161"/>
      <c r="S100" s="173"/>
      <c r="T100" s="173"/>
      <c r="U100" s="160"/>
      <c r="V100" s="173"/>
      <c r="W100" s="173"/>
      <c r="X100" s="160"/>
      <c r="Y100" s="173"/>
      <c r="Z100" s="173"/>
      <c r="AA100" s="173"/>
      <c r="AB100" s="173"/>
      <c r="AC100" s="173"/>
      <c r="AD100" s="160"/>
      <c r="AE100" s="173"/>
      <c r="AF100" s="173"/>
      <c r="AG100" s="173"/>
      <c r="AH100" s="173"/>
      <c r="AI100" s="173"/>
      <c r="AJ100" s="173"/>
      <c r="AK100" s="172"/>
      <c r="AM100" s="174"/>
      <c r="AN100" s="166"/>
      <c r="AO100" s="166"/>
      <c r="AP100" s="166"/>
      <c r="AQ100" s="166"/>
      <c r="AR100" s="166"/>
      <c r="AS100" s="155"/>
      <c r="AT100" s="157"/>
    </row>
    <row r="101" spans="1:46" s="170" customFormat="1" ht="12.75">
      <c r="A101" s="133"/>
      <c r="B101" s="133" t="s">
        <v>0</v>
      </c>
      <c r="C101" s="133"/>
      <c r="D101" s="175"/>
      <c r="E101" s="133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K101" s="133"/>
      <c r="AL101" s="133"/>
      <c r="AM101" s="178"/>
      <c r="AN101" s="133"/>
      <c r="AO101" s="133"/>
      <c r="AP101" s="133"/>
      <c r="AQ101" s="133"/>
      <c r="AR101" s="133"/>
      <c r="AS101" s="133"/>
      <c r="AT101" s="157"/>
    </row>
    <row r="102" spans="1:46" s="170" customFormat="1" ht="12.75">
      <c r="A102" s="133"/>
      <c r="B102" s="133"/>
      <c r="C102" s="133" t="s">
        <v>46</v>
      </c>
      <c r="D102" s="175"/>
      <c r="E102" s="133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K102" s="133"/>
      <c r="AL102" s="133"/>
      <c r="AM102" s="178"/>
      <c r="AN102" s="133"/>
      <c r="AO102" s="133"/>
      <c r="AP102" s="133"/>
      <c r="AQ102" s="133"/>
      <c r="AR102" s="133"/>
      <c r="AS102" s="133"/>
      <c r="AT102" s="155"/>
    </row>
    <row r="103" spans="1:46" s="133" customFormat="1" ht="15" customHeight="1">
      <c r="C103" s="133" t="s">
        <v>47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48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49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50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51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52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53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54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24" ht="12.75"/>
    <row r="125" ht="12.75"/>
    <row r="126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3" name="Range1_1_1_2"/>
    <protectedRange password="CC78" sqref="C76:E93 A76:A93" name="Range1_6_1_1"/>
    <protectedRange password="CC78" sqref="B76:B89" name="Range1_4_1_1"/>
    <protectedRange password="CC78" sqref="J96:J99 Q94:Q95" name="Range1_1_1_1_1_1"/>
    <protectedRange password="CC78" sqref="J100" name="Range1_3_1_1_1_1"/>
    <protectedRange password="CC78" sqref="A37:A46 A14:A35" name="Range1_1_2_1"/>
    <protectedRange password="CC78" sqref="C37:E46 A37:A46 A14:A35 C14:E35" name="Range1_6_2_1"/>
    <protectedRange password="CC78" sqref="B37:B38 B41:B46 B14:B33 B35" name="Range1_4_2_1"/>
    <protectedRange password="CC78" sqref="B39:B40" name="Range1_4_2_2"/>
    <protectedRange password="CC78" sqref="B99" name="Range1"/>
    <protectedRange password="CC78" sqref="B99" name="Range1_3"/>
    <protectedRange password="CC78" sqref="B34" name="Range1_1"/>
  </protectedRanges>
  <mergeCells count="375"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M92:AM93"/>
    <mergeCell ref="AN92:AN93"/>
    <mergeCell ref="AO92:AO93"/>
    <mergeCell ref="AP92:AP93"/>
    <mergeCell ref="AQ92:AQ93"/>
    <mergeCell ref="AR92:AR93"/>
    <mergeCell ref="AS92:AS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N24:AN25"/>
    <mergeCell ref="AO24:AO25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4:AP25"/>
    <mergeCell ref="AQ24:AQ25"/>
    <mergeCell ref="AR24:AR25"/>
    <mergeCell ref="AS24:AS25"/>
    <mergeCell ref="A24:A25"/>
    <mergeCell ref="B24:B25"/>
    <mergeCell ref="C24:C25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D24:D25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26:A27"/>
    <mergeCell ref="A37:A38"/>
    <mergeCell ref="B37:B38"/>
    <mergeCell ref="C37:C38"/>
    <mergeCell ref="D37:D38"/>
    <mergeCell ref="AK37:AK38"/>
    <mergeCell ref="AL37:AL38"/>
    <mergeCell ref="AM37:AM38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S32:AS33"/>
    <mergeCell ref="AN37:AN38"/>
    <mergeCell ref="AO37:AO38"/>
    <mergeCell ref="AP37:AP38"/>
    <mergeCell ref="AQ37:AQ38"/>
    <mergeCell ref="AR37:AR38"/>
    <mergeCell ref="AS37:AS38"/>
    <mergeCell ref="AP32:AP33"/>
    <mergeCell ref="AQ32:AQ33"/>
    <mergeCell ref="AR32:AR33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M39:AM40"/>
    <mergeCell ref="AN39:AN40"/>
    <mergeCell ref="AO39:AO40"/>
    <mergeCell ref="AP39:AP40"/>
    <mergeCell ref="AQ39:AQ40"/>
    <mergeCell ref="AR39:AR40"/>
    <mergeCell ref="A39:A40"/>
    <mergeCell ref="B39:B40"/>
    <mergeCell ref="C39:C40"/>
    <mergeCell ref="D39:D40"/>
    <mergeCell ref="AK39:AK40"/>
    <mergeCell ref="AL39:AL40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P45:AP46"/>
    <mergeCell ref="AQ45:AQ46"/>
    <mergeCell ref="AR45:AR46"/>
    <mergeCell ref="AS45:AS46"/>
    <mergeCell ref="AM69:AS69"/>
    <mergeCell ref="A73:A74"/>
    <mergeCell ref="B73:B74"/>
    <mergeCell ref="C73:C74"/>
    <mergeCell ref="D73:D74"/>
    <mergeCell ref="E73:E74"/>
    <mergeCell ref="AS73:AS74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K73:AM73"/>
    <mergeCell ref="AN73:AN74"/>
    <mergeCell ref="AO73:AO74"/>
    <mergeCell ref="AP73:AP74"/>
    <mergeCell ref="AQ73:AQ74"/>
    <mergeCell ref="AR73:AR74"/>
    <mergeCell ref="AO76:AO77"/>
    <mergeCell ref="AP76:AP77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O78:AO79"/>
    <mergeCell ref="AP78:AP79"/>
    <mergeCell ref="AQ78:AQ79"/>
    <mergeCell ref="AO80:AO81"/>
    <mergeCell ref="AP80:AP81"/>
    <mergeCell ref="AQ80:AQ81"/>
    <mergeCell ref="AL82:AL83"/>
    <mergeCell ref="AM82:AM83"/>
    <mergeCell ref="AN82:AN83"/>
    <mergeCell ref="AR80:AR81"/>
    <mergeCell ref="AS80:AS81"/>
    <mergeCell ref="A82:A83"/>
    <mergeCell ref="B82:B83"/>
    <mergeCell ref="C82:C83"/>
    <mergeCell ref="D82:D83"/>
    <mergeCell ref="AK82:AK83"/>
    <mergeCell ref="AR82:AR83"/>
    <mergeCell ref="AS82:AS83"/>
    <mergeCell ref="AO82:AO83"/>
    <mergeCell ref="AP82:AP83"/>
    <mergeCell ref="AQ82:AQ83"/>
    <mergeCell ref="AO84:AO85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88:A89"/>
    <mergeCell ref="B88:B89"/>
    <mergeCell ref="C88:C89"/>
    <mergeCell ref="D88:D89"/>
    <mergeCell ref="AK88:AK89"/>
    <mergeCell ref="AL88:AL89"/>
    <mergeCell ref="AR86:AR87"/>
    <mergeCell ref="AS86:AS87"/>
    <mergeCell ref="AL86:AL87"/>
    <mergeCell ref="AM86:AM87"/>
    <mergeCell ref="AN86:AN87"/>
    <mergeCell ref="AO86:AO87"/>
    <mergeCell ref="AP86:AP87"/>
    <mergeCell ref="AQ86:AQ87"/>
    <mergeCell ref="AS88:AS89"/>
    <mergeCell ref="AM88:AM89"/>
    <mergeCell ref="AN88:AN89"/>
    <mergeCell ref="AO88:AO89"/>
    <mergeCell ref="AP88:AP89"/>
    <mergeCell ref="AQ88:AQ89"/>
    <mergeCell ref="AR88:AR89"/>
    <mergeCell ref="B34:B35"/>
    <mergeCell ref="C34:C35"/>
    <mergeCell ref="A34:A35"/>
    <mergeCell ref="AK34:AK35"/>
    <mergeCell ref="AL34:AL35"/>
    <mergeCell ref="AM34:AM35"/>
    <mergeCell ref="AN34:AN35"/>
    <mergeCell ref="AR34:AR35"/>
    <mergeCell ref="D34:D35"/>
  </mergeCells>
  <conditionalFormatting sqref="F101:AJ102 F5:AJ6 F48:AJ67 F104:AJ117 F9:AJ12 F76:AJ93 F14:AJ46">
    <cfRule type="expression" dxfId="529" priority="71" stopIfTrue="1">
      <formula>IF(WEEKDAY(F$5)=1,TRUE,FALSE)</formula>
    </cfRule>
  </conditionalFormatting>
  <conditionalFormatting sqref="F5:AJ6 F73:AJ74 F9:AJ12">
    <cfRule type="expression" dxfId="528" priority="70" stopIfTrue="1">
      <formula>IF(WEEKDAY(F$5)=1,TRUE,FALSE)</formula>
    </cfRule>
  </conditionalFormatting>
  <conditionalFormatting sqref="K37:P37">
    <cfRule type="expression" dxfId="527" priority="69" stopIfTrue="1">
      <formula>IF(WEEKDAY(K$5)=1,TRUE,FALSE)</formula>
    </cfRule>
  </conditionalFormatting>
  <conditionalFormatting sqref="K39:P39">
    <cfRule type="expression" dxfId="526" priority="68" stopIfTrue="1">
      <formula>IF(WEEKDAY(K$5)=1,TRUE,FALSE)</formula>
    </cfRule>
  </conditionalFormatting>
  <conditionalFormatting sqref="K41:P41">
    <cfRule type="expression" dxfId="525" priority="67" stopIfTrue="1">
      <formula>IF(WEEKDAY(K$5)=1,TRUE,FALSE)</formula>
    </cfRule>
  </conditionalFormatting>
  <conditionalFormatting sqref="K43:P43">
    <cfRule type="expression" dxfId="524" priority="66" stopIfTrue="1">
      <formula>IF(WEEKDAY(K$5)=1,TRUE,FALSE)</formula>
    </cfRule>
  </conditionalFormatting>
  <conditionalFormatting sqref="K45:P45">
    <cfRule type="expression" dxfId="523" priority="65" stopIfTrue="1">
      <formula>IF(WEEKDAY(K$5)=1,TRUE,FALSE)</formula>
    </cfRule>
  </conditionalFormatting>
  <conditionalFormatting sqref="R45:W45">
    <cfRule type="expression" dxfId="522" priority="64" stopIfTrue="1">
      <formula>IF(WEEKDAY(R$5)=1,TRUE,FALSE)</formula>
    </cfRule>
  </conditionalFormatting>
  <conditionalFormatting sqref="R43:W43">
    <cfRule type="expression" dxfId="521" priority="63" stopIfTrue="1">
      <formula>IF(WEEKDAY(R$5)=1,TRUE,FALSE)</formula>
    </cfRule>
  </conditionalFormatting>
  <conditionalFormatting sqref="R41:W41">
    <cfRule type="expression" dxfId="520" priority="62" stopIfTrue="1">
      <formula>IF(WEEKDAY(R$5)=1,TRUE,FALSE)</formula>
    </cfRule>
  </conditionalFormatting>
  <conditionalFormatting sqref="R39:W39">
    <cfRule type="expression" dxfId="519" priority="61" stopIfTrue="1">
      <formula>IF(WEEKDAY(R$5)=1,TRUE,FALSE)</formula>
    </cfRule>
  </conditionalFormatting>
  <conditionalFormatting sqref="R37:W37">
    <cfRule type="expression" dxfId="518" priority="60" stopIfTrue="1">
      <formula>IF(WEEKDAY(R$5)=1,TRUE,FALSE)</formula>
    </cfRule>
  </conditionalFormatting>
  <conditionalFormatting sqref="Y37:AD37">
    <cfRule type="expression" dxfId="517" priority="59" stopIfTrue="1">
      <formula>IF(WEEKDAY(Y$5)=1,TRUE,FALSE)</formula>
    </cfRule>
  </conditionalFormatting>
  <conditionalFormatting sqref="Y39:AD39">
    <cfRule type="expression" dxfId="516" priority="58" stopIfTrue="1">
      <formula>IF(WEEKDAY(Y$5)=1,TRUE,FALSE)</formula>
    </cfRule>
  </conditionalFormatting>
  <conditionalFormatting sqref="Y41:AD41">
    <cfRule type="expression" dxfId="515" priority="57" stopIfTrue="1">
      <formula>IF(WEEKDAY(Y$5)=1,TRUE,FALSE)</formula>
    </cfRule>
  </conditionalFormatting>
  <conditionalFormatting sqref="Y43:AD43">
    <cfRule type="expression" dxfId="514" priority="56" stopIfTrue="1">
      <formula>IF(WEEKDAY(Y$5)=1,TRUE,FALSE)</formula>
    </cfRule>
  </conditionalFormatting>
  <conditionalFormatting sqref="Y45:AD45">
    <cfRule type="expression" dxfId="513" priority="55" stopIfTrue="1">
      <formula>IF(WEEKDAY(Y$5)=1,TRUE,FALSE)</formula>
    </cfRule>
  </conditionalFormatting>
  <conditionalFormatting sqref="F14:I14">
    <cfRule type="expression" dxfId="512" priority="54" stopIfTrue="1">
      <formula>IF(WEEKDAY(F$5)=1,TRUE,FALSE)</formula>
    </cfRule>
  </conditionalFormatting>
  <conditionalFormatting sqref="F16:I16">
    <cfRule type="expression" dxfId="511" priority="53" stopIfTrue="1">
      <formula>IF(WEEKDAY(F$5)=1,TRUE,FALSE)</formula>
    </cfRule>
  </conditionalFormatting>
  <conditionalFormatting sqref="F18:I18">
    <cfRule type="expression" dxfId="510" priority="52" stopIfTrue="1">
      <formula>IF(WEEKDAY(F$5)=1,TRUE,FALSE)</formula>
    </cfRule>
  </conditionalFormatting>
  <conditionalFormatting sqref="F20:I20">
    <cfRule type="expression" dxfId="509" priority="51" stopIfTrue="1">
      <formula>IF(WEEKDAY(F$5)=1,TRUE,FALSE)</formula>
    </cfRule>
  </conditionalFormatting>
  <conditionalFormatting sqref="F22:I22">
    <cfRule type="expression" dxfId="508" priority="50" stopIfTrue="1">
      <formula>IF(WEEKDAY(F$5)=1,TRUE,FALSE)</formula>
    </cfRule>
  </conditionalFormatting>
  <conditionalFormatting sqref="F24:I24">
    <cfRule type="expression" dxfId="507" priority="49" stopIfTrue="1">
      <formula>IF(WEEKDAY(F$5)=1,TRUE,FALSE)</formula>
    </cfRule>
  </conditionalFormatting>
  <conditionalFormatting sqref="F26:I26">
    <cfRule type="expression" dxfId="506" priority="48" stopIfTrue="1">
      <formula>IF(WEEKDAY(F$5)=1,TRUE,FALSE)</formula>
    </cfRule>
  </conditionalFormatting>
  <conditionalFormatting sqref="F28:I28">
    <cfRule type="expression" dxfId="505" priority="47" stopIfTrue="1">
      <formula>IF(WEEKDAY(F$5)=1,TRUE,FALSE)</formula>
    </cfRule>
  </conditionalFormatting>
  <conditionalFormatting sqref="F30:I30">
    <cfRule type="expression" dxfId="504" priority="46" stopIfTrue="1">
      <formula>IF(WEEKDAY(F$5)=1,TRUE,FALSE)</formula>
    </cfRule>
  </conditionalFormatting>
  <conditionalFormatting sqref="F32:I32">
    <cfRule type="expression" dxfId="503" priority="45" stopIfTrue="1">
      <formula>IF(WEEKDAY(F$5)=1,TRUE,FALSE)</formula>
    </cfRule>
  </conditionalFormatting>
  <conditionalFormatting sqref="F37:I37">
    <cfRule type="expression" dxfId="502" priority="44" stopIfTrue="1">
      <formula>IF(WEEKDAY(F$5)=1,TRUE,FALSE)</formula>
    </cfRule>
  </conditionalFormatting>
  <conditionalFormatting sqref="F39:I39">
    <cfRule type="expression" dxfId="501" priority="43" stopIfTrue="1">
      <formula>IF(WEEKDAY(F$5)=1,TRUE,FALSE)</formula>
    </cfRule>
  </conditionalFormatting>
  <conditionalFormatting sqref="F41:I41">
    <cfRule type="expression" dxfId="500" priority="42" stopIfTrue="1">
      <formula>IF(WEEKDAY(F$5)=1,TRUE,FALSE)</formula>
    </cfRule>
  </conditionalFormatting>
  <conditionalFormatting sqref="F43:I43">
    <cfRule type="expression" dxfId="499" priority="41" stopIfTrue="1">
      <formula>IF(WEEKDAY(F$5)=1,TRUE,FALSE)</formula>
    </cfRule>
  </conditionalFormatting>
  <conditionalFormatting sqref="F45:I45">
    <cfRule type="expression" dxfId="498" priority="40" stopIfTrue="1">
      <formula>IF(WEEKDAY(F$5)=1,TRUE,FALSE)</formula>
    </cfRule>
  </conditionalFormatting>
  <conditionalFormatting sqref="F76:I76">
    <cfRule type="expression" dxfId="497" priority="39" stopIfTrue="1">
      <formula>IF(WEEKDAY(F$5)=1,TRUE,FALSE)</formula>
    </cfRule>
  </conditionalFormatting>
  <conditionalFormatting sqref="F78:I78">
    <cfRule type="expression" dxfId="496" priority="38" stopIfTrue="1">
      <formula>IF(WEEKDAY(F$5)=1,TRUE,FALSE)</formula>
    </cfRule>
  </conditionalFormatting>
  <conditionalFormatting sqref="F80:I80">
    <cfRule type="expression" dxfId="495" priority="37" stopIfTrue="1">
      <formula>IF(WEEKDAY(F$5)=1,TRUE,FALSE)</formula>
    </cfRule>
  </conditionalFormatting>
  <conditionalFormatting sqref="F82:I82">
    <cfRule type="expression" dxfId="494" priority="36" stopIfTrue="1">
      <formula>IF(WEEKDAY(F$5)=1,TRUE,FALSE)</formula>
    </cfRule>
  </conditionalFormatting>
  <conditionalFormatting sqref="F84:I84">
    <cfRule type="expression" dxfId="493" priority="35" stopIfTrue="1">
      <formula>IF(WEEKDAY(F$5)=1,TRUE,FALSE)</formula>
    </cfRule>
  </conditionalFormatting>
  <conditionalFormatting sqref="F86:I86">
    <cfRule type="expression" dxfId="492" priority="34" stopIfTrue="1">
      <formula>IF(WEEKDAY(F$5)=1,TRUE,FALSE)</formula>
    </cfRule>
  </conditionalFormatting>
  <conditionalFormatting sqref="F88:I88">
    <cfRule type="expression" dxfId="491" priority="32" stopIfTrue="1">
      <formula>IF(WEEKDAY(F$5)=1,TRUE,FALSE)</formula>
    </cfRule>
  </conditionalFormatting>
  <conditionalFormatting sqref="F90:I90">
    <cfRule type="expression" dxfId="490" priority="31" stopIfTrue="1">
      <formula>IF(WEEKDAY(F$5)=1,TRUE,FALSE)</formula>
    </cfRule>
  </conditionalFormatting>
  <conditionalFormatting sqref="F92:I92">
    <cfRule type="expression" dxfId="489" priority="30" stopIfTrue="1">
      <formula>IF(WEEKDAY(F$5)=1,TRUE,FALSE)</formula>
    </cfRule>
  </conditionalFormatting>
  <conditionalFormatting sqref="AF14:AJ14">
    <cfRule type="expression" dxfId="488" priority="29" stopIfTrue="1">
      <formula>IF(WEEKDAY(AF$5)=1,TRUE,FALSE)</formula>
    </cfRule>
  </conditionalFormatting>
  <conditionalFormatting sqref="AF16:AJ16">
    <cfRule type="expression" dxfId="487" priority="28" stopIfTrue="1">
      <formula>IF(WEEKDAY(AF$5)=1,TRUE,FALSE)</formula>
    </cfRule>
  </conditionalFormatting>
  <conditionalFormatting sqref="AF18:AJ18">
    <cfRule type="expression" dxfId="486" priority="27" stopIfTrue="1">
      <formula>IF(WEEKDAY(AF$5)=1,TRUE,FALSE)</formula>
    </cfRule>
  </conditionalFormatting>
  <conditionalFormatting sqref="AF20:AJ20">
    <cfRule type="expression" dxfId="485" priority="26" stopIfTrue="1">
      <formula>IF(WEEKDAY(AF$5)=1,TRUE,FALSE)</formula>
    </cfRule>
  </conditionalFormatting>
  <conditionalFormatting sqref="AF22:AJ22">
    <cfRule type="expression" dxfId="484" priority="25" stopIfTrue="1">
      <formula>IF(WEEKDAY(AF$5)=1,TRUE,FALSE)</formula>
    </cfRule>
  </conditionalFormatting>
  <conditionalFormatting sqref="AF24:AJ24">
    <cfRule type="expression" dxfId="483" priority="24" stopIfTrue="1">
      <formula>IF(WEEKDAY(AF$5)=1,TRUE,FALSE)</formula>
    </cfRule>
  </conditionalFormatting>
  <conditionalFormatting sqref="AF26:AJ26">
    <cfRule type="expression" dxfId="482" priority="23" stopIfTrue="1">
      <formula>IF(WEEKDAY(AF$5)=1,TRUE,FALSE)</formula>
    </cfRule>
  </conditionalFormatting>
  <conditionalFormatting sqref="AF28:AJ28">
    <cfRule type="expression" dxfId="481" priority="22" stopIfTrue="1">
      <formula>IF(WEEKDAY(AF$5)=1,TRUE,FALSE)</formula>
    </cfRule>
  </conditionalFormatting>
  <conditionalFormatting sqref="AF30:AJ30">
    <cfRule type="expression" dxfId="480" priority="21" stopIfTrue="1">
      <formula>IF(WEEKDAY(AF$5)=1,TRUE,FALSE)</formula>
    </cfRule>
  </conditionalFormatting>
  <conditionalFormatting sqref="AF32:AJ32">
    <cfRule type="expression" dxfId="479" priority="20" stopIfTrue="1">
      <formula>IF(WEEKDAY(AF$5)=1,TRUE,FALSE)</formula>
    </cfRule>
  </conditionalFormatting>
  <conditionalFormatting sqref="AF37:AJ37">
    <cfRule type="expression" dxfId="478" priority="19" stopIfTrue="1">
      <formula>IF(WEEKDAY(AF$5)=1,TRUE,FALSE)</formula>
    </cfRule>
  </conditionalFormatting>
  <conditionalFormatting sqref="AF41:AJ41">
    <cfRule type="expression" dxfId="477" priority="18" stopIfTrue="1">
      <formula>IF(WEEKDAY(AF$5)=1,TRUE,FALSE)</formula>
    </cfRule>
  </conditionalFormatting>
  <conditionalFormatting sqref="AF43:AJ43">
    <cfRule type="expression" dxfId="476" priority="17" stopIfTrue="1">
      <formula>IF(WEEKDAY(AF$5)=1,TRUE,FALSE)</formula>
    </cfRule>
  </conditionalFormatting>
  <conditionalFormatting sqref="AF45:AJ45">
    <cfRule type="expression" dxfId="475" priority="16" stopIfTrue="1">
      <formula>IF(WEEKDAY(AF$5)=1,TRUE,FALSE)</formula>
    </cfRule>
  </conditionalFormatting>
  <conditionalFormatting sqref="K39:P39">
    <cfRule type="expression" dxfId="474" priority="15" stopIfTrue="1">
      <formula>IF(WEEKDAY(K$5)=1,TRUE,FALSE)</formula>
    </cfRule>
  </conditionalFormatting>
  <conditionalFormatting sqref="R39:W39">
    <cfRule type="expression" dxfId="473" priority="14" stopIfTrue="1">
      <formula>IF(WEEKDAY(R$5)=1,TRUE,FALSE)</formula>
    </cfRule>
  </conditionalFormatting>
  <conditionalFormatting sqref="Y39:AD39">
    <cfRule type="expression" dxfId="472" priority="13" stopIfTrue="1">
      <formula>IF(WEEKDAY(Y$5)=1,TRUE,FALSE)</formula>
    </cfRule>
  </conditionalFormatting>
  <conditionalFormatting sqref="F39:I39">
    <cfRule type="expression" dxfId="471" priority="12" stopIfTrue="1">
      <formula>IF(WEEKDAY(F$5)=1,TRUE,FALSE)</formula>
    </cfRule>
  </conditionalFormatting>
  <conditionalFormatting sqref="AF39:AJ39">
    <cfRule type="expression" dxfId="470" priority="11" stopIfTrue="1">
      <formula>IF(WEEKDAY(AF$5)=1,TRUE,FALSE)</formula>
    </cfRule>
  </conditionalFormatting>
  <conditionalFormatting sqref="I34">
    <cfRule type="expression" dxfId="469" priority="10" stopIfTrue="1">
      <formula>IF(WEEKDAY(I$5)=1,TRUE,FALSE)</formula>
    </cfRule>
  </conditionalFormatting>
  <conditionalFormatting sqref="AF34:AJ34">
    <cfRule type="expression" dxfId="468" priority="9" stopIfTrue="1">
      <formula>IF(WEEKDAY(AF$5)=1,TRUE,FALSE)</formula>
    </cfRule>
  </conditionalFormatting>
  <conditionalFormatting sqref="I34">
    <cfRule type="expression" dxfId="467" priority="8" stopIfTrue="1">
      <formula>IF(WEEKDAY(I$5)=1,TRUE,FALSE)</formula>
    </cfRule>
  </conditionalFormatting>
  <conditionalFormatting sqref="AF34:AJ34">
    <cfRule type="expression" dxfId="466" priority="7" stopIfTrue="1">
      <formula>IF(WEEKDAY(AF$5)=1,TRUE,FALSE)</formula>
    </cfRule>
  </conditionalFormatting>
  <conditionalFormatting sqref="I34">
    <cfRule type="expression" dxfId="465" priority="6" stopIfTrue="1">
      <formula>IF(WEEKDAY(I$5)=1,TRUE,FALSE)</formula>
    </cfRule>
  </conditionalFormatting>
  <conditionalFormatting sqref="AF34:AJ34">
    <cfRule type="expression" dxfId="464" priority="5" stopIfTrue="1">
      <formula>IF(WEEKDAY(AF$5)=1,TRUE,FALSE)</formula>
    </cfRule>
  </conditionalFormatting>
  <conditionalFormatting sqref="F34:H34">
    <cfRule type="expression" dxfId="463" priority="4" stopIfTrue="1">
      <formula>IF(WEEKDAY(F$5)=1,TRUE,FALSE)</formula>
    </cfRule>
  </conditionalFormatting>
  <conditionalFormatting sqref="F34:H34">
    <cfRule type="expression" dxfId="462" priority="3" stopIfTrue="1">
      <formula>IF(WEEKDAY(F$5)=1,TRUE,FALSE)</formula>
    </cfRule>
  </conditionalFormatting>
  <conditionalFormatting sqref="J34:L34 N34:P34 R34:T34 V34:X34 Z34:AB34 AD34:AF34 AH34:AJ34">
    <cfRule type="expression" dxfId="461" priority="2" stopIfTrue="1">
      <formula>IF(WEEKDAY(J$5)=1,TRUE,FALSE)</formula>
    </cfRule>
  </conditionalFormatting>
  <conditionalFormatting sqref="J34:L34 N34:P34 R34:T34 V34:X34 Z34:AB34 AD34:AF34 AH34:AJ34">
    <cfRule type="expression" dxfId="460" priority="1" stopIfTrue="1">
      <formula>IF(WEEKDAY(J$5)=1,TRUE,FALSE)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selection activeCell="E10" sqref="E10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343"/>
      <c r="C1" s="343"/>
      <c r="D1" s="493" t="str">
        <f>"BẢNG THANH TOÁN LƯƠNG THÁNG"&amp;" "&amp;TEXT($E$4,"mm")&amp;" / "&amp;TEXT($E$4,"yyyy")</f>
        <v>BẢNG THANH TOÁN LƯƠNG THÁNG 03 / 2017</v>
      </c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4"/>
      <c r="R1" s="495" t="s">
        <v>179</v>
      </c>
      <c r="S1" s="496"/>
      <c r="T1" s="497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343"/>
      <c r="C2" s="343"/>
      <c r="D2" s="343"/>
      <c r="E2" s="71"/>
      <c r="F2" s="343"/>
      <c r="G2" s="343"/>
      <c r="H2" s="343"/>
      <c r="I2" s="343"/>
      <c r="J2" s="72"/>
      <c r="K2" s="343"/>
      <c r="L2" s="343"/>
      <c r="M2" s="343"/>
      <c r="N2" s="343"/>
      <c r="O2" s="343"/>
      <c r="P2" s="343"/>
      <c r="Q2" s="343"/>
      <c r="R2" s="343"/>
      <c r="S2" s="343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343"/>
      <c r="C3" s="343"/>
      <c r="D3" s="343"/>
      <c r="E3" s="71"/>
      <c r="F3" s="343"/>
      <c r="G3" s="343"/>
      <c r="H3" s="343"/>
      <c r="I3" s="343"/>
      <c r="J3" s="72"/>
      <c r="K3" s="343"/>
      <c r="L3" s="343"/>
      <c r="M3" s="343"/>
      <c r="N3" s="343"/>
      <c r="O3" s="343"/>
      <c r="P3" s="343"/>
      <c r="Q3" s="343"/>
      <c r="R3" s="343"/>
      <c r="S3" s="343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- 03'!$E$4</f>
        <v>42795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98" t="s">
        <v>19</v>
      </c>
      <c r="B5" s="498" t="s">
        <v>20</v>
      </c>
      <c r="C5" s="425" t="s">
        <v>1</v>
      </c>
      <c r="D5" s="425" t="s">
        <v>2</v>
      </c>
      <c r="E5" s="418" t="s">
        <v>56</v>
      </c>
      <c r="F5" s="501" t="s">
        <v>26</v>
      </c>
      <c r="G5" s="502"/>
      <c r="H5" s="502"/>
      <c r="I5" s="502"/>
      <c r="J5" s="502"/>
      <c r="K5" s="503"/>
      <c r="L5" s="500" t="s">
        <v>57</v>
      </c>
      <c r="M5" s="500" t="s">
        <v>5</v>
      </c>
      <c r="N5" s="425" t="s">
        <v>6</v>
      </c>
      <c r="O5" s="425"/>
      <c r="P5" s="425"/>
      <c r="Q5" s="500" t="s">
        <v>7</v>
      </c>
      <c r="R5" s="500" t="s">
        <v>8</v>
      </c>
      <c r="S5" s="500" t="s">
        <v>9</v>
      </c>
      <c r="T5" s="419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99"/>
      <c r="B6" s="499"/>
      <c r="C6" s="425"/>
      <c r="D6" s="425"/>
      <c r="E6" s="418"/>
      <c r="F6" s="501" t="s">
        <v>59</v>
      </c>
      <c r="G6" s="503"/>
      <c r="H6" s="501" t="s">
        <v>189</v>
      </c>
      <c r="I6" s="502"/>
      <c r="J6" s="519" t="s">
        <v>27</v>
      </c>
      <c r="K6" s="500" t="s">
        <v>4</v>
      </c>
      <c r="L6" s="504"/>
      <c r="M6" s="504"/>
      <c r="N6" s="506" t="s">
        <v>12</v>
      </c>
      <c r="O6" s="500" t="s">
        <v>13</v>
      </c>
      <c r="P6" s="500" t="s">
        <v>34</v>
      </c>
      <c r="Q6" s="504"/>
      <c r="R6" s="504"/>
      <c r="S6" s="504"/>
      <c r="T6" s="420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99"/>
      <c r="B7" s="499"/>
      <c r="C7" s="500"/>
      <c r="D7" s="500"/>
      <c r="E7" s="418"/>
      <c r="F7" s="344" t="s">
        <v>40</v>
      </c>
      <c r="G7" s="340" t="s">
        <v>18</v>
      </c>
      <c r="H7" s="344" t="s">
        <v>40</v>
      </c>
      <c r="I7" s="347" t="s">
        <v>18</v>
      </c>
      <c r="J7" s="520"/>
      <c r="K7" s="504"/>
      <c r="L7" s="505"/>
      <c r="M7" s="505"/>
      <c r="N7" s="507"/>
      <c r="O7" s="504"/>
      <c r="P7" s="504"/>
      <c r="Q7" s="504"/>
      <c r="R7" s="504"/>
      <c r="S7" s="504"/>
      <c r="T7" s="420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- 03'!$B$8:$AS$67,36,0)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- 03'!$B$8:$AS$67,36,0)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- 03'!$B$8:$AS$67,36,0)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9" si="0">VLOOKUP(B13,DS,2,0)</f>
        <v>Huỳnh Thị Hường</v>
      </c>
      <c r="D13" s="103" t="str">
        <f t="shared" ref="D13:D29" si="1">VLOOKUP(B13,DS,3,0)</f>
        <v>Công nhân</v>
      </c>
      <c r="E13" s="80">
        <f t="shared" ref="E13:E29" si="2">VLOOKUP(B13,DS,4,0)</f>
        <v>3552000</v>
      </c>
      <c r="F13" s="82">
        <f>VLOOKUP(B13,'CC - 03'!$B$8:$AS$67,36,0)</f>
        <v>27</v>
      </c>
      <c r="G13" s="198">
        <f t="shared" ref="G13:G29" si="3">ROUND(E13/$U$2*F13,0)</f>
        <v>3552000</v>
      </c>
      <c r="H13" s="82">
        <f>(VLOOKUP(B13,'CC - 02'!$B$8:$AS$70,37,0)+VLOOKUP(B13,'CC - 02'!$B$8:$AS$70,38,0))</f>
        <v>0</v>
      </c>
      <c r="I13" s="198">
        <f t="shared" ref="I13:I29" si="4">ROUND(E13/$U$2*H13,0)</f>
        <v>0</v>
      </c>
      <c r="J13" s="199">
        <f t="shared" ref="J13:K29" si="5">F13+H13</f>
        <v>27</v>
      </c>
      <c r="K13" s="36">
        <f t="shared" si="5"/>
        <v>3552000</v>
      </c>
      <c r="L13" s="80">
        <f t="shared" ref="L13:L29" si="6">+F13*15000</f>
        <v>405000</v>
      </c>
      <c r="M13" s="37">
        <f t="shared" ref="M13:M29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6" si="11">M13-SUM(N13:P13)</f>
        <v>3584040</v>
      </c>
      <c r="R13" s="36">
        <f t="shared" ref="R13:R29" si="12">VLOOKUP(B13,DS,23,0)</f>
        <v>0</v>
      </c>
      <c r="S13" s="38">
        <f t="shared" ref="S13:S29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- 03'!$B$8:$AS$67,36,0)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- 03'!$B$8:$AS$67,36,0)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- 03'!$B$8:$AS$67,36,0)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- 03'!$B$8:$AS$67,36,0)</f>
        <v>27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- 03'!$B$8:$AS$67,36,0)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- 03'!$B$8:$AS$67,36,0)</f>
        <v>27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27</v>
      </c>
      <c r="K19" s="309">
        <f t="shared" si="5"/>
        <v>3552000</v>
      </c>
      <c r="L19" s="305">
        <f t="shared" si="6"/>
        <v>405000</v>
      </c>
      <c r="M19" s="310">
        <f t="shared" si="7"/>
        <v>3957000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3584040</v>
      </c>
      <c r="R19" s="309">
        <f t="shared" si="12"/>
        <v>0</v>
      </c>
      <c r="S19" s="311">
        <f t="shared" si="13"/>
        <v>3584040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- 03'!$B$8:$AS$67,36,0)</f>
        <v>27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- 03'!$B$8:$AS$67,36,0)</f>
        <v>27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ref="D22" si="14">VLOOKUP(B22,DS,3,0)</f>
        <v>Công nhân</v>
      </c>
      <c r="E22" s="80">
        <f t="shared" ref="E22" si="15">VLOOKUP(B22,DS,4,0)</f>
        <v>3552000</v>
      </c>
      <c r="F22" s="82">
        <f>VLOOKUP(B22,'CC - 03'!$B$8:$AS$67,36,0)</f>
        <v>27</v>
      </c>
      <c r="G22" s="198">
        <f t="shared" ref="G22" si="16">ROUND(E22/$U$2*F22,0)</f>
        <v>3552000</v>
      </c>
      <c r="H22" s="82">
        <f>(VLOOKUP(B22,'CC - 03'!$B$8:$AS$67,37,0)+VLOOKUP(B22,'CC - 03'!$B$8:$AS$67,38,0))</f>
        <v>0</v>
      </c>
      <c r="I22" s="198">
        <f t="shared" ref="I22" si="17">ROUND(E22/$U$2*H22,0)</f>
        <v>0</v>
      </c>
      <c r="J22" s="199">
        <f t="shared" ref="J22" si="18">F22+H22</f>
        <v>27</v>
      </c>
      <c r="K22" s="36">
        <f t="shared" ref="K22" si="19">G22+I22</f>
        <v>3552000</v>
      </c>
      <c r="L22" s="80">
        <f t="shared" ref="L22" si="20">+F22*15000</f>
        <v>405000</v>
      </c>
      <c r="M22" s="37">
        <f t="shared" ref="M22" si="21">K22+L22</f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22">M22-SUM(N22:P22)</f>
        <v>3584040</v>
      </c>
      <c r="R22" s="36">
        <f t="shared" ref="R22" si="23">VLOOKUP(B22,DS,23,0)</f>
        <v>0</v>
      </c>
      <c r="S22" s="38">
        <f t="shared" ref="S22" si="24">Q22-R22</f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- 03'!$B$8:$AS$67,36,0)</f>
        <v>27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210</v>
      </c>
      <c r="C24" s="79" t="str">
        <f t="shared" si="0"/>
        <v>Nguyễn Thị Diễm</v>
      </c>
      <c r="D24" s="103" t="str">
        <f t="shared" si="1"/>
        <v>Công nhân</v>
      </c>
      <c r="E24" s="80">
        <f t="shared" ref="E24" si="25">VLOOKUP(B24,DS,4,0)</f>
        <v>3552000</v>
      </c>
      <c r="F24" s="82">
        <f>VLOOKUP(B24,'CC - 03'!$B$8:$AS$67,36,0)</f>
        <v>27</v>
      </c>
      <c r="G24" s="198">
        <f t="shared" ref="G24" si="26">ROUND(E24/$U$2*F24,0)</f>
        <v>3552000</v>
      </c>
      <c r="H24" s="82">
        <f>(VLOOKUP(B24,'CC - 03'!$B$8:$AS$70,37,0)+VLOOKUP(B24,'CC - 03'!$B$8:$AS$70,38,0))</f>
        <v>0</v>
      </c>
      <c r="I24" s="198">
        <f t="shared" ref="I24" si="27">ROUND(E24/$U$2*H24,0)</f>
        <v>0</v>
      </c>
      <c r="J24" s="199">
        <f t="shared" ref="J24" si="28">F24+H24</f>
        <v>27</v>
      </c>
      <c r="K24" s="36">
        <f t="shared" ref="K24" si="29">G24+I24</f>
        <v>3552000</v>
      </c>
      <c r="L24" s="80">
        <f t="shared" ref="L24" si="30">+F24*15000</f>
        <v>405000</v>
      </c>
      <c r="M24" s="37">
        <f t="shared" ref="M24" si="31">K24+L24</f>
        <v>3957000</v>
      </c>
      <c r="N24" s="37">
        <f>E24*$N$4</f>
        <v>284160</v>
      </c>
      <c r="O24" s="37">
        <f>E24*$O$4</f>
        <v>53280</v>
      </c>
      <c r="P24" s="37">
        <f>E24*$P$4</f>
        <v>35520</v>
      </c>
      <c r="Q24" s="36">
        <f t="shared" ref="Q24" si="32">M24-SUM(N24:P24)</f>
        <v>3584040</v>
      </c>
      <c r="R24" s="36">
        <f t="shared" ref="R24" si="33">VLOOKUP(B24,DS,23,0)</f>
        <v>0</v>
      </c>
      <c r="S24" s="38">
        <f t="shared" ref="S24" si="34">Q24-R24</f>
        <v>3584040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75" customFormat="1" ht="19.5" customHeight="1">
      <c r="A25" s="35"/>
      <c r="B25" s="563" t="s">
        <v>188</v>
      </c>
      <c r="C25" s="564"/>
      <c r="D25" s="274"/>
      <c r="E25" s="274"/>
      <c r="F25" s="82">
        <f>VLOOKUP(B25,'CC - 03'!$B$8:$AS$67,36,0)</f>
        <v>0</v>
      </c>
      <c r="G25" s="274"/>
      <c r="H25" s="274"/>
      <c r="I25" s="274"/>
      <c r="J25" s="274"/>
      <c r="K25" s="274"/>
      <c r="L25" s="274"/>
      <c r="M25" s="274"/>
      <c r="N25" s="37"/>
      <c r="O25" s="37"/>
      <c r="P25" s="37"/>
      <c r="Q25" s="274"/>
      <c r="R25" s="274"/>
      <c r="S25" s="274"/>
      <c r="T25" s="274"/>
      <c r="U25" s="94"/>
      <c r="V25" s="76"/>
      <c r="W25" s="76"/>
      <c r="X25" s="77"/>
      <c r="Y25" s="77"/>
      <c r="Z25" s="77"/>
      <c r="AA25" s="78"/>
      <c r="AB25" s="78"/>
      <c r="AC25" s="78"/>
      <c r="AD25" s="78"/>
      <c r="AE25" s="78"/>
    </row>
    <row r="26" spans="1:31" s="33" customFormat="1" ht="23.25" customHeight="1">
      <c r="A26" s="35">
        <v>15</v>
      </c>
      <c r="B26" s="302" t="s">
        <v>113</v>
      </c>
      <c r="C26" s="79" t="str">
        <f t="shared" si="0"/>
        <v>Nguyễn Văn Bé Hai</v>
      </c>
      <c r="D26" s="103" t="str">
        <f t="shared" si="1"/>
        <v>Công nhân</v>
      </c>
      <c r="E26" s="80">
        <f t="shared" si="2"/>
        <v>3776000</v>
      </c>
      <c r="F26" s="82">
        <f>VLOOKUP(B26,'CC - 03'!$B$8:$AS$67,36,0)</f>
        <v>27</v>
      </c>
      <c r="G26" s="198">
        <f t="shared" si="3"/>
        <v>3776000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27</v>
      </c>
      <c r="K26" s="36">
        <f t="shared" si="5"/>
        <v>3776000</v>
      </c>
      <c r="L26" s="80">
        <f t="shared" si="6"/>
        <v>405000</v>
      </c>
      <c r="M26" s="37">
        <f t="shared" si="7"/>
        <v>4181000</v>
      </c>
      <c r="N26" s="37">
        <f t="shared" ref="N26:N29" si="35">IF(VLOOKUP(B26,DS,10,0)="x",E26*$N$4,0)</f>
        <v>302080</v>
      </c>
      <c r="O26" s="37">
        <f t="shared" ref="O26:O29" si="36">IF(VLOOKUP(B26,DS,10,0)="x",E26*$O$4,0)</f>
        <v>56640</v>
      </c>
      <c r="P26" s="37">
        <f t="shared" ref="P26:P29" si="37">IF(VLOOKUP(B26,DS,10,0)="x",E26*$P$4,0)</f>
        <v>37760</v>
      </c>
      <c r="Q26" s="36">
        <f t="shared" si="11"/>
        <v>3784520</v>
      </c>
      <c r="R26" s="36">
        <f t="shared" si="12"/>
        <v>0</v>
      </c>
      <c r="S26" s="38">
        <f t="shared" si="13"/>
        <v>3784520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302" t="s">
        <v>118</v>
      </c>
      <c r="C27" s="79" t="str">
        <f t="shared" si="0"/>
        <v>Trần Nhiên</v>
      </c>
      <c r="D27" s="103" t="str">
        <f t="shared" si="1"/>
        <v>Công nhân</v>
      </c>
      <c r="E27" s="80">
        <f t="shared" si="2"/>
        <v>3552000</v>
      </c>
      <c r="F27" s="82">
        <f>VLOOKUP(B27,'CC - 03'!$B$8:$AS$67,36,0)</f>
        <v>27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3552000</v>
      </c>
      <c r="L27" s="80">
        <f t="shared" si="6"/>
        <v>405000</v>
      </c>
      <c r="M27" s="37">
        <f t="shared" si="7"/>
        <v>3957000</v>
      </c>
      <c r="N27" s="37">
        <f t="shared" si="35"/>
        <v>284160</v>
      </c>
      <c r="O27" s="37">
        <f t="shared" si="36"/>
        <v>53280</v>
      </c>
      <c r="P27" s="37">
        <f t="shared" si="37"/>
        <v>35520</v>
      </c>
      <c r="Q27" s="36">
        <f t="shared" ref="Q27:Q29" si="38">M27-SUM(N27:P27)</f>
        <v>3584040</v>
      </c>
      <c r="R27" s="36">
        <f t="shared" si="12"/>
        <v>0</v>
      </c>
      <c r="S27" s="38">
        <f t="shared" si="13"/>
        <v>3584040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v>17</v>
      </c>
      <c r="B28" s="302" t="s">
        <v>119</v>
      </c>
      <c r="C28" s="79" t="str">
        <f t="shared" si="0"/>
        <v>Thạch Giang</v>
      </c>
      <c r="D28" s="103" t="str">
        <f t="shared" si="1"/>
        <v>Công nhân</v>
      </c>
      <c r="E28" s="80">
        <f t="shared" si="2"/>
        <v>3552000</v>
      </c>
      <c r="F28" s="82">
        <f>VLOOKUP(B28,'CC - 03'!$B$8:$AS$67,36,0)</f>
        <v>27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35"/>
        <v>284160</v>
      </c>
      <c r="O28" s="37">
        <f t="shared" si="36"/>
        <v>53280</v>
      </c>
      <c r="P28" s="37">
        <f t="shared" si="37"/>
        <v>35520</v>
      </c>
      <c r="Q28" s="36">
        <f t="shared" si="38"/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37">
        <v>18</v>
      </c>
      <c r="B29" s="302" t="s">
        <v>122</v>
      </c>
      <c r="C29" s="79" t="str">
        <f t="shared" si="0"/>
        <v>Lâm Chanh Đa Ra</v>
      </c>
      <c r="D29" s="103" t="str">
        <f t="shared" si="1"/>
        <v>Công nhân</v>
      </c>
      <c r="E29" s="80">
        <f t="shared" si="2"/>
        <v>3552000</v>
      </c>
      <c r="F29" s="82">
        <f>VLOOKUP(B29,'CC - 03'!$B$8:$AS$67,36,0)</f>
        <v>27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27</v>
      </c>
      <c r="K29" s="36">
        <f t="shared" si="5"/>
        <v>3552000</v>
      </c>
      <c r="L29" s="80">
        <f t="shared" si="6"/>
        <v>405000</v>
      </c>
      <c r="M29" s="37">
        <f t="shared" si="7"/>
        <v>3957000</v>
      </c>
      <c r="N29" s="37">
        <f t="shared" si="35"/>
        <v>284160</v>
      </c>
      <c r="O29" s="37">
        <f t="shared" si="36"/>
        <v>53280</v>
      </c>
      <c r="P29" s="37">
        <f t="shared" si="37"/>
        <v>35520</v>
      </c>
      <c r="Q29" s="36">
        <f t="shared" si="38"/>
        <v>3584040</v>
      </c>
      <c r="R29" s="36">
        <f t="shared" si="12"/>
        <v>0</v>
      </c>
      <c r="S29" s="38">
        <f t="shared" si="13"/>
        <v>3584040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1" customFormat="1" ht="21" customHeight="1">
      <c r="A30" s="513" t="s">
        <v>25</v>
      </c>
      <c r="B30" s="513"/>
      <c r="C30" s="513"/>
      <c r="D30" s="513"/>
      <c r="E30" s="125">
        <f>SUM(E10:E29)</f>
        <v>65448000</v>
      </c>
      <c r="F30" s="125"/>
      <c r="G30" s="125">
        <f>SUM(G10:G29)</f>
        <v>65448000</v>
      </c>
      <c r="H30" s="125"/>
      <c r="I30" s="125">
        <f>SUM(I10:I29)</f>
        <v>0</v>
      </c>
      <c r="J30" s="25"/>
      <c r="K30" s="25">
        <f>SUM(K10:K29)</f>
        <v>65448000</v>
      </c>
      <c r="L30" s="25">
        <f t="shared" ref="L30:S30" si="39">SUM(L10:L29)</f>
        <v>7290000</v>
      </c>
      <c r="M30" s="25">
        <f t="shared" si="39"/>
        <v>72738000</v>
      </c>
      <c r="N30" s="25">
        <f t="shared" si="39"/>
        <v>5235840</v>
      </c>
      <c r="O30" s="25">
        <f t="shared" si="39"/>
        <v>981720</v>
      </c>
      <c r="P30" s="25">
        <f t="shared" si="39"/>
        <v>654480</v>
      </c>
      <c r="Q30" s="25">
        <f t="shared" si="39"/>
        <v>65865960</v>
      </c>
      <c r="R30" s="25">
        <f t="shared" si="39"/>
        <v>0</v>
      </c>
      <c r="S30" s="25">
        <f t="shared" si="39"/>
        <v>65865960</v>
      </c>
      <c r="T30" s="25"/>
      <c r="U30" s="94"/>
      <c r="V30" s="32"/>
      <c r="W30" s="32"/>
      <c r="X30" s="32"/>
      <c r="Y30" s="32"/>
      <c r="Z30" s="32"/>
    </row>
    <row r="31" spans="1:31" ht="11.25" customHeight="1">
      <c r="A31" s="7"/>
      <c r="B31" s="7"/>
      <c r="C31" s="8"/>
      <c r="D31" s="104"/>
      <c r="E31" s="84"/>
      <c r="F31" s="8"/>
      <c r="G31" s="8"/>
      <c r="H31" s="8"/>
      <c r="I31" s="8"/>
      <c r="K31" s="8"/>
      <c r="L31" s="8"/>
      <c r="M31" s="92"/>
      <c r="N31" s="8"/>
      <c r="O31" s="8"/>
      <c r="P31" s="8"/>
      <c r="Q31" s="8"/>
      <c r="R31" s="8"/>
      <c r="S31" s="8"/>
      <c r="T31" s="8"/>
      <c r="U31" s="94"/>
    </row>
    <row r="32" spans="1:31" s="33" customFormat="1" ht="11.25" customHeight="1">
      <c r="A32" s="68"/>
      <c r="B32" s="68"/>
      <c r="C32" s="68"/>
      <c r="D32" s="118"/>
      <c r="E32" s="119"/>
      <c r="F32" s="68"/>
      <c r="G32" s="68"/>
      <c r="H32" s="68"/>
      <c r="I32" s="68"/>
      <c r="J32" s="120"/>
      <c r="K32" s="119"/>
      <c r="L32" s="68"/>
      <c r="M32" s="68"/>
      <c r="N32" s="68"/>
      <c r="O32" s="68"/>
      <c r="P32" s="68"/>
      <c r="Q32" s="68"/>
      <c r="R32" s="68"/>
      <c r="S32" s="97" t="str">
        <f>"Long An, ngày  "&amp;$V$2&amp;"   tháng   "&amp;TEXT(E4,"mm")&amp;"   năm "&amp;TEXT(E4,"yyyy")</f>
        <v>Long An, ngày  31   tháng   03   năm 2017</v>
      </c>
      <c r="T32" s="68"/>
      <c r="U32" s="121"/>
      <c r="V32" s="34"/>
      <c r="W32" s="34"/>
      <c r="X32" s="34"/>
      <c r="Y32" s="34"/>
      <c r="Z32" s="34"/>
    </row>
    <row r="33" spans="1:31" s="33" customFormat="1" ht="12.75">
      <c r="A33" s="28"/>
      <c r="B33" s="28"/>
      <c r="C33" s="28" t="s">
        <v>60</v>
      </c>
      <c r="D33" s="122"/>
      <c r="E33" s="69"/>
      <c r="F33" s="121"/>
      <c r="G33" s="69"/>
      <c r="H33" s="69"/>
      <c r="I33" s="69"/>
      <c r="J33" s="123"/>
      <c r="K33" s="34"/>
      <c r="L33" s="28"/>
      <c r="M33" s="232"/>
      <c r="N33" s="19"/>
      <c r="O33" s="19"/>
      <c r="P33" s="19"/>
      <c r="Q33" s="19"/>
      <c r="S33" s="121" t="s">
        <v>22</v>
      </c>
      <c r="T33" s="121"/>
      <c r="U33" s="121"/>
      <c r="V33" s="34"/>
      <c r="W33" s="34"/>
      <c r="X33" s="34"/>
      <c r="Y33" s="34"/>
      <c r="Z33" s="34"/>
    </row>
    <row r="34" spans="1:31" ht="12">
      <c r="A34" s="7"/>
      <c r="B34" s="7"/>
      <c r="C34" s="14"/>
      <c r="E34" s="12"/>
      <c r="F34" s="11"/>
      <c r="G34" s="12"/>
      <c r="H34" s="12"/>
      <c r="I34" s="12"/>
      <c r="K34" s="6"/>
      <c r="L34" s="14"/>
      <c r="N34" s="10"/>
      <c r="O34" s="10"/>
      <c r="P34" s="10"/>
      <c r="Q34" s="10"/>
      <c r="S34" s="10"/>
      <c r="T34" s="11"/>
      <c r="U34" s="94"/>
    </row>
    <row r="35" spans="1:31" ht="12">
      <c r="C35" s="14"/>
      <c r="L35" s="14"/>
      <c r="T35" s="14"/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s="379" customFormat="1" ht="12">
      <c r="D40" s="380"/>
      <c r="E40" s="381"/>
      <c r="F40" s="380"/>
      <c r="G40" s="381"/>
      <c r="H40" s="381"/>
      <c r="I40" s="381"/>
      <c r="J40" s="382"/>
      <c r="T40" s="383"/>
      <c r="U40" s="384"/>
      <c r="V40" s="383"/>
      <c r="W40" s="383"/>
      <c r="X40" s="383"/>
      <c r="Y40" s="383"/>
      <c r="Z40" s="383"/>
    </row>
    <row r="41" spans="1:31" ht="12">
      <c r="U41" s="94"/>
    </row>
    <row r="42" spans="1:31" ht="12">
      <c r="U42" s="94"/>
    </row>
    <row r="43" spans="1:31" s="157" customFormat="1" ht="29.25" customHeight="1">
      <c r="A43" s="124"/>
      <c r="B43" s="346"/>
      <c r="C43" s="346"/>
      <c r="D43" s="514" t="str">
        <f>D1</f>
        <v>BẢNG THANH TOÁN LƯƠNG THÁNG 03 / 2017</v>
      </c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5"/>
      <c r="R43" s="516" t="s">
        <v>112</v>
      </c>
      <c r="S43" s="517"/>
      <c r="T43" s="518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TH!$A$1</f>
        <v>Công ty TNHH Hải sản An Lạc</v>
      </c>
      <c r="B44" s="346"/>
      <c r="C44" s="346"/>
      <c r="D44" s="346"/>
      <c r="E44" s="181"/>
      <c r="F44" s="346"/>
      <c r="G44" s="346"/>
      <c r="H44" s="346"/>
      <c r="I44" s="346"/>
      <c r="J44" s="182"/>
      <c r="K44" s="346"/>
      <c r="L44" s="346"/>
      <c r="M44" s="346"/>
      <c r="N44" s="346"/>
      <c r="O44" s="346"/>
      <c r="P44" s="346"/>
      <c r="Q44" s="346"/>
      <c r="R44" s="346"/>
      <c r="S44" s="346"/>
      <c r="T44" s="135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TH!$A$2</f>
        <v>Địa chỉ: Lô A14, đường 4A, KCN Hải Sơn, Đức Hòa, Long An</v>
      </c>
      <c r="B45" s="346"/>
      <c r="C45" s="346"/>
      <c r="D45" s="346"/>
      <c r="E45" s="181"/>
      <c r="F45" s="346"/>
      <c r="G45" s="346"/>
      <c r="H45" s="346"/>
      <c r="I45" s="346"/>
      <c r="J45" s="182"/>
      <c r="K45" s="346"/>
      <c r="L45" s="346"/>
      <c r="M45" s="346"/>
      <c r="N45" s="346"/>
      <c r="O45" s="346"/>
      <c r="P45" s="346"/>
      <c r="Q45" s="346"/>
      <c r="R45" s="346"/>
      <c r="S45" s="346"/>
      <c r="T45" s="135"/>
      <c r="U45" s="94"/>
      <c r="V45" s="6"/>
      <c r="W45" s="179"/>
      <c r="X45" s="179"/>
      <c r="Y45" s="180"/>
      <c r="Z45" s="180"/>
    </row>
    <row r="46" spans="1:31" s="186" customFormat="1" ht="14.25" customHeight="1">
      <c r="A46" s="18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94"/>
      <c r="V46" s="6"/>
      <c r="W46" s="185"/>
      <c r="X46" s="185"/>
      <c r="Y46" s="185"/>
      <c r="Z46" s="185"/>
    </row>
    <row r="47" spans="1:31" s="188" customFormat="1" ht="24" customHeight="1">
      <c r="A47" s="508" t="s">
        <v>19</v>
      </c>
      <c r="B47" s="508" t="s">
        <v>20</v>
      </c>
      <c r="C47" s="510" t="s">
        <v>1</v>
      </c>
      <c r="D47" s="510" t="s">
        <v>2</v>
      </c>
      <c r="E47" s="512" t="s">
        <v>56</v>
      </c>
      <c r="F47" s="526" t="s">
        <v>26</v>
      </c>
      <c r="G47" s="532"/>
      <c r="H47" s="532"/>
      <c r="I47" s="532"/>
      <c r="J47" s="532"/>
      <c r="K47" s="527"/>
      <c r="L47" s="500" t="s">
        <v>57</v>
      </c>
      <c r="M47" s="500" t="s">
        <v>5</v>
      </c>
      <c r="N47" s="510" t="s">
        <v>6</v>
      </c>
      <c r="O47" s="510"/>
      <c r="P47" s="510"/>
      <c r="Q47" s="511" t="s">
        <v>7</v>
      </c>
      <c r="R47" s="511" t="s">
        <v>8</v>
      </c>
      <c r="S47" s="511" t="s">
        <v>9</v>
      </c>
      <c r="T47" s="524" t="s">
        <v>10</v>
      </c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3.75" customHeight="1">
      <c r="A48" s="509"/>
      <c r="B48" s="509"/>
      <c r="C48" s="510"/>
      <c r="D48" s="510"/>
      <c r="E48" s="512"/>
      <c r="F48" s="526" t="s">
        <v>59</v>
      </c>
      <c r="G48" s="527"/>
      <c r="H48" s="501" t="s">
        <v>189</v>
      </c>
      <c r="I48" s="502"/>
      <c r="J48" s="528" t="s">
        <v>27</v>
      </c>
      <c r="K48" s="511" t="s">
        <v>4</v>
      </c>
      <c r="L48" s="504"/>
      <c r="M48" s="504"/>
      <c r="N48" s="530" t="s">
        <v>12</v>
      </c>
      <c r="O48" s="511" t="s">
        <v>13</v>
      </c>
      <c r="P48" s="511" t="s">
        <v>34</v>
      </c>
      <c r="Q48" s="523"/>
      <c r="R48" s="523"/>
      <c r="S48" s="523"/>
      <c r="T48" s="525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5.25" customHeight="1">
      <c r="A49" s="509"/>
      <c r="B49" s="509"/>
      <c r="C49" s="511"/>
      <c r="D49" s="511"/>
      <c r="E49" s="512"/>
      <c r="F49" s="345" t="s">
        <v>40</v>
      </c>
      <c r="G49" s="347" t="s">
        <v>18</v>
      </c>
      <c r="H49" s="344" t="s">
        <v>40</v>
      </c>
      <c r="I49" s="347" t="s">
        <v>18</v>
      </c>
      <c r="J49" s="529"/>
      <c r="K49" s="523"/>
      <c r="L49" s="505"/>
      <c r="M49" s="505"/>
      <c r="N49" s="531"/>
      <c r="O49" s="523"/>
      <c r="P49" s="523"/>
      <c r="Q49" s="523"/>
      <c r="R49" s="523"/>
      <c r="S49" s="523"/>
      <c r="T49" s="525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93" customFormat="1" ht="12.75" customHeight="1">
      <c r="A50" s="189">
        <v>1</v>
      </c>
      <c r="B50" s="189">
        <v>2</v>
      </c>
      <c r="C50" s="189">
        <v>3</v>
      </c>
      <c r="D50" s="189">
        <v>4</v>
      </c>
      <c r="E50" s="189">
        <v>5</v>
      </c>
      <c r="F50" s="189">
        <v>7</v>
      </c>
      <c r="G50" s="189">
        <v>8</v>
      </c>
      <c r="H50" s="189">
        <v>9</v>
      </c>
      <c r="I50" s="189">
        <v>10</v>
      </c>
      <c r="J50" s="189">
        <v>13</v>
      </c>
      <c r="K50" s="189">
        <v>14</v>
      </c>
      <c r="L50" s="189">
        <v>16</v>
      </c>
      <c r="M50" s="74">
        <v>17</v>
      </c>
      <c r="N50" s="189">
        <v>24</v>
      </c>
      <c r="O50" s="189">
        <v>25</v>
      </c>
      <c r="P50" s="189">
        <v>26</v>
      </c>
      <c r="Q50" s="189">
        <v>29</v>
      </c>
      <c r="R50" s="189">
        <v>30</v>
      </c>
      <c r="S50" s="189">
        <v>31</v>
      </c>
      <c r="T50" s="189">
        <v>32</v>
      </c>
      <c r="U50" s="164"/>
      <c r="V50" s="190"/>
      <c r="W50" s="190"/>
      <c r="X50" s="191"/>
      <c r="Y50" s="191"/>
      <c r="Z50" s="191"/>
      <c r="AA50" s="192"/>
      <c r="AB50" s="192"/>
      <c r="AC50" s="192"/>
      <c r="AD50" s="192"/>
      <c r="AE50" s="192"/>
    </row>
    <row r="51" spans="1:31" s="203" customFormat="1" ht="23.25" customHeight="1">
      <c r="A51" s="194">
        <v>1</v>
      </c>
      <c r="B51" s="194" t="s">
        <v>68</v>
      </c>
      <c r="C51" s="195" t="str">
        <f t="shared" ref="C51:C57" si="40">VLOOKUP(B51,DS,2,0)</f>
        <v>Nguyễn Thiện Duy</v>
      </c>
      <c r="D51" s="196" t="str">
        <f t="shared" ref="D51:D59" si="41">VLOOKUP(B51,DS,3,0)</f>
        <v>Giám đốc</v>
      </c>
      <c r="E51" s="197">
        <f>VLOOKUP(B51,TH!$B$11:$E$56,4,0)</f>
        <v>10851000</v>
      </c>
      <c r="F51" s="82">
        <f>VLOOKUP($B51,'CC - 03'!$B$9:$AR$95,36,0)</f>
        <v>23</v>
      </c>
      <c r="G51" s="198">
        <f t="shared" ref="G51:G57" si="42">ROUND(E51/$U$2*F51,0)</f>
        <v>9243444</v>
      </c>
      <c r="H51" s="82">
        <f>(VLOOKUP($B51,'CC - 02'!$B$9:$AN$97,37,0)+(VLOOKUP($B51,'CC - 02'!$B$9:$AN$97,38,0)))</f>
        <v>0</v>
      </c>
      <c r="I51" s="198">
        <f t="shared" ref="I51:I57" si="43">ROUND(E51/$U$2*H51,0)</f>
        <v>0</v>
      </c>
      <c r="J51" s="199">
        <f t="shared" ref="J51:K57" si="44">F51+H51</f>
        <v>23</v>
      </c>
      <c r="K51" s="36">
        <f t="shared" si="44"/>
        <v>9243444</v>
      </c>
      <c r="L51" s="80">
        <f>+F51*15000</f>
        <v>345000</v>
      </c>
      <c r="M51" s="200">
        <f t="shared" ref="M51:M57" si="45">K51+SUM(L51:L51)</f>
        <v>9588444</v>
      </c>
      <c r="N51" s="37">
        <f t="shared" ref="N51:N57" si="46">IF(VLOOKUP(B51,DS,10,0)="x",E51*$N$4,0)</f>
        <v>868080</v>
      </c>
      <c r="O51" s="37">
        <f t="shared" ref="O51:O57" si="47">IF(VLOOKUP(B51,DS,10,0)="x",E51*$O$4,0)</f>
        <v>162765</v>
      </c>
      <c r="P51" s="37">
        <f t="shared" ref="P51:P57" si="48">IF(VLOOKUP(B51,DS,10,0)="x",E51*$P$4,0)</f>
        <v>108510</v>
      </c>
      <c r="Q51" s="198">
        <f t="shared" ref="Q51:Q57" si="49">M51-SUM(N51:P51)</f>
        <v>8449089</v>
      </c>
      <c r="R51" s="198">
        <f t="shared" ref="R51:R57" si="50">VLOOKUP(B51,DS,23,0)</f>
        <v>0</v>
      </c>
      <c r="S51" s="201">
        <f>Q51-R51</f>
        <v>8449089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2</v>
      </c>
      <c r="B52" s="194" t="s">
        <v>70</v>
      </c>
      <c r="C52" s="195" t="str">
        <f t="shared" si="40"/>
        <v>Nguyễn Văn Sẽ</v>
      </c>
      <c r="D52" s="196" t="str">
        <f t="shared" si="41"/>
        <v>Kỹ Thuật</v>
      </c>
      <c r="E52" s="197">
        <f>VLOOKUP(B52,TH!$B$11:$E$56,4,0)</f>
        <v>4895000</v>
      </c>
      <c r="F52" s="82">
        <f>VLOOKUP($B52,'CC - 03'!$B$9:$AR$95,36,0)</f>
        <v>27</v>
      </c>
      <c r="G52" s="198">
        <f t="shared" si="42"/>
        <v>4895000</v>
      </c>
      <c r="H52" s="82">
        <f>(VLOOKUP($B52,'CC - 02'!$B$9:$AN$97,37,0)+(VLOOKUP($B52,'CC - 02'!$B$9:$AN$97,38,0)))</f>
        <v>0</v>
      </c>
      <c r="I52" s="198">
        <f t="shared" si="43"/>
        <v>0</v>
      </c>
      <c r="J52" s="199">
        <f t="shared" si="44"/>
        <v>27</v>
      </c>
      <c r="K52" s="36">
        <f t="shared" si="44"/>
        <v>4895000</v>
      </c>
      <c r="L52" s="80">
        <f t="shared" ref="L52:L57" si="51">+F52*15000</f>
        <v>405000</v>
      </c>
      <c r="M52" s="200">
        <f t="shared" si="45"/>
        <v>5300000</v>
      </c>
      <c r="N52" s="37">
        <f t="shared" si="46"/>
        <v>391600</v>
      </c>
      <c r="O52" s="37">
        <f t="shared" si="47"/>
        <v>73425</v>
      </c>
      <c r="P52" s="37">
        <f t="shared" si="48"/>
        <v>48950</v>
      </c>
      <c r="Q52" s="198">
        <f t="shared" si="49"/>
        <v>4786025</v>
      </c>
      <c r="R52" s="198">
        <f t="shared" si="50"/>
        <v>0</v>
      </c>
      <c r="S52" s="201">
        <f t="shared" ref="S52:S57" si="52">Q52-R52</f>
        <v>4786025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3</v>
      </c>
      <c r="B53" s="194" t="s">
        <v>72</v>
      </c>
      <c r="C53" s="195" t="str">
        <f t="shared" si="40"/>
        <v>Võ Uyên Phương</v>
      </c>
      <c r="D53" s="196" t="str">
        <f t="shared" si="41"/>
        <v>Kế toán</v>
      </c>
      <c r="E53" s="197">
        <f>VLOOKUP(B53,TH!$B$11:$E$56,4,0)</f>
        <v>4895000</v>
      </c>
      <c r="F53" s="82">
        <f>VLOOKUP($B53,'CC - 03'!$B$9:$AR$95,36,0)</f>
        <v>27</v>
      </c>
      <c r="G53" s="198">
        <f t="shared" si="42"/>
        <v>4895000</v>
      </c>
      <c r="H53" s="82">
        <f>(VLOOKUP($B53,'CC - 02'!$B$9:$AN$97,37,0)+(VLOOKUP($B53,'CC - 02'!$B$9:$AN$97,38,0)))</f>
        <v>0</v>
      </c>
      <c r="I53" s="198">
        <f t="shared" si="43"/>
        <v>0</v>
      </c>
      <c r="J53" s="199">
        <f t="shared" si="44"/>
        <v>27</v>
      </c>
      <c r="K53" s="36">
        <f t="shared" si="44"/>
        <v>4895000</v>
      </c>
      <c r="L53" s="80">
        <f t="shared" si="51"/>
        <v>405000</v>
      </c>
      <c r="M53" s="200">
        <f t="shared" si="45"/>
        <v>5300000</v>
      </c>
      <c r="N53" s="37">
        <f t="shared" si="46"/>
        <v>391600</v>
      </c>
      <c r="O53" s="37">
        <f t="shared" si="47"/>
        <v>73425</v>
      </c>
      <c r="P53" s="37">
        <f t="shared" si="48"/>
        <v>48950</v>
      </c>
      <c r="Q53" s="198">
        <f t="shared" si="49"/>
        <v>4786025</v>
      </c>
      <c r="R53" s="198">
        <f t="shared" si="50"/>
        <v>0</v>
      </c>
      <c r="S53" s="201">
        <f t="shared" si="52"/>
        <v>4786025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4</v>
      </c>
      <c r="B54" s="194" t="s">
        <v>75</v>
      </c>
      <c r="C54" s="195" t="str">
        <f t="shared" si="40"/>
        <v>Lê Nguyễn Huy Cường</v>
      </c>
      <c r="D54" s="196" t="str">
        <f t="shared" si="41"/>
        <v>XNK</v>
      </c>
      <c r="E54" s="197">
        <f>VLOOKUP(B54,TH!$B$11:$E$56,4,0)</f>
        <v>4336000</v>
      </c>
      <c r="F54" s="82">
        <f>VLOOKUP($B54,'CC - 03'!$B$9:$AR$95,36,0)</f>
        <v>27</v>
      </c>
      <c r="G54" s="198">
        <f t="shared" si="42"/>
        <v>4336000</v>
      </c>
      <c r="H54" s="82">
        <f>(VLOOKUP($B54,'CC - 02'!$B$9:$AN$97,37,0)+(VLOOKUP($B54,'CC - 02'!$B$9:$AN$97,38,0)))</f>
        <v>0</v>
      </c>
      <c r="I54" s="198">
        <f t="shared" si="43"/>
        <v>0</v>
      </c>
      <c r="J54" s="199">
        <f t="shared" si="44"/>
        <v>27</v>
      </c>
      <c r="K54" s="36">
        <f t="shared" si="44"/>
        <v>4336000</v>
      </c>
      <c r="L54" s="80">
        <f t="shared" si="51"/>
        <v>405000</v>
      </c>
      <c r="M54" s="200">
        <f t="shared" si="45"/>
        <v>4741000</v>
      </c>
      <c r="N54" s="37">
        <f t="shared" si="46"/>
        <v>346880</v>
      </c>
      <c r="O54" s="37">
        <f t="shared" si="47"/>
        <v>65040</v>
      </c>
      <c r="P54" s="37">
        <f t="shared" si="48"/>
        <v>43360</v>
      </c>
      <c r="Q54" s="198">
        <f t="shared" si="49"/>
        <v>4285720</v>
      </c>
      <c r="R54" s="198">
        <f t="shared" si="50"/>
        <v>0</v>
      </c>
      <c r="S54" s="201">
        <f t="shared" si="52"/>
        <v>4285720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5</v>
      </c>
      <c r="B55" s="194" t="s">
        <v>77</v>
      </c>
      <c r="C55" s="195" t="str">
        <f t="shared" si="40"/>
        <v>Nguyễn Văn Bé Tư</v>
      </c>
      <c r="D55" s="196" t="str">
        <f t="shared" si="41"/>
        <v>Tài xế</v>
      </c>
      <c r="E55" s="197">
        <f>VLOOKUP(B55,TH!$B$11:$E$56,4,0)</f>
        <v>3776000</v>
      </c>
      <c r="F55" s="82">
        <f>VLOOKUP($B55,'CC - 03'!$B$9:$AR$95,36,0)</f>
        <v>27</v>
      </c>
      <c r="G55" s="198">
        <f t="shared" si="42"/>
        <v>3776000</v>
      </c>
      <c r="H55" s="82">
        <f>(VLOOKUP($B55,'CC - 02'!$B$9:$AN$97,37,0)+(VLOOKUP($B55,'CC - 02'!$B$9:$AN$97,38,0)))</f>
        <v>0</v>
      </c>
      <c r="I55" s="198">
        <f t="shared" si="43"/>
        <v>0</v>
      </c>
      <c r="J55" s="199">
        <f t="shared" si="44"/>
        <v>27</v>
      </c>
      <c r="K55" s="36">
        <f t="shared" si="44"/>
        <v>3776000</v>
      </c>
      <c r="L55" s="80">
        <f t="shared" si="51"/>
        <v>405000</v>
      </c>
      <c r="M55" s="200">
        <f t="shared" si="45"/>
        <v>4181000</v>
      </c>
      <c r="N55" s="37">
        <f t="shared" si="46"/>
        <v>302080</v>
      </c>
      <c r="O55" s="37">
        <f t="shared" si="47"/>
        <v>56640</v>
      </c>
      <c r="P55" s="37">
        <f t="shared" si="48"/>
        <v>37760</v>
      </c>
      <c r="Q55" s="198">
        <f t="shared" si="49"/>
        <v>3784520</v>
      </c>
      <c r="R55" s="198">
        <f t="shared" si="50"/>
        <v>0</v>
      </c>
      <c r="S55" s="201">
        <f t="shared" si="52"/>
        <v>3784520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6</v>
      </c>
      <c r="B56" s="194" t="s">
        <v>78</v>
      </c>
      <c r="C56" s="195" t="str">
        <f t="shared" si="40"/>
        <v>Dương Thanh Tuấn</v>
      </c>
      <c r="D56" s="196" t="str">
        <f t="shared" si="41"/>
        <v>Nhân sự</v>
      </c>
      <c r="E56" s="197">
        <f>VLOOKUP(B56,TH!$B$11:$E$56,4,0)</f>
        <v>4056000</v>
      </c>
      <c r="F56" s="82">
        <f>VLOOKUP($B56,'CC - 03'!$B$9:$AR$95,36,0)</f>
        <v>27</v>
      </c>
      <c r="G56" s="198">
        <f t="shared" si="42"/>
        <v>4056000</v>
      </c>
      <c r="H56" s="82">
        <f>(VLOOKUP($B56,'CC - 02'!$B$9:$AN$97,37,0)+(VLOOKUP($B56,'CC - 02'!$B$9:$AN$97,38,0)))</f>
        <v>0</v>
      </c>
      <c r="I56" s="198">
        <f t="shared" si="43"/>
        <v>0</v>
      </c>
      <c r="J56" s="199">
        <f t="shared" si="44"/>
        <v>27</v>
      </c>
      <c r="K56" s="36">
        <f t="shared" si="44"/>
        <v>4056000</v>
      </c>
      <c r="L56" s="80">
        <f t="shared" si="51"/>
        <v>405000</v>
      </c>
      <c r="M56" s="200">
        <f t="shared" si="45"/>
        <v>4461000</v>
      </c>
      <c r="N56" s="37">
        <f t="shared" si="46"/>
        <v>324480</v>
      </c>
      <c r="O56" s="37">
        <f t="shared" si="47"/>
        <v>60840</v>
      </c>
      <c r="P56" s="37">
        <f t="shared" si="48"/>
        <v>40560</v>
      </c>
      <c r="Q56" s="198">
        <f t="shared" si="49"/>
        <v>4035120</v>
      </c>
      <c r="R56" s="198">
        <f t="shared" si="50"/>
        <v>0</v>
      </c>
      <c r="S56" s="201">
        <f t="shared" si="52"/>
        <v>4035120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7</v>
      </c>
      <c r="B57" s="194" t="s">
        <v>81</v>
      </c>
      <c r="C57" s="195" t="str">
        <f t="shared" si="40"/>
        <v>Nguyễn Thiện Duyệt</v>
      </c>
      <c r="D57" s="196" t="str">
        <f t="shared" si="41"/>
        <v>XNK</v>
      </c>
      <c r="E57" s="197">
        <f>VLOOKUP(B57,TH!$B$11:$E$56,4,0)</f>
        <v>4840000</v>
      </c>
      <c r="F57" s="82">
        <f>VLOOKUP($B57,'CC - 03'!$B$9:$AR$95,36,0)</f>
        <v>27</v>
      </c>
      <c r="G57" s="198">
        <f t="shared" si="42"/>
        <v>4840000</v>
      </c>
      <c r="H57" s="82">
        <f>(VLOOKUP($B57,'CC - 02'!$B$9:$AN$97,37,0)+(VLOOKUP($B57,'CC - 02'!$B$9:$AN$97,38,0)))</f>
        <v>0</v>
      </c>
      <c r="I57" s="198">
        <f t="shared" si="43"/>
        <v>0</v>
      </c>
      <c r="J57" s="199">
        <f t="shared" si="44"/>
        <v>27</v>
      </c>
      <c r="K57" s="36">
        <f t="shared" si="44"/>
        <v>4840000</v>
      </c>
      <c r="L57" s="80">
        <f t="shared" si="51"/>
        <v>405000</v>
      </c>
      <c r="M57" s="200">
        <f t="shared" si="45"/>
        <v>5245000</v>
      </c>
      <c r="N57" s="37">
        <f t="shared" si="46"/>
        <v>387200</v>
      </c>
      <c r="O57" s="37">
        <f t="shared" si="47"/>
        <v>72600</v>
      </c>
      <c r="P57" s="37">
        <f t="shared" si="48"/>
        <v>48400</v>
      </c>
      <c r="Q57" s="198">
        <f t="shared" si="49"/>
        <v>4736800</v>
      </c>
      <c r="R57" s="198">
        <f t="shared" si="50"/>
        <v>0</v>
      </c>
      <c r="S57" s="201">
        <f t="shared" si="52"/>
        <v>4736800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8</v>
      </c>
      <c r="B58" s="194" t="s">
        <v>208</v>
      </c>
      <c r="C58" s="195" t="s">
        <v>203</v>
      </c>
      <c r="D58" s="196" t="str">
        <f t="shared" si="41"/>
        <v>Kế toán</v>
      </c>
      <c r="E58" s="197">
        <f>VLOOKUP(B58,TH!$B$11:$E$56,4,0)</f>
        <v>4362000</v>
      </c>
      <c r="F58" s="82">
        <f>VLOOKUP($B58,'CC - 03'!$B$9:$AR$95,36,0)</f>
        <v>27</v>
      </c>
      <c r="G58" s="198">
        <f t="shared" ref="G58:G59" si="53">ROUND(E58/$U$2*F58,0)</f>
        <v>4362000</v>
      </c>
      <c r="H58" s="82">
        <f>(VLOOKUP($B58,'CC - 03'!$B$9:$AN$94,37,0)+(VLOOKUP($B58,'CC - 03'!$B$9:$AN$94,38,0)))</f>
        <v>0</v>
      </c>
      <c r="I58" s="198">
        <f t="shared" ref="I58:I59" si="54">ROUND(E58/$U$2*H58,0)</f>
        <v>0</v>
      </c>
      <c r="J58" s="199">
        <f t="shared" ref="J58:J59" si="55">F58+H58</f>
        <v>27</v>
      </c>
      <c r="K58" s="36">
        <f t="shared" ref="K58:K59" si="56">G58+I58</f>
        <v>4362000</v>
      </c>
      <c r="L58" s="80">
        <f t="shared" ref="L58:L59" si="57">+F58*15000</f>
        <v>405000</v>
      </c>
      <c r="M58" s="200">
        <f t="shared" ref="M58:M59" si="58">K58+SUM(L58:L58)</f>
        <v>4767000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8">
        <f t="shared" ref="Q58" si="59">M58-SUM(N58:P58)</f>
        <v>4308990</v>
      </c>
      <c r="R58" s="198">
        <f t="shared" ref="R58:R59" si="60">VLOOKUP(B58,DS,23,0)</f>
        <v>0</v>
      </c>
      <c r="S58" s="201">
        <f t="shared" ref="S58:S59" si="61">Q58-R58</f>
        <v>4308990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9</v>
      </c>
      <c r="B59" s="194" t="s">
        <v>207</v>
      </c>
      <c r="C59" s="195" t="s">
        <v>204</v>
      </c>
      <c r="D59" s="196" t="str">
        <f t="shared" si="41"/>
        <v>Kế toán</v>
      </c>
      <c r="E59" s="197">
        <f>VLOOKUP(B59,TH!$B$11:$E$56,4,0)</f>
        <v>4362000</v>
      </c>
      <c r="F59" s="82">
        <f>VLOOKUP($B59,'CC - 03'!$B$9:$AR$95,36,0)</f>
        <v>27</v>
      </c>
      <c r="G59" s="198">
        <f t="shared" si="53"/>
        <v>4362000</v>
      </c>
      <c r="H59" s="82">
        <f>(VLOOKUP($B59,'CC - 03'!$B$9:$AN$94,37,0)+(VLOOKUP($B59,'CC - 03'!$B$9:$AN$94,38,0)))</f>
        <v>0</v>
      </c>
      <c r="I59" s="198">
        <f t="shared" si="54"/>
        <v>0</v>
      </c>
      <c r="J59" s="199">
        <f t="shared" si="55"/>
        <v>27</v>
      </c>
      <c r="K59" s="36">
        <f t="shared" si="56"/>
        <v>4362000</v>
      </c>
      <c r="L59" s="80">
        <f t="shared" si="57"/>
        <v>405000</v>
      </c>
      <c r="M59" s="200">
        <f t="shared" si="58"/>
        <v>4767000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" si="62">M59-SUM(N59:P59)</f>
        <v>4308990</v>
      </c>
      <c r="R59" s="198">
        <f t="shared" si="60"/>
        <v>0</v>
      </c>
      <c r="S59" s="201">
        <f t="shared" si="61"/>
        <v>4308990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8" customFormat="1" ht="21" customHeight="1">
      <c r="A60" s="521" t="s">
        <v>25</v>
      </c>
      <c r="B60" s="522"/>
      <c r="C60" s="522"/>
      <c r="D60" s="522"/>
      <c r="E60" s="205">
        <f>SUM(E51:E59)</f>
        <v>46373000</v>
      </c>
      <c r="F60" s="205"/>
      <c r="G60" s="205">
        <f t="shared" ref="G60:S60" si="63">SUM(G51:G59)</f>
        <v>44765444</v>
      </c>
      <c r="H60" s="205">
        <f t="shared" si="63"/>
        <v>0</v>
      </c>
      <c r="I60" s="205">
        <f t="shared" si="63"/>
        <v>0</v>
      </c>
      <c r="J60" s="205">
        <f t="shared" si="63"/>
        <v>239</v>
      </c>
      <c r="K60" s="206">
        <f t="shared" si="63"/>
        <v>44765444</v>
      </c>
      <c r="L60" s="206">
        <f t="shared" si="63"/>
        <v>3585000</v>
      </c>
      <c r="M60" s="206">
        <f t="shared" si="63"/>
        <v>48350444</v>
      </c>
      <c r="N60" s="206">
        <f t="shared" si="63"/>
        <v>3709840</v>
      </c>
      <c r="O60" s="206">
        <f t="shared" si="63"/>
        <v>695595</v>
      </c>
      <c r="P60" s="206">
        <f t="shared" si="63"/>
        <v>463730</v>
      </c>
      <c r="Q60" s="206">
        <f t="shared" si="63"/>
        <v>43481279</v>
      </c>
      <c r="R60" s="206">
        <f t="shared" si="63"/>
        <v>0</v>
      </c>
      <c r="S60" s="206">
        <f t="shared" si="63"/>
        <v>43481279</v>
      </c>
      <c r="T60" s="206"/>
      <c r="U60" s="164"/>
      <c r="V60" s="207"/>
      <c r="W60" s="207"/>
      <c r="X60" s="207"/>
      <c r="Y60" s="207"/>
      <c r="Z60" s="207"/>
    </row>
    <row r="61" spans="1:31" s="216" customFormat="1" ht="13.5" customHeight="1">
      <c r="A61" s="209"/>
      <c r="B61" s="209"/>
      <c r="C61" s="210"/>
      <c r="D61" s="211"/>
      <c r="E61" s="212"/>
      <c r="F61" s="210"/>
      <c r="G61" s="210"/>
      <c r="H61" s="210"/>
      <c r="I61" s="210"/>
      <c r="J61" s="213"/>
      <c r="K61" s="210"/>
      <c r="L61" s="210"/>
      <c r="M61" s="214"/>
      <c r="N61" s="210"/>
      <c r="O61" s="210"/>
      <c r="P61" s="210"/>
      <c r="Q61" s="210"/>
      <c r="R61" s="210"/>
      <c r="S61" s="210"/>
      <c r="T61" s="210"/>
      <c r="U61" s="164"/>
      <c r="V61" s="215"/>
      <c r="W61" s="215"/>
      <c r="X61" s="215"/>
      <c r="Y61" s="215"/>
      <c r="Z61" s="215"/>
    </row>
    <row r="62" spans="1:31" s="203" customFormat="1" ht="17.25" customHeight="1">
      <c r="A62" s="217"/>
      <c r="B62" s="217"/>
      <c r="C62" s="217"/>
      <c r="D62" s="218"/>
      <c r="E62" s="219"/>
      <c r="F62" s="217"/>
      <c r="G62" s="217"/>
      <c r="H62" s="217"/>
      <c r="I62" s="217"/>
      <c r="J62" s="220"/>
      <c r="K62" s="219"/>
      <c r="L62" s="217"/>
      <c r="M62" s="217"/>
      <c r="N62" s="217"/>
      <c r="O62" s="217"/>
      <c r="P62" s="217"/>
      <c r="Q62" s="217"/>
      <c r="R62" s="217"/>
      <c r="S62" s="221" t="str">
        <f>$S$32</f>
        <v>Long An, ngày  31   tháng   03   năm 2017</v>
      </c>
      <c r="T62" s="217"/>
      <c r="U62" s="222"/>
      <c r="V62" s="202"/>
      <c r="W62" s="202"/>
      <c r="X62" s="202"/>
      <c r="Y62" s="202"/>
      <c r="Z62" s="202"/>
    </row>
    <row r="63" spans="1:31" s="203" customFormat="1" ht="12.75">
      <c r="A63" s="223"/>
      <c r="B63" s="223"/>
      <c r="C63" s="222" t="s">
        <v>60</v>
      </c>
      <c r="D63" s="224"/>
      <c r="E63" s="183"/>
      <c r="F63" s="222"/>
      <c r="G63" s="183"/>
      <c r="H63" s="183"/>
      <c r="I63" s="183"/>
      <c r="J63" s="225"/>
      <c r="K63" s="202"/>
      <c r="L63" s="226"/>
      <c r="M63" s="233"/>
      <c r="N63" s="227"/>
      <c r="O63" s="227"/>
      <c r="P63" s="227"/>
      <c r="Q63" s="227"/>
      <c r="S63" s="227" t="s">
        <v>22</v>
      </c>
      <c r="T63" s="222"/>
      <c r="U63" s="222"/>
      <c r="V63" s="202"/>
      <c r="W63" s="202"/>
      <c r="X63" s="202"/>
      <c r="Y63" s="202"/>
      <c r="Z63" s="202"/>
    </row>
    <row r="64" spans="1:31" s="216" customFormat="1" ht="12">
      <c r="A64" s="209"/>
      <c r="B64" s="209"/>
      <c r="C64" s="228"/>
      <c r="D64" s="228"/>
      <c r="E64" s="229"/>
      <c r="F64" s="167"/>
      <c r="G64" s="229"/>
      <c r="H64" s="229"/>
      <c r="I64" s="229"/>
      <c r="J64" s="213"/>
      <c r="K64" s="215"/>
      <c r="L64" s="230"/>
      <c r="N64" s="231"/>
      <c r="O64" s="231"/>
      <c r="P64" s="231"/>
      <c r="Q64" s="231"/>
      <c r="S64" s="231"/>
      <c r="T64" s="167"/>
      <c r="U64" s="164"/>
      <c r="V64" s="215"/>
      <c r="W64" s="215"/>
      <c r="X64" s="215"/>
      <c r="Y64" s="215"/>
      <c r="Z64" s="215"/>
    </row>
    <row r="66" spans="6:6">
      <c r="F66" s="280"/>
    </row>
  </sheetData>
  <protectedRanges>
    <protectedRange password="CC78" sqref="V30:IK30 A10:B11 C5:D7 B33:C33 V5:W9 A30:A34 B30:B32 B34 A65:A95 V12:W12 Q5:T7 AF5:IK12 V25:W25 E5:I6 N5:P6 L5 Q10:S11 L49 L33 J6:K7 L7 L47 AF25:IK25 A36:A42 W36:IK42 W10:W11 C65:IK95 D30:T30 A96:IK65363 C36:T42 B36:B50 V36:V46 H48:I48 B53:B95" name="Range1"/>
    <protectedRange password="CC78" sqref="F7:H7 H49" name="Range1_4"/>
    <protectedRange password="CC78" sqref="V33:IK34 S33:T34 N33:Q34 E33:I34" name="Range1_1_1"/>
    <protectedRange password="CC78" sqref="U1 W1:IK3 V4:IK4 B4:T4 U4:U12 X5:AE12 U25 X25:AE25 B1:Q3 R2:S3 U30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0:IK60 C47:D49 B63:C63 V47:W50 B64 N47:P48 Q47:T49 E47:I47 AF47:IK59 D60:T60 J48:K49 L63 W51:W59 E48:G48 B53:B62 Q51:S59 A51:A64" name="Range1_3"/>
    <protectedRange password="CC78" sqref="F49:G49" name="Range1_4_2"/>
    <protectedRange password="CC78" sqref="V63:IK64 N63:Q64 S63:T64 E63:I64" name="Range1_1_1_1"/>
    <protectedRange password="CC78" sqref="W43:IK46 X47:AE59 B46:T46 B43:Q45 R44:S45 U47:U64" name="Range1_2_2"/>
    <protectedRange password="CC78" sqref="V51:V59" name="Range1_1_2"/>
    <protectedRange password="CC78" sqref="A43" name="Range1_2_1_1_1"/>
    <protectedRange password="CC78" sqref="I49" name="Range1_4_1_1"/>
    <protectedRange password="CC78" sqref="AF26:IK29 W26:W29 B26:B29 B21 Q26:S29 A13:B14 W13:W24 AF13:IK24 B23 B15:B19 A15:A29 Q13:S24" name="Range1_5"/>
    <protectedRange password="CC78" sqref="X26:AE29 U26:U29 U13:U24 X13:AE24" name="Range1_2_3"/>
    <protectedRange password="CC78" sqref="V26:V29 V13:V24" name="Range1_1_3"/>
    <protectedRange password="CC78" sqref="K10:K11 K26:K29 K51:K59 K13:K24" name="Range1_6"/>
    <protectedRange password="CC78" sqref="A2:A3 A44:A45" name="Range1_2_1_3"/>
    <protectedRange password="CC78" sqref="B20" name="Range1_7"/>
    <protectedRange password="CC78" sqref="B22" name="Range1_1_4"/>
    <protectedRange password="CC78" sqref="B24" name="Range1_1_5"/>
  </protectedRanges>
  <autoFilter ref="A7:AE29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B25:C25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I8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71" sqref="A71:AS99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54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04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50" t="s">
        <v>180</v>
      </c>
      <c r="AN1" s="451"/>
      <c r="AO1" s="451"/>
      <c r="AP1" s="451"/>
      <c r="AQ1" s="451"/>
      <c r="AR1" s="451"/>
      <c r="AS1" s="452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42826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53" t="s">
        <v>28</v>
      </c>
      <c r="B5" s="453" t="s">
        <v>3</v>
      </c>
      <c r="C5" s="453" t="s">
        <v>1</v>
      </c>
      <c r="D5" s="455" t="s">
        <v>29</v>
      </c>
      <c r="E5" s="453" t="s">
        <v>30</v>
      </c>
      <c r="F5" s="105">
        <f>+E4</f>
        <v>42826</v>
      </c>
      <c r="G5" s="105">
        <f t="shared" ref="G5:AG5" si="0">F5+1</f>
        <v>42827</v>
      </c>
      <c r="H5" s="105">
        <f t="shared" si="0"/>
        <v>42828</v>
      </c>
      <c r="I5" s="105">
        <f t="shared" si="0"/>
        <v>42829</v>
      </c>
      <c r="J5" s="105">
        <f t="shared" si="0"/>
        <v>42830</v>
      </c>
      <c r="K5" s="105">
        <f t="shared" si="0"/>
        <v>42831</v>
      </c>
      <c r="L5" s="105">
        <f t="shared" si="0"/>
        <v>42832</v>
      </c>
      <c r="M5" s="105">
        <f t="shared" si="0"/>
        <v>42833</v>
      </c>
      <c r="N5" s="105">
        <f t="shared" si="0"/>
        <v>42834</v>
      </c>
      <c r="O5" s="105">
        <f t="shared" si="0"/>
        <v>42835</v>
      </c>
      <c r="P5" s="105">
        <f t="shared" si="0"/>
        <v>42836</v>
      </c>
      <c r="Q5" s="105">
        <f t="shared" si="0"/>
        <v>42837</v>
      </c>
      <c r="R5" s="105">
        <f t="shared" si="0"/>
        <v>42838</v>
      </c>
      <c r="S5" s="105">
        <f t="shared" si="0"/>
        <v>42839</v>
      </c>
      <c r="T5" s="105">
        <f t="shared" si="0"/>
        <v>42840</v>
      </c>
      <c r="U5" s="105">
        <f t="shared" si="0"/>
        <v>42841</v>
      </c>
      <c r="V5" s="105">
        <f t="shared" si="0"/>
        <v>42842</v>
      </c>
      <c r="W5" s="105">
        <f t="shared" si="0"/>
        <v>42843</v>
      </c>
      <c r="X5" s="105">
        <f t="shared" si="0"/>
        <v>42844</v>
      </c>
      <c r="Y5" s="105">
        <f t="shared" si="0"/>
        <v>42845</v>
      </c>
      <c r="Z5" s="105">
        <f t="shared" si="0"/>
        <v>42846</v>
      </c>
      <c r="AA5" s="105">
        <f t="shared" si="0"/>
        <v>42847</v>
      </c>
      <c r="AB5" s="105">
        <f t="shared" si="0"/>
        <v>42848</v>
      </c>
      <c r="AC5" s="105">
        <f t="shared" si="0"/>
        <v>42849</v>
      </c>
      <c r="AD5" s="105">
        <f t="shared" si="0"/>
        <v>42850</v>
      </c>
      <c r="AE5" s="105">
        <f t="shared" si="0"/>
        <v>42851</v>
      </c>
      <c r="AF5" s="105">
        <f t="shared" si="0"/>
        <v>42852</v>
      </c>
      <c r="AG5" s="105">
        <f t="shared" si="0"/>
        <v>42853</v>
      </c>
      <c r="AH5" s="105">
        <f>AG5+1</f>
        <v>42854</v>
      </c>
      <c r="AI5" s="105">
        <f>AH5+1</f>
        <v>42855</v>
      </c>
      <c r="AJ5" s="105">
        <v>31</v>
      </c>
      <c r="AK5" s="456" t="s">
        <v>15</v>
      </c>
      <c r="AL5" s="457"/>
      <c r="AM5" s="458"/>
      <c r="AN5" s="459" t="s">
        <v>45</v>
      </c>
      <c r="AO5" s="459" t="s">
        <v>41</v>
      </c>
      <c r="AP5" s="459" t="s">
        <v>42</v>
      </c>
      <c r="AQ5" s="459" t="s">
        <v>43</v>
      </c>
      <c r="AR5" s="459" t="s">
        <v>44</v>
      </c>
      <c r="AS5" s="455" t="s">
        <v>0</v>
      </c>
      <c r="AT5" s="4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54"/>
      <c r="B6" s="454"/>
      <c r="C6" s="454"/>
      <c r="D6" s="454"/>
      <c r="E6" s="454"/>
      <c r="F6" s="263" t="str">
        <f>CHOOSE(WEEKDAY(F5),"C.Nhật","T.Hai","T.Ba","T.Tư","T.Năm","T.Sáu","T.Bảy")</f>
        <v>T.Bảy</v>
      </c>
      <c r="G6" s="263" t="str">
        <f t="shared" ref="G6:AI6" si="1">CHOOSE(WEEKDAY(G5),"C.Nhật","T.Hai","T.Ba","T.Tư","T.Năm","T.Sáu","T.Bảy")</f>
        <v>C.Nhật</v>
      </c>
      <c r="H6" s="263" t="str">
        <f t="shared" si="1"/>
        <v>T.Hai</v>
      </c>
      <c r="I6" s="263" t="str">
        <f t="shared" si="1"/>
        <v>T.Ba</v>
      </c>
      <c r="J6" s="263" t="str">
        <f t="shared" si="1"/>
        <v>T.Tư</v>
      </c>
      <c r="K6" s="263" t="str">
        <f t="shared" si="1"/>
        <v>T.Năm</v>
      </c>
      <c r="L6" s="263" t="str">
        <f t="shared" si="1"/>
        <v>T.Sáu</v>
      </c>
      <c r="M6" s="263" t="str">
        <f t="shared" si="1"/>
        <v>T.Bảy</v>
      </c>
      <c r="N6" s="263" t="str">
        <f t="shared" si="1"/>
        <v>C.Nhật</v>
      </c>
      <c r="O6" s="263" t="str">
        <f t="shared" si="1"/>
        <v>T.Hai</v>
      </c>
      <c r="P6" s="263" t="str">
        <f t="shared" si="1"/>
        <v>T.Ba</v>
      </c>
      <c r="Q6" s="263" t="str">
        <f t="shared" si="1"/>
        <v>T.Tư</v>
      </c>
      <c r="R6" s="263" t="str">
        <f t="shared" si="1"/>
        <v>T.Năm</v>
      </c>
      <c r="S6" s="263" t="str">
        <f t="shared" si="1"/>
        <v>T.Sáu</v>
      </c>
      <c r="T6" s="263" t="str">
        <f t="shared" si="1"/>
        <v>T.Bảy</v>
      </c>
      <c r="U6" s="263" t="str">
        <f t="shared" si="1"/>
        <v>C.Nhật</v>
      </c>
      <c r="V6" s="263" t="str">
        <f t="shared" si="1"/>
        <v>T.Hai</v>
      </c>
      <c r="W6" s="263" t="str">
        <f t="shared" si="1"/>
        <v>T.Ba</v>
      </c>
      <c r="X6" s="263" t="str">
        <f t="shared" si="1"/>
        <v>T.Tư</v>
      </c>
      <c r="Y6" s="263" t="str">
        <f t="shared" si="1"/>
        <v>T.Năm</v>
      </c>
      <c r="Z6" s="263" t="str">
        <f t="shared" si="1"/>
        <v>T.Sáu</v>
      </c>
      <c r="AA6" s="263" t="str">
        <f t="shared" si="1"/>
        <v>T.Bảy</v>
      </c>
      <c r="AB6" s="263" t="str">
        <f t="shared" si="1"/>
        <v>C.Nhật</v>
      </c>
      <c r="AC6" s="263" t="str">
        <f t="shared" si="1"/>
        <v>T.Hai</v>
      </c>
      <c r="AD6" s="263" t="str">
        <f t="shared" si="1"/>
        <v>T.Ba</v>
      </c>
      <c r="AE6" s="263" t="str">
        <f t="shared" si="1"/>
        <v>T.Tư</v>
      </c>
      <c r="AF6" s="263" t="str">
        <f t="shared" si="1"/>
        <v>T.Năm</v>
      </c>
      <c r="AG6" s="263" t="str">
        <f t="shared" si="1"/>
        <v>T.Sáu</v>
      </c>
      <c r="AH6" s="263" t="str">
        <f t="shared" si="1"/>
        <v>T.Bảy</v>
      </c>
      <c r="AI6" s="263" t="str">
        <f t="shared" si="1"/>
        <v>C.Nhật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60"/>
      <c r="AO6" s="460"/>
      <c r="AP6" s="460"/>
      <c r="AQ6" s="460"/>
      <c r="AR6" s="460"/>
      <c r="AS6" s="454"/>
      <c r="AT6" s="4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5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33">
        <v>1</v>
      </c>
      <c r="B9" s="533" t="s">
        <v>61</v>
      </c>
      <c r="C9" s="472" t="str">
        <f>VLOOKUP(B9,DS,2,0)</f>
        <v>Mai Út Hiền</v>
      </c>
      <c r="D9" s="474" t="str">
        <f>VLOOKUP(B9,DS,3,0)</f>
        <v>Cơ Điện</v>
      </c>
      <c r="E9" s="58" t="s">
        <v>32</v>
      </c>
      <c r="F9" s="153">
        <v>8</v>
      </c>
      <c r="G9" s="153"/>
      <c r="H9" s="153">
        <v>8</v>
      </c>
      <c r="I9" s="153">
        <v>8</v>
      </c>
      <c r="J9" s="153">
        <v>8</v>
      </c>
      <c r="K9" s="153"/>
      <c r="L9" s="153">
        <v>8</v>
      </c>
      <c r="M9" s="153">
        <v>8</v>
      </c>
      <c r="N9" s="153"/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>
        <v>8</v>
      </c>
      <c r="U9" s="153"/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>
        <v>8</v>
      </c>
      <c r="AB9" s="153"/>
      <c r="AC9" s="153">
        <v>8</v>
      </c>
      <c r="AD9" s="153">
        <v>8</v>
      </c>
      <c r="AE9" s="153">
        <v>8</v>
      </c>
      <c r="AF9" s="153">
        <v>8</v>
      </c>
      <c r="AG9" s="153">
        <v>8</v>
      </c>
      <c r="AH9" s="153"/>
      <c r="AI9" s="153"/>
      <c r="AJ9" s="153"/>
      <c r="AK9" s="444">
        <f>((SUM(F9:AJ9))/8)-(SUMIF($F$6:$AJ$6,"C.Nhật",F9:AJ9)/8)</f>
        <v>23</v>
      </c>
      <c r="AL9" s="444">
        <f>SUM(F10:AI10)/8*1.5</f>
        <v>0</v>
      </c>
      <c r="AM9" s="446">
        <f>SUMIF($F$6:$AI$6,"C.Nhật",$F9:$AI10)/8*2</f>
        <v>0</v>
      </c>
      <c r="AN9" s="435">
        <f>SUM(AK9:AM10)</f>
        <v>23</v>
      </c>
      <c r="AO9" s="448">
        <v>0</v>
      </c>
      <c r="AP9" s="435"/>
      <c r="AQ9" s="435"/>
      <c r="AR9" s="435"/>
      <c r="AS9" s="437"/>
      <c r="AT9" s="35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534"/>
      <c r="B10" s="534"/>
      <c r="C10" s="473"/>
      <c r="D10" s="475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45"/>
      <c r="AL10" s="445"/>
      <c r="AM10" s="447"/>
      <c r="AN10" s="436"/>
      <c r="AO10" s="449"/>
      <c r="AP10" s="436"/>
      <c r="AQ10" s="436"/>
      <c r="AR10" s="436"/>
      <c r="AS10" s="438"/>
      <c r="AT10" s="35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533">
        <f>A9+1</f>
        <v>2</v>
      </c>
      <c r="B11" s="533" t="s">
        <v>62</v>
      </c>
      <c r="C11" s="472" t="str">
        <f>VLOOKUP(B11,DS,2,0)</f>
        <v>Nguyễn Thị Xuân Thảo</v>
      </c>
      <c r="D11" s="474" t="str">
        <f>VLOOKUP(B11,DS,3,0)</f>
        <v>KCS</v>
      </c>
      <c r="E11" s="58" t="s">
        <v>32</v>
      </c>
      <c r="F11" s="153">
        <v>8</v>
      </c>
      <c r="G11" s="153"/>
      <c r="H11" s="153">
        <v>8</v>
      </c>
      <c r="I11" s="153">
        <v>8</v>
      </c>
      <c r="J11" s="153">
        <v>8</v>
      </c>
      <c r="K11" s="153"/>
      <c r="L11" s="153">
        <v>8</v>
      </c>
      <c r="M11" s="153">
        <v>8</v>
      </c>
      <c r="N11" s="153"/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>
        <v>8</v>
      </c>
      <c r="U11" s="153"/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>
        <v>8</v>
      </c>
      <c r="AB11" s="153"/>
      <c r="AC11" s="153">
        <v>8</v>
      </c>
      <c r="AD11" s="153">
        <v>8</v>
      </c>
      <c r="AE11" s="153">
        <v>8</v>
      </c>
      <c r="AF11" s="153">
        <v>8</v>
      </c>
      <c r="AG11" s="153">
        <v>8</v>
      </c>
      <c r="AH11" s="153"/>
      <c r="AI11" s="153"/>
      <c r="AJ11" s="153"/>
      <c r="AK11" s="444">
        <f>((SUM(F11:AJ11))/8)-(SUMIF($F$6:$AJ$6,"C.Nhật",F11:AJ11)/8)</f>
        <v>23</v>
      </c>
      <c r="AL11" s="444">
        <f>SUM(F12:AI12)/8*1.5</f>
        <v>0</v>
      </c>
      <c r="AM11" s="446">
        <f>SUMIF($F$6:$AI$6,"C.Nhật",$F11:$AI12)/8*2</f>
        <v>0</v>
      </c>
      <c r="AN11" s="435">
        <f>SUM(AK11:AM12)</f>
        <v>23</v>
      </c>
      <c r="AO11" s="448">
        <v>0</v>
      </c>
      <c r="AP11" s="435"/>
      <c r="AQ11" s="435"/>
      <c r="AR11" s="435"/>
      <c r="AS11" s="437"/>
      <c r="AT11" s="35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534"/>
      <c r="B12" s="534"/>
      <c r="C12" s="473"/>
      <c r="D12" s="475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45"/>
      <c r="AL12" s="445"/>
      <c r="AM12" s="447"/>
      <c r="AN12" s="436"/>
      <c r="AO12" s="449"/>
      <c r="AP12" s="436"/>
      <c r="AQ12" s="436"/>
      <c r="AR12" s="436"/>
      <c r="AS12" s="438"/>
      <c r="AT12" s="35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33">
        <v>3</v>
      </c>
      <c r="B14" s="533" t="s">
        <v>85</v>
      </c>
      <c r="C14" s="472" t="str">
        <f>VLOOKUP(B14,DS,2,0)</f>
        <v>Huỳnh Thị Hường</v>
      </c>
      <c r="D14" s="474" t="str">
        <f>VLOOKUP(B14,DS,3,0)</f>
        <v>Công nhân</v>
      </c>
      <c r="E14" s="58" t="s">
        <v>32</v>
      </c>
      <c r="F14" s="153">
        <v>8</v>
      </c>
      <c r="G14" s="153"/>
      <c r="H14" s="153">
        <v>8</v>
      </c>
      <c r="I14" s="153">
        <v>8</v>
      </c>
      <c r="J14" s="153">
        <v>8</v>
      </c>
      <c r="K14" s="153"/>
      <c r="L14" s="153">
        <v>8</v>
      </c>
      <c r="M14" s="153">
        <v>8</v>
      </c>
      <c r="N14" s="153"/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>
        <v>8</v>
      </c>
      <c r="U14" s="153"/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>
        <v>8</v>
      </c>
      <c r="AB14" s="153"/>
      <c r="AC14" s="153">
        <v>8</v>
      </c>
      <c r="AD14" s="153">
        <v>8</v>
      </c>
      <c r="AE14" s="153">
        <v>8</v>
      </c>
      <c r="AF14" s="153">
        <v>8</v>
      </c>
      <c r="AG14" s="153">
        <v>8</v>
      </c>
      <c r="AH14" s="153"/>
      <c r="AI14" s="153"/>
      <c r="AJ14" s="153"/>
      <c r="AK14" s="444">
        <f>((SUM(F14:AJ14))/8)-(SUMIF($F$6:$AJ$6,"C.Nhật",F14:AJ14)/8)</f>
        <v>23</v>
      </c>
      <c r="AL14" s="444">
        <f>SUM(F15:AI15)/8*1.5</f>
        <v>0</v>
      </c>
      <c r="AM14" s="446">
        <f>SUMIF($F$6:$AI$6,"C.Nhật",$F14:$AI15)/8*2</f>
        <v>0</v>
      </c>
      <c r="AN14" s="435">
        <f>SUM(AK14:AM15)</f>
        <v>23</v>
      </c>
      <c r="AO14" s="448">
        <v>0</v>
      </c>
      <c r="AP14" s="435"/>
      <c r="AQ14" s="435"/>
      <c r="AR14" s="435"/>
      <c r="AS14" s="437"/>
      <c r="AT14" s="35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34"/>
      <c r="B15" s="534"/>
      <c r="C15" s="473"/>
      <c r="D15" s="475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45"/>
      <c r="AL15" s="445"/>
      <c r="AM15" s="447"/>
      <c r="AN15" s="436"/>
      <c r="AO15" s="449"/>
      <c r="AP15" s="436"/>
      <c r="AQ15" s="436"/>
      <c r="AR15" s="436"/>
      <c r="AS15" s="438"/>
      <c r="AT15" s="35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533">
        <f>A14+1</f>
        <v>4</v>
      </c>
      <c r="B16" s="533" t="s">
        <v>86</v>
      </c>
      <c r="C16" s="472" t="str">
        <f>VLOOKUP(B16,DS,2,0)</f>
        <v>Nguyễn Thị Rong</v>
      </c>
      <c r="D16" s="474" t="str">
        <f>VLOOKUP(B16,DS,3,0)</f>
        <v>Công nhân</v>
      </c>
      <c r="E16" s="58" t="s">
        <v>32</v>
      </c>
      <c r="F16" s="153">
        <v>8</v>
      </c>
      <c r="G16" s="153"/>
      <c r="H16" s="153">
        <v>8</v>
      </c>
      <c r="I16" s="153">
        <v>8</v>
      </c>
      <c r="J16" s="153">
        <v>8</v>
      </c>
      <c r="K16" s="153"/>
      <c r="L16" s="153">
        <v>8</v>
      </c>
      <c r="M16" s="153">
        <v>8</v>
      </c>
      <c r="N16" s="153"/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>
        <v>8</v>
      </c>
      <c r="U16" s="153"/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>
        <v>8</v>
      </c>
      <c r="AB16" s="153"/>
      <c r="AC16" s="153">
        <v>8</v>
      </c>
      <c r="AD16" s="153">
        <v>8</v>
      </c>
      <c r="AE16" s="153">
        <v>8</v>
      </c>
      <c r="AF16" s="153">
        <v>8</v>
      </c>
      <c r="AG16" s="153">
        <v>8</v>
      </c>
      <c r="AH16" s="153"/>
      <c r="AI16" s="153"/>
      <c r="AJ16" s="153"/>
      <c r="AK16" s="444">
        <f>((SUM(F16:AJ16))/8)-(SUMIF($F$6:$AJ$6,"C.Nhật",F16:AJ16)/8)</f>
        <v>23</v>
      </c>
      <c r="AL16" s="444">
        <f>SUM(F17:AI17)/8*1.5</f>
        <v>0</v>
      </c>
      <c r="AM16" s="446">
        <f>SUMIF($F$6:$AI$6,"C.Nhật",$F16:$AI17)/8*2</f>
        <v>0</v>
      </c>
      <c r="AN16" s="435">
        <f>SUM(AK16:AM17)</f>
        <v>23</v>
      </c>
      <c r="AO16" s="448">
        <v>0</v>
      </c>
      <c r="AP16" s="435"/>
      <c r="AQ16" s="435"/>
      <c r="AR16" s="435"/>
      <c r="AS16" s="437"/>
      <c r="AT16" s="35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34"/>
      <c r="B17" s="534"/>
      <c r="C17" s="473"/>
      <c r="D17" s="475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45"/>
      <c r="AL17" s="445"/>
      <c r="AM17" s="447"/>
      <c r="AN17" s="436"/>
      <c r="AO17" s="449"/>
      <c r="AP17" s="436"/>
      <c r="AQ17" s="436"/>
      <c r="AR17" s="436"/>
      <c r="AS17" s="438"/>
      <c r="AT17" s="35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33">
        <f t="shared" ref="A18" si="2">A16+1</f>
        <v>5</v>
      </c>
      <c r="B18" s="533" t="s">
        <v>87</v>
      </c>
      <c r="C18" s="472" t="str">
        <f>VLOOKUP(B18,DS,2,0)</f>
        <v>Sơn Thị Nil</v>
      </c>
      <c r="D18" s="474" t="str">
        <f>VLOOKUP(B18,DS,3,0)</f>
        <v>Công nhân</v>
      </c>
      <c r="E18" s="58" t="s">
        <v>32</v>
      </c>
      <c r="F18" s="153">
        <v>8</v>
      </c>
      <c r="G18" s="153"/>
      <c r="H18" s="153">
        <v>8</v>
      </c>
      <c r="I18" s="153">
        <v>8</v>
      </c>
      <c r="J18" s="153">
        <v>8</v>
      </c>
      <c r="K18" s="153"/>
      <c r="L18" s="153">
        <v>8</v>
      </c>
      <c r="M18" s="153">
        <v>8</v>
      </c>
      <c r="N18" s="153"/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>
        <v>8</v>
      </c>
      <c r="U18" s="153"/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>
        <v>8</v>
      </c>
      <c r="AB18" s="153"/>
      <c r="AC18" s="153">
        <v>8</v>
      </c>
      <c r="AD18" s="153">
        <v>8</v>
      </c>
      <c r="AE18" s="153">
        <v>8</v>
      </c>
      <c r="AF18" s="153">
        <v>8</v>
      </c>
      <c r="AG18" s="153">
        <v>8</v>
      </c>
      <c r="AH18" s="153"/>
      <c r="AI18" s="153"/>
      <c r="AJ18" s="153"/>
      <c r="AK18" s="444">
        <f>((SUM(F18:AJ18))/8)-(SUMIF($F$6:$AJ$6,"C.Nhật",F18:AJ18)/8)</f>
        <v>23</v>
      </c>
      <c r="AL18" s="444">
        <f>SUM(F19:AI19)/8*1.5</f>
        <v>0</v>
      </c>
      <c r="AM18" s="446">
        <f>SUMIF($F$6:$AI$6,"C.Nhật",$F18:$AI19)/8*2</f>
        <v>0</v>
      </c>
      <c r="AN18" s="435">
        <f>SUM(AK18:AM19)</f>
        <v>23</v>
      </c>
      <c r="AO18" s="448">
        <v>0</v>
      </c>
      <c r="AP18" s="435"/>
      <c r="AQ18" s="435"/>
      <c r="AR18" s="435"/>
      <c r="AS18" s="437"/>
      <c r="AT18" s="35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34"/>
      <c r="B19" s="534"/>
      <c r="C19" s="473"/>
      <c r="D19" s="475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45"/>
      <c r="AL19" s="445"/>
      <c r="AM19" s="447"/>
      <c r="AN19" s="436"/>
      <c r="AO19" s="449"/>
      <c r="AP19" s="436"/>
      <c r="AQ19" s="436"/>
      <c r="AR19" s="436"/>
      <c r="AS19" s="438"/>
      <c r="AT19" s="35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33">
        <f t="shared" ref="A20" si="3">A18+1</f>
        <v>6</v>
      </c>
      <c r="B20" s="533" t="s">
        <v>91</v>
      </c>
      <c r="C20" s="472" t="str">
        <f>VLOOKUP(B20,DS,2,0)</f>
        <v>Nguyễn Thị Lựu</v>
      </c>
      <c r="D20" s="474" t="str">
        <f>VLOOKUP(B20,DS,3,0)</f>
        <v>Công nhân</v>
      </c>
      <c r="E20" s="58" t="s">
        <v>32</v>
      </c>
      <c r="F20" s="153">
        <v>8</v>
      </c>
      <c r="G20" s="153"/>
      <c r="H20" s="153">
        <v>8</v>
      </c>
      <c r="I20" s="153">
        <v>8</v>
      </c>
      <c r="J20" s="153">
        <v>8</v>
      </c>
      <c r="K20" s="153"/>
      <c r="L20" s="153">
        <v>8</v>
      </c>
      <c r="M20" s="153">
        <v>8</v>
      </c>
      <c r="N20" s="153"/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>
        <v>8</v>
      </c>
      <c r="U20" s="153"/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>
        <v>8</v>
      </c>
      <c r="AB20" s="153"/>
      <c r="AC20" s="153">
        <v>8</v>
      </c>
      <c r="AD20" s="153">
        <v>8</v>
      </c>
      <c r="AE20" s="153">
        <v>8</v>
      </c>
      <c r="AF20" s="153">
        <v>8</v>
      </c>
      <c r="AG20" s="153">
        <v>8</v>
      </c>
      <c r="AH20" s="153"/>
      <c r="AI20" s="153"/>
      <c r="AJ20" s="153"/>
      <c r="AK20" s="444">
        <f>((SUM(F20:AJ20))/8)-(SUMIF($F$6:$AJ$6,"C.Nhật",F20:AJ20)/8)</f>
        <v>23</v>
      </c>
      <c r="AL20" s="444">
        <f>SUM(F21:AI21)/8*1.5</f>
        <v>0</v>
      </c>
      <c r="AM20" s="446">
        <f>SUMIF($F$6:$AI$6,"C.Nhật",$F20:$AI21)/8*2</f>
        <v>0</v>
      </c>
      <c r="AN20" s="435">
        <f>SUM(AK20:AM21)</f>
        <v>23</v>
      </c>
      <c r="AO20" s="448">
        <v>0</v>
      </c>
      <c r="AP20" s="435"/>
      <c r="AQ20" s="435"/>
      <c r="AR20" s="435"/>
      <c r="AS20" s="437"/>
      <c r="AT20" s="35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534"/>
      <c r="B21" s="534"/>
      <c r="C21" s="473"/>
      <c r="D21" s="475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45"/>
      <c r="AL21" s="445"/>
      <c r="AM21" s="447"/>
      <c r="AN21" s="436"/>
      <c r="AO21" s="449"/>
      <c r="AP21" s="436"/>
      <c r="AQ21" s="436"/>
      <c r="AR21" s="436"/>
      <c r="AS21" s="438"/>
      <c r="AT21" s="35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33">
        <f t="shared" ref="A22" si="4">A20+1</f>
        <v>7</v>
      </c>
      <c r="B22" s="533" t="s">
        <v>94</v>
      </c>
      <c r="C22" s="472" t="str">
        <f>VLOOKUP(B22,DS,2,0)</f>
        <v>Trà Thị Soi</v>
      </c>
      <c r="D22" s="474" t="str">
        <f>VLOOKUP(B22,DS,3,0)</f>
        <v>Công nhân</v>
      </c>
      <c r="E22" s="58" t="s">
        <v>32</v>
      </c>
      <c r="F22" s="153">
        <v>8</v>
      </c>
      <c r="G22" s="153"/>
      <c r="H22" s="153">
        <v>8</v>
      </c>
      <c r="I22" s="153">
        <v>8</v>
      </c>
      <c r="J22" s="153">
        <v>8</v>
      </c>
      <c r="K22" s="153"/>
      <c r="L22" s="153">
        <v>8</v>
      </c>
      <c r="M22" s="153">
        <v>8</v>
      </c>
      <c r="N22" s="153"/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>
        <v>8</v>
      </c>
      <c r="U22" s="153"/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>
        <v>8</v>
      </c>
      <c r="AB22" s="153"/>
      <c r="AC22" s="153">
        <v>8</v>
      </c>
      <c r="AD22" s="153">
        <v>8</v>
      </c>
      <c r="AE22" s="153">
        <v>8</v>
      </c>
      <c r="AF22" s="153">
        <v>8</v>
      </c>
      <c r="AG22" s="153">
        <v>8</v>
      </c>
      <c r="AH22" s="153"/>
      <c r="AI22" s="153"/>
      <c r="AJ22" s="153"/>
      <c r="AK22" s="444">
        <f>((SUM(F22:AJ22))/8)-(SUMIF($F$6:$AJ$6,"C.Nhật",F22:AJ22)/8)</f>
        <v>23</v>
      </c>
      <c r="AL22" s="444">
        <f>SUM(F23:AI23)/8*1.5</f>
        <v>0</v>
      </c>
      <c r="AM22" s="446">
        <f>SUMIF($F$6:$AI$6,"C.Nhật",$F22:$AI23)/8*2</f>
        <v>0</v>
      </c>
      <c r="AN22" s="435">
        <f>SUM(AK22:AM23)</f>
        <v>23</v>
      </c>
      <c r="AO22" s="448">
        <v>0</v>
      </c>
      <c r="AP22" s="435"/>
      <c r="AQ22" s="435"/>
      <c r="AR22" s="435"/>
      <c r="AS22" s="437"/>
      <c r="AT22" s="35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534"/>
      <c r="B23" s="534"/>
      <c r="C23" s="473"/>
      <c r="D23" s="475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45"/>
      <c r="AL23" s="445"/>
      <c r="AM23" s="447"/>
      <c r="AN23" s="436"/>
      <c r="AO23" s="449"/>
      <c r="AP23" s="436"/>
      <c r="AQ23" s="436"/>
      <c r="AR23" s="436"/>
      <c r="AS23" s="438"/>
      <c r="AT23" s="35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33">
        <f t="shared" ref="A24" si="5">A22+1</f>
        <v>8</v>
      </c>
      <c r="B24" s="533" t="s">
        <v>101</v>
      </c>
      <c r="C24" s="472" t="str">
        <f>VLOOKUP(B24,DS,2,0)</f>
        <v>Trần Thị Bích Phượng</v>
      </c>
      <c r="D24" s="474" t="str">
        <f>VLOOKUP(B24,DS,3,0)</f>
        <v>Công nhân</v>
      </c>
      <c r="E24" s="58" t="s">
        <v>32</v>
      </c>
      <c r="F24" s="153">
        <v>8</v>
      </c>
      <c r="G24" s="153"/>
      <c r="H24" s="153">
        <v>8</v>
      </c>
      <c r="I24" s="153">
        <v>8</v>
      </c>
      <c r="J24" s="153">
        <v>8</v>
      </c>
      <c r="K24" s="153"/>
      <c r="L24" s="153">
        <v>8</v>
      </c>
      <c r="M24" s="153">
        <v>8</v>
      </c>
      <c r="N24" s="153"/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>
        <v>8</v>
      </c>
      <c r="U24" s="153"/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>
        <v>8</v>
      </c>
      <c r="AB24" s="153"/>
      <c r="AC24" s="153">
        <v>8</v>
      </c>
      <c r="AD24" s="153">
        <v>8</v>
      </c>
      <c r="AE24" s="153">
        <v>8</v>
      </c>
      <c r="AF24" s="153">
        <v>8</v>
      </c>
      <c r="AG24" s="153">
        <v>8</v>
      </c>
      <c r="AH24" s="153"/>
      <c r="AI24" s="153"/>
      <c r="AJ24" s="153"/>
      <c r="AK24" s="444">
        <f>((SUM(F24:AJ24))/8)-(SUMIF($F$6:$AJ$6,"C.Nhật",F24:AJ24)/8)</f>
        <v>23</v>
      </c>
      <c r="AL24" s="444">
        <f>SUM(F25:AI25)/8*1.5</f>
        <v>0</v>
      </c>
      <c r="AM24" s="446">
        <f>SUMIF($F$6:$AI$6,"C.Nhật",$F24:$AI25)/8*2</f>
        <v>0</v>
      </c>
      <c r="AN24" s="435">
        <f>SUM(AK24:AM25)</f>
        <v>23</v>
      </c>
      <c r="AO24" s="448">
        <v>0</v>
      </c>
      <c r="AP24" s="435"/>
      <c r="AQ24" s="435"/>
      <c r="AR24" s="435"/>
      <c r="AS24" s="437"/>
      <c r="AT24" s="35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534"/>
      <c r="B25" s="534"/>
      <c r="C25" s="473"/>
      <c r="D25" s="475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45"/>
      <c r="AL25" s="445"/>
      <c r="AM25" s="447"/>
      <c r="AN25" s="436"/>
      <c r="AO25" s="449"/>
      <c r="AP25" s="436"/>
      <c r="AQ25" s="436"/>
      <c r="AR25" s="436"/>
      <c r="AS25" s="438"/>
      <c r="AT25" s="35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533">
        <f t="shared" ref="A26" si="6">A24+1</f>
        <v>9</v>
      </c>
      <c r="B26" s="533" t="s">
        <v>102</v>
      </c>
      <c r="C26" s="472" t="str">
        <f>VLOOKUP(B26,DS,2,0)</f>
        <v>Sơn Thị Trường Sa</v>
      </c>
      <c r="D26" s="474" t="str">
        <f>VLOOKUP(B26,DS,3,0)</f>
        <v>Công nhân</v>
      </c>
      <c r="E26" s="58" t="s">
        <v>32</v>
      </c>
      <c r="F26" s="153">
        <v>8</v>
      </c>
      <c r="G26" s="153"/>
      <c r="H26" s="153">
        <v>8</v>
      </c>
      <c r="I26" s="153">
        <v>8</v>
      </c>
      <c r="J26" s="153">
        <v>8</v>
      </c>
      <c r="K26" s="153"/>
      <c r="L26" s="153">
        <v>8</v>
      </c>
      <c r="M26" s="153">
        <v>8</v>
      </c>
      <c r="N26" s="153"/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>
        <v>8</v>
      </c>
      <c r="U26" s="153"/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>
        <v>8</v>
      </c>
      <c r="AB26" s="153"/>
      <c r="AC26" s="153">
        <v>8</v>
      </c>
      <c r="AD26" s="153">
        <v>8</v>
      </c>
      <c r="AE26" s="153">
        <v>8</v>
      </c>
      <c r="AF26" s="153">
        <v>8</v>
      </c>
      <c r="AG26" s="153">
        <v>8</v>
      </c>
      <c r="AH26" s="153"/>
      <c r="AI26" s="153"/>
      <c r="AJ26" s="153"/>
      <c r="AK26" s="444">
        <f>((SUM(F26:AJ26))/8)-(SUMIF($F$6:$AJ$6,"C.Nhật",F26:AJ26)/8)</f>
        <v>23</v>
      </c>
      <c r="AL26" s="444">
        <f>SUM(F27:AI27)/8*1.5</f>
        <v>0</v>
      </c>
      <c r="AM26" s="446">
        <f>SUMIF($F$6:$AI$6,"C.Nhật",$F26:$AI27)/8*2</f>
        <v>0</v>
      </c>
      <c r="AN26" s="435">
        <f>SUM(AK26:AM27)</f>
        <v>23</v>
      </c>
      <c r="AO26" s="448">
        <v>0</v>
      </c>
      <c r="AP26" s="435"/>
      <c r="AQ26" s="435"/>
      <c r="AR26" s="435"/>
      <c r="AS26" s="437"/>
      <c r="AT26" s="35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534"/>
      <c r="B27" s="534"/>
      <c r="C27" s="473"/>
      <c r="D27" s="475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45"/>
      <c r="AL27" s="445"/>
      <c r="AM27" s="447"/>
      <c r="AN27" s="436"/>
      <c r="AO27" s="449"/>
      <c r="AP27" s="436"/>
      <c r="AQ27" s="436"/>
      <c r="AR27" s="436"/>
      <c r="AS27" s="438"/>
      <c r="AT27" s="35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533">
        <f t="shared" ref="A28" si="7">A26+1</f>
        <v>10</v>
      </c>
      <c r="B28" s="533" t="s">
        <v>103</v>
      </c>
      <c r="C28" s="472" t="str">
        <f>VLOOKUP(B28,DS,2,0)</f>
        <v>Lý Thị Sà Kha</v>
      </c>
      <c r="D28" s="474" t="str">
        <f>VLOOKUP(B28,DS,3,0)</f>
        <v>Công nhân</v>
      </c>
      <c r="E28" s="58" t="s">
        <v>32</v>
      </c>
      <c r="F28" s="153">
        <v>8</v>
      </c>
      <c r="G28" s="153"/>
      <c r="H28" s="153">
        <v>8</v>
      </c>
      <c r="I28" s="153">
        <v>8</v>
      </c>
      <c r="J28" s="153">
        <v>8</v>
      </c>
      <c r="K28" s="153"/>
      <c r="L28" s="153">
        <v>8</v>
      </c>
      <c r="M28" s="153">
        <v>8</v>
      </c>
      <c r="N28" s="153"/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>
        <v>8</v>
      </c>
      <c r="U28" s="153"/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>
        <v>8</v>
      </c>
      <c r="AB28" s="153"/>
      <c r="AC28" s="153">
        <v>8</v>
      </c>
      <c r="AD28" s="153">
        <v>8</v>
      </c>
      <c r="AE28" s="153">
        <v>8</v>
      </c>
      <c r="AF28" s="153">
        <v>8</v>
      </c>
      <c r="AG28" s="153">
        <v>8</v>
      </c>
      <c r="AH28" s="153"/>
      <c r="AI28" s="153"/>
      <c r="AJ28" s="153"/>
      <c r="AK28" s="444">
        <f>((SUM(F28:AJ28))/8)-(SUMIF($F$6:$AJ$6,"C.Nhật",F28:AJ28)/8)</f>
        <v>23</v>
      </c>
      <c r="AL28" s="444">
        <f>SUM(F29:AI29)/8*1.5</f>
        <v>0</v>
      </c>
      <c r="AM28" s="446">
        <f>SUMIF($F$6:$AI$6,"C.Nhật",$F28:$AI29)/8*2</f>
        <v>0</v>
      </c>
      <c r="AN28" s="435">
        <f>SUM(AK28:AM29)</f>
        <v>23</v>
      </c>
      <c r="AO28" s="448">
        <v>0</v>
      </c>
      <c r="AP28" s="435"/>
      <c r="AQ28" s="435"/>
      <c r="AR28" s="435"/>
      <c r="AS28" s="437"/>
      <c r="AT28" s="35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534"/>
      <c r="B29" s="534"/>
      <c r="C29" s="473"/>
      <c r="D29" s="475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45"/>
      <c r="AL29" s="445"/>
      <c r="AM29" s="447"/>
      <c r="AN29" s="436"/>
      <c r="AO29" s="449"/>
      <c r="AP29" s="436"/>
      <c r="AQ29" s="436"/>
      <c r="AR29" s="436"/>
      <c r="AS29" s="438"/>
      <c r="AT29" s="35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533">
        <f t="shared" ref="A30" si="8">A28+1</f>
        <v>11</v>
      </c>
      <c r="B30" s="533" t="s">
        <v>104</v>
      </c>
      <c r="C30" s="472" t="str">
        <f>VLOOKUP(B30,DS,2,0)</f>
        <v xml:space="preserve"> Lâm Thị Mộng Thường</v>
      </c>
      <c r="D30" s="474" t="str">
        <f>VLOOKUP(B30,DS,3,0)</f>
        <v>Công nhân</v>
      </c>
      <c r="E30" s="58" t="s">
        <v>32</v>
      </c>
      <c r="F30" s="153">
        <v>8</v>
      </c>
      <c r="G30" s="153"/>
      <c r="H30" s="153">
        <v>8</v>
      </c>
      <c r="I30" s="153">
        <v>8</v>
      </c>
      <c r="J30" s="153">
        <v>8</v>
      </c>
      <c r="K30" s="153"/>
      <c r="L30" s="153">
        <v>8</v>
      </c>
      <c r="M30" s="153">
        <v>8</v>
      </c>
      <c r="N30" s="153"/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>
        <v>8</v>
      </c>
      <c r="U30" s="153"/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>
        <v>8</v>
      </c>
      <c r="AB30" s="153"/>
      <c r="AC30" s="153">
        <v>8</v>
      </c>
      <c r="AD30" s="153">
        <v>8</v>
      </c>
      <c r="AE30" s="153">
        <v>8</v>
      </c>
      <c r="AF30" s="153">
        <v>8</v>
      </c>
      <c r="AG30" s="153">
        <v>8</v>
      </c>
      <c r="AH30" s="153"/>
      <c r="AI30" s="153"/>
      <c r="AJ30" s="153"/>
      <c r="AK30" s="444">
        <f>((SUM(F30:AJ30))/8)-(SUMIF($F$6:$AJ$6,"C.Nhật",F30:AJ30)/8)</f>
        <v>23</v>
      </c>
      <c r="AL30" s="444">
        <f>SUM(F31:AI31)/8*1.5</f>
        <v>0</v>
      </c>
      <c r="AM30" s="446">
        <f>SUMIF($F$6:$AI$6,"C.Nhật",$F30:$AI31)/8*2</f>
        <v>0</v>
      </c>
      <c r="AN30" s="435">
        <f>SUM(AK30:AM31)</f>
        <v>23</v>
      </c>
      <c r="AO30" s="448">
        <v>0</v>
      </c>
      <c r="AP30" s="435"/>
      <c r="AQ30" s="435"/>
      <c r="AR30" s="435"/>
      <c r="AS30" s="437"/>
      <c r="AT30" s="35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534"/>
      <c r="B31" s="534"/>
      <c r="C31" s="473"/>
      <c r="D31" s="475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45"/>
      <c r="AL31" s="445"/>
      <c r="AM31" s="447"/>
      <c r="AN31" s="436"/>
      <c r="AO31" s="449"/>
      <c r="AP31" s="436"/>
      <c r="AQ31" s="436"/>
      <c r="AR31" s="436"/>
      <c r="AS31" s="438"/>
      <c r="AT31" s="35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533">
        <f t="shared" ref="A32" si="9">A30+1</f>
        <v>12</v>
      </c>
      <c r="B32" s="535" t="s">
        <v>88</v>
      </c>
      <c r="C32" s="472" t="str">
        <f>VLOOKUP(B32,DS,2,0)</f>
        <v>Huỳnh Thị Bé Tha</v>
      </c>
      <c r="D32" s="474" t="str">
        <f>VLOOKUP(B32,DS,3,0)</f>
        <v>Công nhân</v>
      </c>
      <c r="E32" s="58" t="s">
        <v>32</v>
      </c>
      <c r="F32" s="153">
        <v>8</v>
      </c>
      <c r="G32" s="153"/>
      <c r="H32" s="153">
        <v>8</v>
      </c>
      <c r="I32" s="153">
        <v>8</v>
      </c>
      <c r="J32" s="153">
        <v>8</v>
      </c>
      <c r="K32" s="153"/>
      <c r="L32" s="153">
        <v>8</v>
      </c>
      <c r="M32" s="153">
        <v>8</v>
      </c>
      <c r="N32" s="153"/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>
        <v>8</v>
      </c>
      <c r="U32" s="153"/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>
        <v>8</v>
      </c>
      <c r="AB32" s="153"/>
      <c r="AC32" s="153">
        <v>8</v>
      </c>
      <c r="AD32" s="153">
        <v>8</v>
      </c>
      <c r="AE32" s="153">
        <v>8</v>
      </c>
      <c r="AF32" s="153">
        <v>8</v>
      </c>
      <c r="AG32" s="153">
        <v>8</v>
      </c>
      <c r="AH32" s="153"/>
      <c r="AI32" s="153"/>
      <c r="AJ32" s="153"/>
      <c r="AK32" s="444">
        <f>((SUM(F32:AJ32))/8)-(SUMIF($F$6:$AJ$6,"C.Nhật",F32:AJ32)/8)</f>
        <v>23</v>
      </c>
      <c r="AL32" s="444">
        <f>SUM(F33:AI33)/8*1.5</f>
        <v>0</v>
      </c>
      <c r="AM32" s="446">
        <f>SUMIF($F$6:$AI$6,"C.Nhật",$F32:$AI33)/8*2</f>
        <v>0</v>
      </c>
      <c r="AN32" s="435">
        <f>SUM(AK32:AM33)</f>
        <v>23</v>
      </c>
      <c r="AO32" s="448">
        <v>0</v>
      </c>
      <c r="AP32" s="435"/>
      <c r="AQ32" s="435"/>
      <c r="AR32" s="435"/>
      <c r="AS32" s="437"/>
      <c r="AT32" s="35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534"/>
      <c r="B33" s="536"/>
      <c r="C33" s="473"/>
      <c r="D33" s="475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45"/>
      <c r="AL33" s="445"/>
      <c r="AM33" s="447"/>
      <c r="AN33" s="436"/>
      <c r="AO33" s="449"/>
      <c r="AP33" s="436"/>
      <c r="AQ33" s="436"/>
      <c r="AR33" s="436"/>
      <c r="AS33" s="438"/>
      <c r="AT33" s="35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533">
        <v>13</v>
      </c>
      <c r="B34" s="535" t="s">
        <v>210</v>
      </c>
      <c r="C34" s="472" t="str">
        <f>VLOOKUP(B34,DS,2,0)</f>
        <v>Nguyễn Thị Diễm</v>
      </c>
      <c r="D34" s="474" t="str">
        <f>VLOOKUP(B34,DS,3,0)</f>
        <v>Công nhân</v>
      </c>
      <c r="E34" s="58" t="s">
        <v>32</v>
      </c>
      <c r="F34" s="153">
        <v>8</v>
      </c>
      <c r="G34" s="153"/>
      <c r="H34" s="153">
        <v>8</v>
      </c>
      <c r="I34" s="153">
        <v>8</v>
      </c>
      <c r="J34" s="153">
        <v>8</v>
      </c>
      <c r="K34" s="153"/>
      <c r="L34" s="153">
        <v>8</v>
      </c>
      <c r="M34" s="153">
        <v>8</v>
      </c>
      <c r="N34" s="153"/>
      <c r="O34" s="153">
        <v>8</v>
      </c>
      <c r="P34" s="153">
        <v>8</v>
      </c>
      <c r="Q34" s="153">
        <v>8</v>
      </c>
      <c r="R34" s="153">
        <v>8</v>
      </c>
      <c r="S34" s="153">
        <v>8</v>
      </c>
      <c r="T34" s="153">
        <v>8</v>
      </c>
      <c r="U34" s="153"/>
      <c r="V34" s="153">
        <v>8</v>
      </c>
      <c r="W34" s="153">
        <v>8</v>
      </c>
      <c r="X34" s="153">
        <v>8</v>
      </c>
      <c r="Y34" s="153">
        <v>8</v>
      </c>
      <c r="Z34" s="153">
        <v>8</v>
      </c>
      <c r="AA34" s="153">
        <v>8</v>
      </c>
      <c r="AB34" s="153"/>
      <c r="AC34" s="153">
        <v>8</v>
      </c>
      <c r="AD34" s="153">
        <v>8</v>
      </c>
      <c r="AE34" s="153">
        <v>8</v>
      </c>
      <c r="AF34" s="153">
        <v>8</v>
      </c>
      <c r="AG34" s="153">
        <v>8</v>
      </c>
      <c r="AH34" s="153"/>
      <c r="AI34" s="153"/>
      <c r="AJ34" s="153"/>
      <c r="AK34" s="444">
        <f>((SUM(F34:AJ34))/8)-(SUMIF($F$6:$AJ$6,"C.Nhật",F34:AJ34)/8)</f>
        <v>23</v>
      </c>
      <c r="AL34" s="444">
        <f>SUM(F35:AI35)/8*1.5</f>
        <v>0</v>
      </c>
      <c r="AM34" s="446">
        <f>SUMIF($F$6:$AI$6,"C.Nhật",$F34:$AI35)/8*2</f>
        <v>0</v>
      </c>
      <c r="AN34" s="435">
        <f>SUM(AK34:AM35)</f>
        <v>23</v>
      </c>
      <c r="AO34" s="376"/>
      <c r="AP34" s="375"/>
      <c r="AQ34" s="375"/>
      <c r="AR34" s="435"/>
      <c r="AS34" s="377"/>
      <c r="AT34" s="35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534"/>
      <c r="B35" s="536"/>
      <c r="C35" s="473"/>
      <c r="D35" s="475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445"/>
      <c r="AL35" s="445"/>
      <c r="AM35" s="447"/>
      <c r="AN35" s="436"/>
      <c r="AO35" s="376"/>
      <c r="AP35" s="375"/>
      <c r="AQ35" s="375"/>
      <c r="AR35" s="436"/>
      <c r="AS35" s="377"/>
      <c r="AT35" s="35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533">
        <v>14</v>
      </c>
      <c r="B36" s="565" t="s">
        <v>211</v>
      </c>
      <c r="C36" s="472" t="str">
        <f>VLOOKUP(B36,DS,2,0)</f>
        <v>Võ Văn Hữu Phước</v>
      </c>
      <c r="D36" s="474" t="str">
        <f>VLOOKUP(B36,DS,3,0)</f>
        <v>Công nhân</v>
      </c>
      <c r="E36" s="58" t="s">
        <v>32</v>
      </c>
      <c r="F36" s="153">
        <v>8</v>
      </c>
      <c r="G36" s="153"/>
      <c r="H36" s="153">
        <v>8</v>
      </c>
      <c r="I36" s="153">
        <v>8</v>
      </c>
      <c r="J36" s="153">
        <v>8</v>
      </c>
      <c r="K36" s="153"/>
      <c r="L36" s="153">
        <v>8</v>
      </c>
      <c r="M36" s="153">
        <v>8</v>
      </c>
      <c r="N36" s="153"/>
      <c r="O36" s="153">
        <v>8</v>
      </c>
      <c r="P36" s="153">
        <v>8</v>
      </c>
      <c r="Q36" s="153">
        <v>8</v>
      </c>
      <c r="R36" s="153">
        <v>8</v>
      </c>
      <c r="S36" s="153">
        <v>8</v>
      </c>
      <c r="T36" s="153">
        <v>8</v>
      </c>
      <c r="U36" s="153"/>
      <c r="V36" s="153">
        <v>8</v>
      </c>
      <c r="W36" s="153">
        <v>8</v>
      </c>
      <c r="X36" s="153">
        <v>8</v>
      </c>
      <c r="Y36" s="153">
        <v>8</v>
      </c>
      <c r="Z36" s="153">
        <v>8</v>
      </c>
      <c r="AA36" s="153">
        <v>8</v>
      </c>
      <c r="AB36" s="153"/>
      <c r="AC36" s="153">
        <v>8</v>
      </c>
      <c r="AD36" s="153">
        <v>8</v>
      </c>
      <c r="AE36" s="153">
        <v>8</v>
      </c>
      <c r="AF36" s="153">
        <v>8</v>
      </c>
      <c r="AG36" s="153">
        <v>8</v>
      </c>
      <c r="AH36" s="153"/>
      <c r="AI36" s="153"/>
      <c r="AJ36" s="153"/>
      <c r="AK36" s="444">
        <f>((SUM(F36:AJ36))/8)-(SUMIF($F$6:$AJ$6,"C.Nhật",F36:AJ36)/8)</f>
        <v>23</v>
      </c>
      <c r="AL36" s="444">
        <f>SUM(F37:AI37)/8*1.5</f>
        <v>0</v>
      </c>
      <c r="AM36" s="446">
        <f>SUMIF($F$6:$AI$6,"C.Nhật",$F36:$AI37)/8*2</f>
        <v>0</v>
      </c>
      <c r="AN36" s="435">
        <f>SUM(AK36:AM37)</f>
        <v>23</v>
      </c>
      <c r="AO36" s="376"/>
      <c r="AP36" s="375"/>
      <c r="AQ36" s="375"/>
      <c r="AR36" s="435"/>
      <c r="AS36" s="385"/>
      <c r="AT36" s="35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534"/>
      <c r="B37" s="566"/>
      <c r="C37" s="473"/>
      <c r="D37" s="475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445"/>
      <c r="AL37" s="445"/>
      <c r="AM37" s="447"/>
      <c r="AN37" s="436"/>
      <c r="AO37" s="376"/>
      <c r="AP37" s="375"/>
      <c r="AQ37" s="375"/>
      <c r="AR37" s="436"/>
      <c r="AS37" s="153"/>
      <c r="AT37" s="35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187</v>
      </c>
      <c r="B38" s="270" t="s">
        <v>188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533">
        <f>A36+1</f>
        <v>15</v>
      </c>
      <c r="B39" s="533" t="s">
        <v>113</v>
      </c>
      <c r="C39" s="472" t="str">
        <f>VLOOKUP(B39,DS,2,0)</f>
        <v>Nguyễn Văn Bé Hai</v>
      </c>
      <c r="D39" s="474" t="str">
        <f>VLOOKUP(B39,DS,3,0)</f>
        <v>Công nhân</v>
      </c>
      <c r="E39" s="58" t="s">
        <v>32</v>
      </c>
      <c r="F39" s="153">
        <v>8</v>
      </c>
      <c r="G39" s="153"/>
      <c r="H39" s="153">
        <v>8</v>
      </c>
      <c r="I39" s="153">
        <v>8</v>
      </c>
      <c r="J39" s="153"/>
      <c r="K39" s="153"/>
      <c r="L39" s="153">
        <v>8</v>
      </c>
      <c r="M39" s="153">
        <v>8</v>
      </c>
      <c r="N39" s="153"/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/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/>
      <c r="AC39" s="153">
        <v>8</v>
      </c>
      <c r="AD39" s="153">
        <v>8</v>
      </c>
      <c r="AE39" s="153"/>
      <c r="AF39" s="153">
        <v>8</v>
      </c>
      <c r="AG39" s="153">
        <v>8</v>
      </c>
      <c r="AH39" s="153"/>
      <c r="AI39" s="153"/>
      <c r="AJ39" s="153"/>
      <c r="AK39" s="444">
        <f>((SUM(F39:AJ39))/8)-(SUMIF($F$6:$AJ$6,"C.Nhật",F39:AJ39)/8)</f>
        <v>19</v>
      </c>
      <c r="AL39" s="444">
        <f>SUM(F40:AI40)/8*1.5</f>
        <v>0</v>
      </c>
      <c r="AM39" s="446">
        <f>SUMIF($F$6:$AI$6,"C.Nhật",$F39:$AI40)/8*2</f>
        <v>0</v>
      </c>
      <c r="AN39" s="435">
        <f>SUM(AK39:AM40)</f>
        <v>19</v>
      </c>
      <c r="AO39" s="448">
        <v>0</v>
      </c>
      <c r="AP39" s="435"/>
      <c r="AQ39" s="435"/>
      <c r="AR39" s="435"/>
      <c r="AS39" s="437"/>
      <c r="AT39" s="35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34"/>
      <c r="B40" s="534"/>
      <c r="C40" s="473"/>
      <c r="D40" s="475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45"/>
      <c r="AL40" s="445"/>
      <c r="AM40" s="447"/>
      <c r="AN40" s="436"/>
      <c r="AO40" s="449"/>
      <c r="AP40" s="436"/>
      <c r="AQ40" s="436"/>
      <c r="AR40" s="436"/>
      <c r="AS40" s="438"/>
      <c r="AT40" s="35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537">
        <f>A39+1</f>
        <v>16</v>
      </c>
      <c r="B41" s="537" t="s">
        <v>206</v>
      </c>
      <c r="C41" s="539" t="s">
        <v>205</v>
      </c>
      <c r="D41" s="541" t="str">
        <f>VLOOKUP(B41,DS,3,0)</f>
        <v>Công nhân</v>
      </c>
      <c r="E41" s="326" t="s">
        <v>32</v>
      </c>
      <c r="F41" s="153">
        <v>8</v>
      </c>
      <c r="G41" s="153"/>
      <c r="H41" s="153">
        <v>8</v>
      </c>
      <c r="I41" s="153">
        <v>8</v>
      </c>
      <c r="J41" s="153"/>
      <c r="K41" s="153"/>
      <c r="L41" s="153">
        <v>8</v>
      </c>
      <c r="M41" s="153">
        <v>8</v>
      </c>
      <c r="N41" s="153"/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/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/>
      <c r="AC41" s="153">
        <v>8</v>
      </c>
      <c r="AD41" s="153">
        <v>8</v>
      </c>
      <c r="AE41" s="153"/>
      <c r="AF41" s="153">
        <v>8</v>
      </c>
      <c r="AG41" s="153">
        <v>8</v>
      </c>
      <c r="AH41" s="153"/>
      <c r="AI41" s="153"/>
      <c r="AJ41" s="153"/>
      <c r="AK41" s="543">
        <f>((SUM(F41:AJ41))/8)-(SUMIF($F$6:$AJ$6,"C.Nhật",F41:AJ41)/8)</f>
        <v>19</v>
      </c>
      <c r="AL41" s="543">
        <f>SUM(F42:AI42)/8*1.5</f>
        <v>0</v>
      </c>
      <c r="AM41" s="545">
        <f>SUMIF($F$6:$AI$6,"C.Nhật",$F41:$AI42)/8*2</f>
        <v>0</v>
      </c>
      <c r="AN41" s="547">
        <f>SUM(AK41:AM42)</f>
        <v>19</v>
      </c>
      <c r="AO41" s="549">
        <v>0</v>
      </c>
      <c r="AP41" s="547"/>
      <c r="AQ41" s="547"/>
      <c r="AR41" s="547"/>
      <c r="AS41" s="551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538"/>
      <c r="B42" s="538"/>
      <c r="C42" s="540"/>
      <c r="D42" s="542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544"/>
      <c r="AL42" s="544"/>
      <c r="AM42" s="546"/>
      <c r="AN42" s="548"/>
      <c r="AO42" s="550"/>
      <c r="AP42" s="548"/>
      <c r="AQ42" s="548"/>
      <c r="AR42" s="548"/>
      <c r="AS42" s="552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533">
        <f>A41+1</f>
        <v>17</v>
      </c>
      <c r="B43" s="533" t="s">
        <v>118</v>
      </c>
      <c r="C43" s="472" t="str">
        <f>VLOOKUP(B43,DS,2,0)</f>
        <v>Trần Nhiên</v>
      </c>
      <c r="D43" s="474" t="str">
        <f>VLOOKUP(B43,DS,3,0)</f>
        <v>Công nhân</v>
      </c>
      <c r="E43" s="58" t="s">
        <v>32</v>
      </c>
      <c r="F43" s="153">
        <v>8</v>
      </c>
      <c r="G43" s="153"/>
      <c r="H43" s="153">
        <v>8</v>
      </c>
      <c r="I43" s="153">
        <v>8</v>
      </c>
      <c r="J43" s="153"/>
      <c r="K43" s="153"/>
      <c r="L43" s="153">
        <v>8</v>
      </c>
      <c r="M43" s="153">
        <v>8</v>
      </c>
      <c r="N43" s="153"/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/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/>
      <c r="AC43" s="153">
        <v>8</v>
      </c>
      <c r="AD43" s="153">
        <v>8</v>
      </c>
      <c r="AE43" s="153"/>
      <c r="AF43" s="153">
        <v>8</v>
      </c>
      <c r="AG43" s="153">
        <v>8</v>
      </c>
      <c r="AH43" s="153"/>
      <c r="AI43" s="153"/>
      <c r="AJ43" s="153"/>
      <c r="AK43" s="444">
        <f>((SUM(F43:AJ43))/8)-(SUMIF($F$6:$AJ$6,"C.Nhật",F43:AJ43)/8)</f>
        <v>19</v>
      </c>
      <c r="AL43" s="444">
        <f>SUM(F44:AI44)/8*1.5</f>
        <v>0</v>
      </c>
      <c r="AM43" s="446">
        <f>SUMIF($F$6:$AI$6,"C.Nhật",$F43:$AI44)/8*2</f>
        <v>0</v>
      </c>
      <c r="AN43" s="435">
        <f>SUM(AK43:AM44)</f>
        <v>19</v>
      </c>
      <c r="AO43" s="448">
        <v>0</v>
      </c>
      <c r="AP43" s="435"/>
      <c r="AQ43" s="435"/>
      <c r="AR43" s="435"/>
      <c r="AS43" s="437"/>
      <c r="AT43" s="35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34"/>
      <c r="B44" s="534"/>
      <c r="C44" s="473"/>
      <c r="D44" s="475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45"/>
      <c r="AL44" s="445"/>
      <c r="AM44" s="447"/>
      <c r="AN44" s="436"/>
      <c r="AO44" s="449"/>
      <c r="AP44" s="436"/>
      <c r="AQ44" s="436"/>
      <c r="AR44" s="436"/>
      <c r="AS44" s="438"/>
      <c r="AT44" s="35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533">
        <f>A43+1</f>
        <v>18</v>
      </c>
      <c r="B45" s="533" t="s">
        <v>119</v>
      </c>
      <c r="C45" s="472" t="str">
        <f>VLOOKUP(B45,DS,2,0)</f>
        <v>Thạch Giang</v>
      </c>
      <c r="D45" s="474" t="str">
        <f>VLOOKUP(B45,DS,3,0)</f>
        <v>Công nhân</v>
      </c>
      <c r="E45" s="58" t="s">
        <v>32</v>
      </c>
      <c r="F45" s="153">
        <v>8</v>
      </c>
      <c r="G45" s="153"/>
      <c r="H45" s="153">
        <v>8</v>
      </c>
      <c r="I45" s="153">
        <v>8</v>
      </c>
      <c r="J45" s="153"/>
      <c r="K45" s="153"/>
      <c r="L45" s="153">
        <v>8</v>
      </c>
      <c r="M45" s="153">
        <v>8</v>
      </c>
      <c r="N45" s="153"/>
      <c r="O45" s="153">
        <v>8</v>
      </c>
      <c r="P45" s="153">
        <v>8</v>
      </c>
      <c r="Q45" s="153"/>
      <c r="R45" s="153">
        <v>8</v>
      </c>
      <c r="S45" s="153">
        <v>8</v>
      </c>
      <c r="T45" s="153">
        <v>8</v>
      </c>
      <c r="U45" s="153"/>
      <c r="V45" s="153">
        <v>8</v>
      </c>
      <c r="W45" s="153">
        <v>8</v>
      </c>
      <c r="X45" s="153"/>
      <c r="Y45" s="153">
        <v>8</v>
      </c>
      <c r="Z45" s="153">
        <v>8</v>
      </c>
      <c r="AA45" s="153">
        <v>8</v>
      </c>
      <c r="AB45" s="153"/>
      <c r="AC45" s="153">
        <v>8</v>
      </c>
      <c r="AD45" s="153">
        <v>8</v>
      </c>
      <c r="AE45" s="153"/>
      <c r="AF45" s="153">
        <v>8</v>
      </c>
      <c r="AG45" s="153">
        <v>8</v>
      </c>
      <c r="AH45" s="153"/>
      <c r="AI45" s="153"/>
      <c r="AJ45" s="153"/>
      <c r="AK45" s="444">
        <f>((SUM(F45:AJ45))/8)-(SUMIF($F$6:$AJ$6,"C.Nhật",F45:AJ45)/8)</f>
        <v>19</v>
      </c>
      <c r="AL45" s="444">
        <f>SUM(F46:AI46)/8*1.5</f>
        <v>0</v>
      </c>
      <c r="AM45" s="446">
        <f>SUMIF($F$6:$AI$6,"C.Nhật",$F45:$AI46)/8*2</f>
        <v>0</v>
      </c>
      <c r="AN45" s="435">
        <f>SUM(AK45:AM46)</f>
        <v>19</v>
      </c>
      <c r="AO45" s="448">
        <v>0</v>
      </c>
      <c r="AP45" s="435"/>
      <c r="AQ45" s="435"/>
      <c r="AR45" s="435"/>
      <c r="AS45" s="437"/>
      <c r="AT45" s="35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534"/>
      <c r="B46" s="534"/>
      <c r="C46" s="473"/>
      <c r="D46" s="475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445"/>
      <c r="AL46" s="445"/>
      <c r="AM46" s="447"/>
      <c r="AN46" s="436"/>
      <c r="AO46" s="449"/>
      <c r="AP46" s="436"/>
      <c r="AQ46" s="436"/>
      <c r="AR46" s="436"/>
      <c r="AS46" s="438"/>
      <c r="AT46" s="35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533">
        <f>A45+1</f>
        <v>19</v>
      </c>
      <c r="B47" s="533" t="s">
        <v>122</v>
      </c>
      <c r="C47" s="472" t="str">
        <f>VLOOKUP(B47,DS,2,0)</f>
        <v>Lâm Chanh Đa Ra</v>
      </c>
      <c r="D47" s="474" t="str">
        <f>VLOOKUP(B47,DS,3,0)</f>
        <v>Công nhân</v>
      </c>
      <c r="E47" s="58" t="s">
        <v>32</v>
      </c>
      <c r="F47" s="153">
        <v>8</v>
      </c>
      <c r="G47" s="153"/>
      <c r="H47" s="153">
        <v>8</v>
      </c>
      <c r="I47" s="153">
        <v>8</v>
      </c>
      <c r="J47" s="153"/>
      <c r="K47" s="153"/>
      <c r="L47" s="153">
        <v>8</v>
      </c>
      <c r="M47" s="153">
        <v>8</v>
      </c>
      <c r="N47" s="153"/>
      <c r="O47" s="153">
        <v>8</v>
      </c>
      <c r="P47" s="153">
        <v>8</v>
      </c>
      <c r="Q47" s="153"/>
      <c r="R47" s="153">
        <v>8</v>
      </c>
      <c r="S47" s="153">
        <v>8</v>
      </c>
      <c r="T47" s="153">
        <v>8</v>
      </c>
      <c r="U47" s="153"/>
      <c r="V47" s="153">
        <v>8</v>
      </c>
      <c r="W47" s="153">
        <v>8</v>
      </c>
      <c r="X47" s="153"/>
      <c r="Y47" s="153">
        <v>8</v>
      </c>
      <c r="Z47" s="153">
        <v>8</v>
      </c>
      <c r="AA47" s="153">
        <v>8</v>
      </c>
      <c r="AB47" s="153"/>
      <c r="AC47" s="153">
        <v>8</v>
      </c>
      <c r="AD47" s="153">
        <v>8</v>
      </c>
      <c r="AE47" s="153"/>
      <c r="AF47" s="153">
        <v>8</v>
      </c>
      <c r="AG47" s="153">
        <v>8</v>
      </c>
      <c r="AH47" s="153"/>
      <c r="AI47" s="153"/>
      <c r="AJ47" s="153"/>
      <c r="AK47" s="444">
        <f>((SUM(F47:AJ47))/8)-(SUMIF($F$6:$AJ$6,"C.Nhật",F47:AJ47)/8)</f>
        <v>19</v>
      </c>
      <c r="AL47" s="444">
        <f>SUM(F48:AI48)/8*1.5</f>
        <v>0</v>
      </c>
      <c r="AM47" s="446">
        <f>SUMIF($F$6:$AI$6,"C.Nhật",$F47:$AI48)/8*2</f>
        <v>0</v>
      </c>
      <c r="AN47" s="435">
        <f>SUM(AK47:AM48)</f>
        <v>19</v>
      </c>
      <c r="AO47" s="448">
        <v>0</v>
      </c>
      <c r="AP47" s="435"/>
      <c r="AQ47" s="435"/>
      <c r="AR47" s="435"/>
      <c r="AS47" s="437"/>
      <c r="AT47" s="35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534"/>
      <c r="B48" s="534"/>
      <c r="C48" s="473"/>
      <c r="D48" s="475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445"/>
      <c r="AL48" s="445"/>
      <c r="AM48" s="447"/>
      <c r="AN48" s="436"/>
      <c r="AO48" s="449"/>
      <c r="AP48" s="436"/>
      <c r="AQ48" s="436"/>
      <c r="AR48" s="436"/>
      <c r="AS48" s="438"/>
      <c r="AT48" s="35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354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354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04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463" t="s">
        <v>112</v>
      </c>
      <c r="AN71" s="464"/>
      <c r="AO71" s="464"/>
      <c r="AP71" s="464"/>
      <c r="AQ71" s="464"/>
      <c r="AR71" s="464"/>
      <c r="AS71" s="465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42826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466" t="s">
        <v>28</v>
      </c>
      <c r="B75" s="466" t="s">
        <v>3</v>
      </c>
      <c r="C75" s="466" t="s">
        <v>1</v>
      </c>
      <c r="D75" s="468" t="s">
        <v>29</v>
      </c>
      <c r="E75" s="466" t="s">
        <v>30</v>
      </c>
      <c r="F75" s="148">
        <f>+E74</f>
        <v>42826</v>
      </c>
      <c r="G75" s="148">
        <f t="shared" ref="G75:AG75" si="10">F75+1</f>
        <v>42827</v>
      </c>
      <c r="H75" s="148">
        <f t="shared" si="10"/>
        <v>42828</v>
      </c>
      <c r="I75" s="148">
        <f t="shared" si="10"/>
        <v>42829</v>
      </c>
      <c r="J75" s="148">
        <f t="shared" si="10"/>
        <v>42830</v>
      </c>
      <c r="K75" s="148">
        <f t="shared" si="10"/>
        <v>42831</v>
      </c>
      <c r="L75" s="148">
        <f t="shared" si="10"/>
        <v>42832</v>
      </c>
      <c r="M75" s="148">
        <f t="shared" si="10"/>
        <v>42833</v>
      </c>
      <c r="N75" s="148">
        <f t="shared" si="10"/>
        <v>42834</v>
      </c>
      <c r="O75" s="148">
        <f t="shared" si="10"/>
        <v>42835</v>
      </c>
      <c r="P75" s="148">
        <f t="shared" si="10"/>
        <v>42836</v>
      </c>
      <c r="Q75" s="148">
        <f t="shared" si="10"/>
        <v>42837</v>
      </c>
      <c r="R75" s="148">
        <f t="shared" si="10"/>
        <v>42838</v>
      </c>
      <c r="S75" s="148">
        <f t="shared" si="10"/>
        <v>42839</v>
      </c>
      <c r="T75" s="148">
        <f t="shared" si="10"/>
        <v>42840</v>
      </c>
      <c r="U75" s="148">
        <f t="shared" si="10"/>
        <v>42841</v>
      </c>
      <c r="V75" s="148">
        <f t="shared" si="10"/>
        <v>42842</v>
      </c>
      <c r="W75" s="148">
        <f t="shared" si="10"/>
        <v>42843</v>
      </c>
      <c r="X75" s="148">
        <f t="shared" si="10"/>
        <v>42844</v>
      </c>
      <c r="Y75" s="148">
        <f t="shared" si="10"/>
        <v>42845</v>
      </c>
      <c r="Z75" s="148">
        <f t="shared" si="10"/>
        <v>42846</v>
      </c>
      <c r="AA75" s="148">
        <f t="shared" si="10"/>
        <v>42847</v>
      </c>
      <c r="AB75" s="148">
        <f t="shared" si="10"/>
        <v>42848</v>
      </c>
      <c r="AC75" s="148">
        <f t="shared" si="10"/>
        <v>42849</v>
      </c>
      <c r="AD75" s="148">
        <f t="shared" si="10"/>
        <v>42850</v>
      </c>
      <c r="AE75" s="148">
        <f t="shared" si="10"/>
        <v>42851</v>
      </c>
      <c r="AF75" s="148">
        <f t="shared" si="10"/>
        <v>42852</v>
      </c>
      <c r="AG75" s="148">
        <f t="shared" si="10"/>
        <v>42853</v>
      </c>
      <c r="AH75" s="148">
        <f>AG75+1</f>
        <v>42854</v>
      </c>
      <c r="AI75" s="148">
        <f>AH75+1</f>
        <v>42855</v>
      </c>
      <c r="AJ75" s="148"/>
      <c r="AK75" s="476" t="s">
        <v>15</v>
      </c>
      <c r="AL75" s="477"/>
      <c r="AM75" s="478"/>
      <c r="AN75" s="479" t="s">
        <v>45</v>
      </c>
      <c r="AO75" s="479" t="s">
        <v>41</v>
      </c>
      <c r="AP75" s="479" t="s">
        <v>42</v>
      </c>
      <c r="AQ75" s="479" t="s">
        <v>43</v>
      </c>
      <c r="AR75" s="479" t="s">
        <v>44</v>
      </c>
      <c r="AS75" s="468" t="s">
        <v>0</v>
      </c>
      <c r="AT75" s="469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467"/>
      <c r="B76" s="467"/>
      <c r="C76" s="467"/>
      <c r="D76" s="467"/>
      <c r="E76" s="467"/>
      <c r="F76" s="278" t="str">
        <f>CHOOSE(WEEKDAY(F75),"C.Nhật","T.Hai","T.Ba","T.Tư","T.Năm","T.Sáu","T.Bảy")</f>
        <v>T.Bảy</v>
      </c>
      <c r="G76" s="278" t="str">
        <f t="shared" ref="G76:AI76" si="11">CHOOSE(WEEKDAY(G75),"C.Nhật","T.Hai","T.Ba","T.Tư","T.Năm","T.Sáu","T.Bảy")</f>
        <v>C.Nhật</v>
      </c>
      <c r="H76" s="278" t="str">
        <f t="shared" si="11"/>
        <v>T.Hai</v>
      </c>
      <c r="I76" s="278" t="str">
        <f t="shared" si="11"/>
        <v>T.Ba</v>
      </c>
      <c r="J76" s="278" t="str">
        <f t="shared" si="11"/>
        <v>T.Tư</v>
      </c>
      <c r="K76" s="150" t="str">
        <f t="shared" si="11"/>
        <v>T.Năm</v>
      </c>
      <c r="L76" s="150" t="str">
        <f t="shared" si="11"/>
        <v>T.Sáu</v>
      </c>
      <c r="M76" s="150" t="str">
        <f t="shared" si="11"/>
        <v>T.Bảy</v>
      </c>
      <c r="N76" s="150" t="str">
        <f t="shared" si="11"/>
        <v>C.Nhật</v>
      </c>
      <c r="O76" s="150" t="str">
        <f t="shared" si="11"/>
        <v>T.Hai</v>
      </c>
      <c r="P76" s="150" t="str">
        <f t="shared" si="11"/>
        <v>T.Ba</v>
      </c>
      <c r="Q76" s="150" t="str">
        <f t="shared" si="11"/>
        <v>T.Tư</v>
      </c>
      <c r="R76" s="150" t="str">
        <f t="shared" si="11"/>
        <v>T.Năm</v>
      </c>
      <c r="S76" s="150" t="str">
        <f t="shared" si="11"/>
        <v>T.Sáu</v>
      </c>
      <c r="T76" s="150" t="str">
        <f t="shared" si="11"/>
        <v>T.Bảy</v>
      </c>
      <c r="U76" s="150" t="str">
        <f t="shared" si="11"/>
        <v>C.Nhật</v>
      </c>
      <c r="V76" s="150" t="str">
        <f t="shared" si="11"/>
        <v>T.Hai</v>
      </c>
      <c r="W76" s="150" t="str">
        <f t="shared" si="11"/>
        <v>T.Ba</v>
      </c>
      <c r="X76" s="150" t="str">
        <f t="shared" si="11"/>
        <v>T.Tư</v>
      </c>
      <c r="Y76" s="150" t="str">
        <f t="shared" si="11"/>
        <v>T.Năm</v>
      </c>
      <c r="Z76" s="150" t="str">
        <f t="shared" si="11"/>
        <v>T.Sáu</v>
      </c>
      <c r="AA76" s="150" t="str">
        <f t="shared" si="11"/>
        <v>T.Bảy</v>
      </c>
      <c r="AB76" s="150" t="str">
        <f t="shared" si="11"/>
        <v>C.Nhật</v>
      </c>
      <c r="AC76" s="150" t="str">
        <f t="shared" si="11"/>
        <v>T.Hai</v>
      </c>
      <c r="AD76" s="150" t="str">
        <f t="shared" si="11"/>
        <v>T.Ba</v>
      </c>
      <c r="AE76" s="150" t="str">
        <f t="shared" si="11"/>
        <v>T.Tư</v>
      </c>
      <c r="AF76" s="150" t="str">
        <f t="shared" si="11"/>
        <v>T.Năm</v>
      </c>
      <c r="AG76" s="150" t="str">
        <f t="shared" si="11"/>
        <v>T.Sáu</v>
      </c>
      <c r="AH76" s="150" t="str">
        <f t="shared" si="11"/>
        <v>T.Bảy</v>
      </c>
      <c r="AI76" s="150" t="str">
        <f t="shared" si="11"/>
        <v>C.Nhật</v>
      </c>
      <c r="AJ76" s="150"/>
      <c r="AK76" s="151" t="s">
        <v>16</v>
      </c>
      <c r="AL76" s="151" t="s">
        <v>31</v>
      </c>
      <c r="AM76" s="152" t="s">
        <v>17</v>
      </c>
      <c r="AN76" s="480"/>
      <c r="AO76" s="480"/>
      <c r="AP76" s="480"/>
      <c r="AQ76" s="480"/>
      <c r="AR76" s="480"/>
      <c r="AS76" s="467"/>
      <c r="AT76" s="469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356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70">
        <v>1</v>
      </c>
      <c r="B78" s="470" t="s">
        <v>68</v>
      </c>
      <c r="C78" s="472" t="str">
        <f>VLOOKUP(B78,DS,2,0)</f>
        <v>Nguyễn Thiện Duy</v>
      </c>
      <c r="D78" s="474" t="str">
        <f>VLOOKUP(B78,DS,3,0)</f>
        <v>Giám đốc</v>
      </c>
      <c r="E78" s="58" t="s">
        <v>32</v>
      </c>
      <c r="F78" s="153">
        <v>8</v>
      </c>
      <c r="G78" s="153"/>
      <c r="H78" s="153">
        <v>8</v>
      </c>
      <c r="I78" s="153">
        <v>8</v>
      </c>
      <c r="J78" s="153">
        <v>8</v>
      </c>
      <c r="K78" s="153"/>
      <c r="L78" s="153">
        <v>8</v>
      </c>
      <c r="M78" s="153"/>
      <c r="N78" s="153"/>
      <c r="O78" s="153"/>
      <c r="P78" s="153">
        <v>8</v>
      </c>
      <c r="Q78" s="153">
        <v>8</v>
      </c>
      <c r="R78" s="153">
        <v>8</v>
      </c>
      <c r="S78" s="153">
        <v>8</v>
      </c>
      <c r="T78" s="153"/>
      <c r="U78" s="153"/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/>
      <c r="AC78" s="153">
        <v>8</v>
      </c>
      <c r="AD78" s="153">
        <v>8</v>
      </c>
      <c r="AE78" s="153">
        <v>8</v>
      </c>
      <c r="AF78" s="153">
        <v>8</v>
      </c>
      <c r="AG78" s="153">
        <v>8</v>
      </c>
      <c r="AH78" s="153"/>
      <c r="AI78" s="153"/>
      <c r="AJ78" s="153"/>
      <c r="AK78" s="444">
        <f>((SUM(F78:AJ78))/8)-(SUMIF($F$6:$AJ$6,"C.Nhật",F78:AJ78)/8)</f>
        <v>19</v>
      </c>
      <c r="AL78" s="444">
        <f>SUM(F79:AI79)/8*1.5</f>
        <v>0</v>
      </c>
      <c r="AM78" s="446">
        <f>SUMIF($F$6:$AI$6,"C.Nhật",$F78:$AI79)/8*2</f>
        <v>0</v>
      </c>
      <c r="AN78" s="435">
        <f>SUM(AK78:AM79)</f>
        <v>19</v>
      </c>
      <c r="AO78" s="481">
        <v>0</v>
      </c>
      <c r="AP78" s="483"/>
      <c r="AQ78" s="483"/>
      <c r="AR78" s="483"/>
      <c r="AS78" s="485"/>
      <c r="AT78" s="356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71"/>
      <c r="B79" s="471"/>
      <c r="C79" s="473"/>
      <c r="D79" s="475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45"/>
      <c r="AL79" s="445"/>
      <c r="AM79" s="447"/>
      <c r="AN79" s="436"/>
      <c r="AO79" s="482"/>
      <c r="AP79" s="484"/>
      <c r="AQ79" s="484"/>
      <c r="AR79" s="484"/>
      <c r="AS79" s="486"/>
      <c r="AT79" s="356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70">
        <v>2</v>
      </c>
      <c r="B80" s="470" t="s">
        <v>70</v>
      </c>
      <c r="C80" s="472" t="str">
        <f>VLOOKUP(B80,DS,2,0)</f>
        <v>Nguyễn Văn Sẽ</v>
      </c>
      <c r="D80" s="474" t="str">
        <f>VLOOKUP(B80,DS,3,0)</f>
        <v>Kỹ Thuật</v>
      </c>
      <c r="E80" s="58" t="s">
        <v>32</v>
      </c>
      <c r="F80" s="153">
        <v>8</v>
      </c>
      <c r="G80" s="153"/>
      <c r="H80" s="153">
        <v>8</v>
      </c>
      <c r="I80" s="153">
        <v>8</v>
      </c>
      <c r="J80" s="153">
        <v>8</v>
      </c>
      <c r="K80" s="153"/>
      <c r="L80" s="153">
        <v>8</v>
      </c>
      <c r="M80" s="153">
        <v>8</v>
      </c>
      <c r="N80" s="153"/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>
        <v>8</v>
      </c>
      <c r="U80" s="153"/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>
        <v>8</v>
      </c>
      <c r="AB80" s="153"/>
      <c r="AC80" s="153">
        <v>8</v>
      </c>
      <c r="AD80" s="153">
        <v>8</v>
      </c>
      <c r="AE80" s="153">
        <v>8</v>
      </c>
      <c r="AF80" s="153">
        <v>8</v>
      </c>
      <c r="AG80" s="153">
        <v>8</v>
      </c>
      <c r="AH80" s="153"/>
      <c r="AI80" s="153"/>
      <c r="AJ80" s="153"/>
      <c r="AK80" s="444">
        <f>((SUM(F80:AJ80))/8)-(SUMIF($F$6:$AJ$6,"C.Nhật",F80:AJ80)/8)</f>
        <v>23</v>
      </c>
      <c r="AL80" s="444">
        <f>SUM(F81:AI81)/8*1.5</f>
        <v>0</v>
      </c>
      <c r="AM80" s="446">
        <f>SUMIF($F$6:$AI$6,"C.Nhật",$F80:$AI81)/8*2</f>
        <v>0</v>
      </c>
      <c r="AN80" s="435">
        <f>SUM(AK80:AM81)</f>
        <v>23</v>
      </c>
      <c r="AO80" s="481">
        <v>0</v>
      </c>
      <c r="AP80" s="483"/>
      <c r="AQ80" s="483"/>
      <c r="AR80" s="483"/>
      <c r="AS80" s="485"/>
      <c r="AT80" s="356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71"/>
      <c r="B81" s="471"/>
      <c r="C81" s="473"/>
      <c r="D81" s="475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45"/>
      <c r="AL81" s="445"/>
      <c r="AM81" s="447"/>
      <c r="AN81" s="436"/>
      <c r="AO81" s="482"/>
      <c r="AP81" s="484"/>
      <c r="AQ81" s="484"/>
      <c r="AR81" s="484"/>
      <c r="AS81" s="486"/>
      <c r="AT81" s="356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70">
        <v>3</v>
      </c>
      <c r="B82" s="470" t="s">
        <v>72</v>
      </c>
      <c r="C82" s="472" t="str">
        <f>VLOOKUP(B82,DS,2,0)</f>
        <v>Võ Uyên Phương</v>
      </c>
      <c r="D82" s="474" t="str">
        <f>VLOOKUP(B82,DS,3,0)</f>
        <v>Kế toán</v>
      </c>
      <c r="E82" s="58" t="s">
        <v>32</v>
      </c>
      <c r="F82" s="153">
        <v>8</v>
      </c>
      <c r="G82" s="153"/>
      <c r="H82" s="153">
        <v>8</v>
      </c>
      <c r="I82" s="153">
        <v>8</v>
      </c>
      <c r="J82" s="153">
        <v>8</v>
      </c>
      <c r="K82" s="153"/>
      <c r="L82" s="153">
        <v>8</v>
      </c>
      <c r="M82" s="153">
        <v>8</v>
      </c>
      <c r="N82" s="153"/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>
        <v>8</v>
      </c>
      <c r="U82" s="153"/>
      <c r="V82" s="153">
        <v>8</v>
      </c>
      <c r="W82" s="153">
        <v>8</v>
      </c>
      <c r="X82" s="153">
        <v>8</v>
      </c>
      <c r="Y82" s="153">
        <v>8</v>
      </c>
      <c r="Z82" s="153">
        <v>8</v>
      </c>
      <c r="AA82" s="153">
        <v>8</v>
      </c>
      <c r="AB82" s="153"/>
      <c r="AC82" s="153">
        <v>8</v>
      </c>
      <c r="AD82" s="153">
        <v>8</v>
      </c>
      <c r="AE82" s="153">
        <v>8</v>
      </c>
      <c r="AF82" s="153">
        <v>8</v>
      </c>
      <c r="AG82" s="153">
        <v>8</v>
      </c>
      <c r="AH82" s="153"/>
      <c r="AI82" s="153"/>
      <c r="AJ82" s="153"/>
      <c r="AK82" s="444">
        <f>((SUM(F82:AJ82))/8)-(SUMIF($F$6:$AJ$6,"C.Nhật",F82:AJ82)/8)</f>
        <v>23</v>
      </c>
      <c r="AL82" s="444">
        <f>SUM(F83:AI83)/8*1.5</f>
        <v>0</v>
      </c>
      <c r="AM82" s="446">
        <f>SUMIF($F$6:$AI$6,"C.Nhật",$F82:$AI83)/8*2</f>
        <v>0</v>
      </c>
      <c r="AN82" s="435">
        <f>SUM(AK82:AM83)</f>
        <v>23</v>
      </c>
      <c r="AO82" s="481">
        <v>0</v>
      </c>
      <c r="AP82" s="483"/>
      <c r="AQ82" s="483"/>
      <c r="AR82" s="483"/>
      <c r="AS82" s="485"/>
      <c r="AT82" s="356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71"/>
      <c r="B83" s="471"/>
      <c r="C83" s="473"/>
      <c r="D83" s="475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45"/>
      <c r="AL83" s="445"/>
      <c r="AM83" s="447"/>
      <c r="AN83" s="436"/>
      <c r="AO83" s="482"/>
      <c r="AP83" s="484"/>
      <c r="AQ83" s="484"/>
      <c r="AR83" s="484"/>
      <c r="AS83" s="486"/>
      <c r="AT83" s="356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70">
        <v>4</v>
      </c>
      <c r="B84" s="470" t="s">
        <v>75</v>
      </c>
      <c r="C84" s="472" t="str">
        <f>VLOOKUP(B84,DS,2,0)</f>
        <v>Lê Nguyễn Huy Cường</v>
      </c>
      <c r="D84" s="474" t="str">
        <f>VLOOKUP(B84,DS,3,0)</f>
        <v>XNK</v>
      </c>
      <c r="E84" s="58" t="s">
        <v>32</v>
      </c>
      <c r="F84" s="153">
        <v>8</v>
      </c>
      <c r="G84" s="153"/>
      <c r="H84" s="153">
        <v>8</v>
      </c>
      <c r="I84" s="153">
        <v>8</v>
      </c>
      <c r="J84" s="153">
        <v>8</v>
      </c>
      <c r="K84" s="153"/>
      <c r="L84" s="153">
        <v>8</v>
      </c>
      <c r="M84" s="153">
        <v>8</v>
      </c>
      <c r="N84" s="153"/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>
        <v>8</v>
      </c>
      <c r="U84" s="153"/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>
        <v>8</v>
      </c>
      <c r="AB84" s="153"/>
      <c r="AC84" s="153">
        <v>8</v>
      </c>
      <c r="AD84" s="153">
        <v>8</v>
      </c>
      <c r="AE84" s="153">
        <v>8</v>
      </c>
      <c r="AF84" s="153">
        <v>8</v>
      </c>
      <c r="AG84" s="153">
        <v>8</v>
      </c>
      <c r="AH84" s="153"/>
      <c r="AI84" s="153"/>
      <c r="AJ84" s="153"/>
      <c r="AK84" s="444">
        <f>((SUM(F84:AJ84))/8)-(SUMIF($F$6:$AJ$6,"C.Nhật",F84:AJ84)/8)</f>
        <v>23</v>
      </c>
      <c r="AL84" s="444">
        <f>SUM(F85:AI85)/8*1.5</f>
        <v>0</v>
      </c>
      <c r="AM84" s="446">
        <f>SUMIF($F$6:$AI$6,"C.Nhật",$F84:$AI85)/8*2</f>
        <v>0</v>
      </c>
      <c r="AN84" s="435">
        <f>SUM(AK84:AM85)</f>
        <v>23</v>
      </c>
      <c r="AO84" s="481">
        <v>0</v>
      </c>
      <c r="AP84" s="483"/>
      <c r="AQ84" s="483"/>
      <c r="AR84" s="483"/>
      <c r="AS84" s="485"/>
      <c r="AT84" s="356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71"/>
      <c r="B85" s="471"/>
      <c r="C85" s="473"/>
      <c r="D85" s="475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45"/>
      <c r="AL85" s="445"/>
      <c r="AM85" s="447"/>
      <c r="AN85" s="436"/>
      <c r="AO85" s="482"/>
      <c r="AP85" s="484"/>
      <c r="AQ85" s="484"/>
      <c r="AR85" s="484"/>
      <c r="AS85" s="486"/>
      <c r="AT85" s="356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70">
        <v>5</v>
      </c>
      <c r="B86" s="470" t="s">
        <v>77</v>
      </c>
      <c r="C86" s="472" t="str">
        <f>VLOOKUP(B86,DS,2,0)</f>
        <v>Nguyễn Văn Bé Tư</v>
      </c>
      <c r="D86" s="474" t="str">
        <f>VLOOKUP(B86,DS,3,0)</f>
        <v>Tài xế</v>
      </c>
      <c r="E86" s="58" t="s">
        <v>32</v>
      </c>
      <c r="F86" s="153">
        <v>8</v>
      </c>
      <c r="G86" s="153"/>
      <c r="H86" s="153">
        <v>8</v>
      </c>
      <c r="I86" s="153">
        <v>8</v>
      </c>
      <c r="J86" s="153">
        <v>8</v>
      </c>
      <c r="K86" s="153"/>
      <c r="L86" s="153">
        <v>8</v>
      </c>
      <c r="M86" s="153">
        <v>8</v>
      </c>
      <c r="N86" s="153"/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>
        <v>8</v>
      </c>
      <c r="U86" s="153"/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>
        <v>8</v>
      </c>
      <c r="AB86" s="153"/>
      <c r="AC86" s="153">
        <v>8</v>
      </c>
      <c r="AD86" s="153">
        <v>8</v>
      </c>
      <c r="AE86" s="153">
        <v>8</v>
      </c>
      <c r="AF86" s="153">
        <v>8</v>
      </c>
      <c r="AG86" s="153">
        <v>8</v>
      </c>
      <c r="AH86" s="153"/>
      <c r="AI86" s="153"/>
      <c r="AJ86" s="153"/>
      <c r="AK86" s="444">
        <f>((SUM(F86:AJ86))/8)-(SUMIF($F$6:$AJ$6,"C.Nhật",F86:AJ86)/8)</f>
        <v>23</v>
      </c>
      <c r="AL86" s="444">
        <f>SUM(F87:AI87)/8*1.5</f>
        <v>0</v>
      </c>
      <c r="AM86" s="446">
        <f>SUMIF($F$6:$AI$6,"C.Nhật",$F86:$AI87)/8*2</f>
        <v>0</v>
      </c>
      <c r="AN86" s="435">
        <f>SUM(AK86:AM87)</f>
        <v>23</v>
      </c>
      <c r="AO86" s="481">
        <v>0</v>
      </c>
      <c r="AP86" s="483"/>
      <c r="AQ86" s="483"/>
      <c r="AR86" s="483"/>
      <c r="AS86" s="485"/>
      <c r="AT86" s="356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71"/>
      <c r="B87" s="471"/>
      <c r="C87" s="473"/>
      <c r="D87" s="475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45"/>
      <c r="AL87" s="445"/>
      <c r="AM87" s="447"/>
      <c r="AN87" s="436"/>
      <c r="AO87" s="482"/>
      <c r="AP87" s="484"/>
      <c r="AQ87" s="484"/>
      <c r="AR87" s="484"/>
      <c r="AS87" s="486"/>
      <c r="AT87" s="356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70">
        <v>6</v>
      </c>
      <c r="B88" s="470" t="s">
        <v>78</v>
      </c>
      <c r="C88" s="472" t="str">
        <f>VLOOKUP(B88,DS,2,0)</f>
        <v>Dương Thanh Tuấn</v>
      </c>
      <c r="D88" s="474" t="str">
        <f>VLOOKUP(B88,DS,3,0)</f>
        <v>Nhân sự</v>
      </c>
      <c r="E88" s="58" t="s">
        <v>32</v>
      </c>
      <c r="F88" s="153">
        <v>8</v>
      </c>
      <c r="G88" s="153"/>
      <c r="H88" s="153">
        <v>8</v>
      </c>
      <c r="I88" s="153">
        <v>8</v>
      </c>
      <c r="J88" s="153">
        <v>8</v>
      </c>
      <c r="K88" s="153"/>
      <c r="L88" s="153">
        <v>8</v>
      </c>
      <c r="M88" s="153">
        <v>8</v>
      </c>
      <c r="N88" s="153"/>
      <c r="O88" s="153">
        <v>8</v>
      </c>
      <c r="P88" s="153">
        <v>8</v>
      </c>
      <c r="Q88" s="153">
        <v>8</v>
      </c>
      <c r="R88" s="153">
        <v>8</v>
      </c>
      <c r="S88" s="153">
        <v>8</v>
      </c>
      <c r="T88" s="153">
        <v>8</v>
      </c>
      <c r="U88" s="153"/>
      <c r="V88" s="153">
        <v>8</v>
      </c>
      <c r="W88" s="153">
        <v>8</v>
      </c>
      <c r="X88" s="153">
        <v>8</v>
      </c>
      <c r="Y88" s="153">
        <v>8</v>
      </c>
      <c r="Z88" s="153">
        <v>8</v>
      </c>
      <c r="AA88" s="153">
        <v>8</v>
      </c>
      <c r="AB88" s="153"/>
      <c r="AC88" s="153">
        <v>8</v>
      </c>
      <c r="AD88" s="153">
        <v>8</v>
      </c>
      <c r="AE88" s="153">
        <v>8</v>
      </c>
      <c r="AF88" s="153">
        <v>8</v>
      </c>
      <c r="AG88" s="153">
        <v>8</v>
      </c>
      <c r="AH88" s="153"/>
      <c r="AI88" s="153"/>
      <c r="AJ88" s="153"/>
      <c r="AK88" s="444">
        <f>((SUM(F88:AJ88))/8)-(SUMIF($F$6:$AJ$6,"C.Nhật",F88:AJ88)/8)</f>
        <v>23</v>
      </c>
      <c r="AL88" s="444">
        <f>SUM(F89:AI89)/8*1.5</f>
        <v>0</v>
      </c>
      <c r="AM88" s="446">
        <f>SUMIF($F$6:$AI$6,"C.Nhật",$F88:$AI89)/8*2</f>
        <v>0</v>
      </c>
      <c r="AN88" s="435">
        <f>SUM(AK88:AM89)</f>
        <v>23</v>
      </c>
      <c r="AO88" s="481">
        <v>0</v>
      </c>
      <c r="AP88" s="483"/>
      <c r="AQ88" s="483"/>
      <c r="AR88" s="483"/>
      <c r="AS88" s="485"/>
      <c r="AT88" s="356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71"/>
      <c r="B89" s="471"/>
      <c r="C89" s="473"/>
      <c r="D89" s="475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445"/>
      <c r="AL89" s="445"/>
      <c r="AM89" s="447"/>
      <c r="AN89" s="436"/>
      <c r="AO89" s="482"/>
      <c r="AP89" s="484"/>
      <c r="AQ89" s="484"/>
      <c r="AR89" s="484"/>
      <c r="AS89" s="486"/>
      <c r="AT89" s="356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70">
        <v>7</v>
      </c>
      <c r="B90" s="470" t="s">
        <v>81</v>
      </c>
      <c r="C90" s="472" t="str">
        <f>VLOOKUP(B90,DS,2,0)</f>
        <v>Nguyễn Thiện Duyệt</v>
      </c>
      <c r="D90" s="474" t="str">
        <f>VLOOKUP(B90,DS,3,0)</f>
        <v>XNK</v>
      </c>
      <c r="E90" s="58" t="s">
        <v>32</v>
      </c>
      <c r="F90" s="153">
        <v>8</v>
      </c>
      <c r="G90" s="153"/>
      <c r="H90" s="153">
        <v>8</v>
      </c>
      <c r="I90" s="153">
        <v>8</v>
      </c>
      <c r="J90" s="153">
        <v>8</v>
      </c>
      <c r="K90" s="153"/>
      <c r="L90" s="153">
        <v>8</v>
      </c>
      <c r="M90" s="153">
        <v>8</v>
      </c>
      <c r="N90" s="153"/>
      <c r="O90" s="153">
        <v>8</v>
      </c>
      <c r="P90" s="153">
        <v>8</v>
      </c>
      <c r="Q90" s="153">
        <v>8</v>
      </c>
      <c r="R90" s="153">
        <v>8</v>
      </c>
      <c r="S90" s="153">
        <v>8</v>
      </c>
      <c r="T90" s="153">
        <v>8</v>
      </c>
      <c r="U90" s="153"/>
      <c r="V90" s="153">
        <v>8</v>
      </c>
      <c r="W90" s="153">
        <v>8</v>
      </c>
      <c r="X90" s="153">
        <v>8</v>
      </c>
      <c r="Y90" s="153">
        <v>8</v>
      </c>
      <c r="Z90" s="153">
        <v>8</v>
      </c>
      <c r="AA90" s="153">
        <v>8</v>
      </c>
      <c r="AB90" s="153"/>
      <c r="AC90" s="153">
        <v>8</v>
      </c>
      <c r="AD90" s="153">
        <v>8</v>
      </c>
      <c r="AE90" s="153">
        <v>8</v>
      </c>
      <c r="AF90" s="153">
        <v>8</v>
      </c>
      <c r="AG90" s="153">
        <v>8</v>
      </c>
      <c r="AH90" s="153"/>
      <c r="AI90" s="153"/>
      <c r="AJ90" s="153"/>
      <c r="AK90" s="444">
        <f>((SUM(F90:AJ90))/8)-(SUMIF($F$6:$AJ$6,"C.Nhật",F90:AJ90)/8)</f>
        <v>23</v>
      </c>
      <c r="AL90" s="444">
        <f>SUM(F91:AI91)/8*1.5</f>
        <v>0</v>
      </c>
      <c r="AM90" s="446">
        <f>SUMIF($F$6:$AI$6,"C.Nhật",$F90:$AI91)/8*2</f>
        <v>0</v>
      </c>
      <c r="AN90" s="435">
        <f>SUM(AK90:AM91)</f>
        <v>23</v>
      </c>
      <c r="AO90" s="481">
        <v>0</v>
      </c>
      <c r="AP90" s="483"/>
      <c r="AQ90" s="483"/>
      <c r="AR90" s="483"/>
      <c r="AS90" s="485"/>
      <c r="AT90" s="356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471"/>
      <c r="B91" s="471"/>
      <c r="C91" s="473"/>
      <c r="D91" s="475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445"/>
      <c r="AL91" s="445"/>
      <c r="AM91" s="447"/>
      <c r="AN91" s="436"/>
      <c r="AO91" s="482"/>
      <c r="AP91" s="484"/>
      <c r="AQ91" s="484"/>
      <c r="AR91" s="484"/>
      <c r="AS91" s="486"/>
      <c r="AT91" s="356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470">
        <v>8</v>
      </c>
      <c r="B92" s="470" t="s">
        <v>208</v>
      </c>
      <c r="C92" s="472" t="s">
        <v>203</v>
      </c>
      <c r="D92" s="474" t="str">
        <f>VLOOKUP(B92,DS,3,0)</f>
        <v>Kế toán</v>
      </c>
      <c r="E92" s="58" t="s">
        <v>32</v>
      </c>
      <c r="F92" s="153">
        <v>8</v>
      </c>
      <c r="G92" s="153"/>
      <c r="H92" s="153">
        <v>8</v>
      </c>
      <c r="I92" s="153">
        <v>8</v>
      </c>
      <c r="J92" s="153">
        <v>8</v>
      </c>
      <c r="K92" s="153"/>
      <c r="L92" s="153">
        <v>8</v>
      </c>
      <c r="M92" s="153">
        <v>8</v>
      </c>
      <c r="N92" s="153"/>
      <c r="O92" s="153">
        <v>8</v>
      </c>
      <c r="P92" s="153">
        <v>8</v>
      </c>
      <c r="Q92" s="153">
        <v>8</v>
      </c>
      <c r="R92" s="153">
        <v>8</v>
      </c>
      <c r="S92" s="153">
        <v>8</v>
      </c>
      <c r="T92" s="153">
        <v>8</v>
      </c>
      <c r="U92" s="153"/>
      <c r="V92" s="153">
        <v>8</v>
      </c>
      <c r="W92" s="153">
        <v>8</v>
      </c>
      <c r="X92" s="153">
        <v>8</v>
      </c>
      <c r="Y92" s="153">
        <v>8</v>
      </c>
      <c r="Z92" s="153">
        <v>8</v>
      </c>
      <c r="AA92" s="153">
        <v>8</v>
      </c>
      <c r="AB92" s="153"/>
      <c r="AC92" s="153">
        <v>8</v>
      </c>
      <c r="AD92" s="153">
        <v>8</v>
      </c>
      <c r="AE92" s="153">
        <v>8</v>
      </c>
      <c r="AF92" s="153">
        <v>8</v>
      </c>
      <c r="AG92" s="153">
        <v>8</v>
      </c>
      <c r="AH92" s="153"/>
      <c r="AI92" s="153"/>
      <c r="AJ92" s="153"/>
      <c r="AK92" s="444">
        <f>((SUM(F92:AJ92))/8)-(SUMIF($F$6:$AJ$6,"C.Nhật",F92:AJ92)/8)</f>
        <v>23</v>
      </c>
      <c r="AL92" s="444">
        <f>SUM(F93:AI93)/8*1.5</f>
        <v>0</v>
      </c>
      <c r="AM92" s="446">
        <f>SUMIF($F$6:$AI$6,"C.Nhật",$F92:$AI93)/8*2</f>
        <v>0</v>
      </c>
      <c r="AN92" s="435">
        <f>SUM(AK92:AM93)</f>
        <v>23</v>
      </c>
      <c r="AO92" s="481">
        <v>0</v>
      </c>
      <c r="AP92" s="483"/>
      <c r="AQ92" s="483"/>
      <c r="AR92" s="483"/>
      <c r="AS92" s="485"/>
      <c r="AT92" s="356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471"/>
      <c r="B93" s="471"/>
      <c r="C93" s="473"/>
      <c r="D93" s="475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445"/>
      <c r="AL93" s="445"/>
      <c r="AM93" s="447"/>
      <c r="AN93" s="436"/>
      <c r="AO93" s="482"/>
      <c r="AP93" s="484"/>
      <c r="AQ93" s="484"/>
      <c r="AR93" s="484"/>
      <c r="AS93" s="486"/>
      <c r="AT93" s="356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470">
        <v>9</v>
      </c>
      <c r="B94" s="470" t="s">
        <v>207</v>
      </c>
      <c r="C94" s="472" t="s">
        <v>204</v>
      </c>
      <c r="D94" s="474" t="str">
        <f>VLOOKUP(B94,DS,3,0)</f>
        <v>Kế toán</v>
      </c>
      <c r="E94" s="58" t="s">
        <v>32</v>
      </c>
      <c r="F94" s="153">
        <v>8</v>
      </c>
      <c r="G94" s="153"/>
      <c r="H94" s="153">
        <v>8</v>
      </c>
      <c r="I94" s="153">
        <v>8</v>
      </c>
      <c r="J94" s="153">
        <v>8</v>
      </c>
      <c r="K94" s="153"/>
      <c r="L94" s="153">
        <v>8</v>
      </c>
      <c r="M94" s="153">
        <v>8</v>
      </c>
      <c r="N94" s="153"/>
      <c r="O94" s="153">
        <v>8</v>
      </c>
      <c r="P94" s="153">
        <v>8</v>
      </c>
      <c r="Q94" s="153">
        <v>8</v>
      </c>
      <c r="R94" s="153">
        <v>8</v>
      </c>
      <c r="S94" s="153">
        <v>8</v>
      </c>
      <c r="T94" s="153">
        <v>8</v>
      </c>
      <c r="U94" s="153"/>
      <c r="V94" s="153">
        <v>8</v>
      </c>
      <c r="W94" s="153">
        <v>8</v>
      </c>
      <c r="X94" s="153">
        <v>8</v>
      </c>
      <c r="Y94" s="153">
        <v>8</v>
      </c>
      <c r="Z94" s="153">
        <v>8</v>
      </c>
      <c r="AA94" s="153">
        <v>8</v>
      </c>
      <c r="AB94" s="153"/>
      <c r="AC94" s="153">
        <v>8</v>
      </c>
      <c r="AD94" s="153">
        <v>8</v>
      </c>
      <c r="AE94" s="153">
        <v>8</v>
      </c>
      <c r="AF94" s="153">
        <v>8</v>
      </c>
      <c r="AG94" s="153">
        <v>8</v>
      </c>
      <c r="AH94" s="153"/>
      <c r="AI94" s="153"/>
      <c r="AJ94" s="153"/>
      <c r="AK94" s="444">
        <f>((SUM(F94:AJ94))/8)-(SUMIF($F$6:$AJ$6,"C.Nhật",F94:AJ94)/8)</f>
        <v>23</v>
      </c>
      <c r="AL94" s="444">
        <f>SUM(F95:AI95)/8*1.5</f>
        <v>0</v>
      </c>
      <c r="AM94" s="446">
        <f>SUMIF($F$6:$AI$6,"C.Nhật",$F94:$AI95)/8*2</f>
        <v>0</v>
      </c>
      <c r="AN94" s="435">
        <f>SUM(AK94:AM95)</f>
        <v>23</v>
      </c>
      <c r="AO94" s="481">
        <v>0</v>
      </c>
      <c r="AP94" s="483"/>
      <c r="AQ94" s="483"/>
      <c r="AR94" s="483"/>
      <c r="AS94" s="485"/>
      <c r="AT94" s="356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471"/>
      <c r="B95" s="471"/>
      <c r="C95" s="473"/>
      <c r="D95" s="475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445"/>
      <c r="AL95" s="445"/>
      <c r="AM95" s="447"/>
      <c r="AN95" s="436"/>
      <c r="AO95" s="482"/>
      <c r="AP95" s="484"/>
      <c r="AQ95" s="484"/>
      <c r="AR95" s="484"/>
      <c r="AS95" s="486"/>
      <c r="AT95" s="356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O94:AO95"/>
    <mergeCell ref="AP94:AP95"/>
    <mergeCell ref="AQ94:AQ95"/>
    <mergeCell ref="AR94:AR95"/>
    <mergeCell ref="AS94:AS95"/>
    <mergeCell ref="AR92:AR93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L92:AL93"/>
    <mergeCell ref="AM92:AM93"/>
    <mergeCell ref="AN92:AN93"/>
    <mergeCell ref="AO92:AO93"/>
    <mergeCell ref="AP92:AP93"/>
    <mergeCell ref="AQ92:AQ93"/>
    <mergeCell ref="AO90:AO91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L88:AL89"/>
    <mergeCell ref="AM88:AM89"/>
    <mergeCell ref="AN88:AN89"/>
    <mergeCell ref="AO86:AO87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R88:AR89"/>
    <mergeCell ref="AS88:AS89"/>
    <mergeCell ref="AO88:AO89"/>
    <mergeCell ref="AP88:AP89"/>
    <mergeCell ref="AQ88:AQ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L84:AL85"/>
    <mergeCell ref="AM84:AM85"/>
    <mergeCell ref="AN84:AN85"/>
    <mergeCell ref="AR82:AR83"/>
    <mergeCell ref="AS82:AS83"/>
    <mergeCell ref="A84:A85"/>
    <mergeCell ref="B84:B85"/>
    <mergeCell ref="C84:C85"/>
    <mergeCell ref="D84:D85"/>
    <mergeCell ref="AK84:AK85"/>
    <mergeCell ref="AR84:AR85"/>
    <mergeCell ref="AS84:AS85"/>
    <mergeCell ref="AO84:AO85"/>
    <mergeCell ref="AP84:AP85"/>
    <mergeCell ref="AQ84:AQ85"/>
    <mergeCell ref="A80:A81"/>
    <mergeCell ref="B80:B81"/>
    <mergeCell ref="C80:C81"/>
    <mergeCell ref="D80:D81"/>
    <mergeCell ref="AK80:AK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L80:AL81"/>
    <mergeCell ref="AM80:AM81"/>
    <mergeCell ref="AN80:AN81"/>
    <mergeCell ref="AO80:AO81"/>
    <mergeCell ref="AP80:AP81"/>
    <mergeCell ref="AQ80:AQ81"/>
    <mergeCell ref="AO82:AO83"/>
    <mergeCell ref="AP82:AP83"/>
    <mergeCell ref="AQ82:AQ83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K75:AM75"/>
    <mergeCell ref="AN75:AN76"/>
    <mergeCell ref="AO75:AO76"/>
    <mergeCell ref="AP75:AP76"/>
    <mergeCell ref="AQ75:AQ76"/>
    <mergeCell ref="AR75:AR76"/>
    <mergeCell ref="AO78:AO79"/>
    <mergeCell ref="AP78:AP79"/>
    <mergeCell ref="AQ78:AQ79"/>
    <mergeCell ref="AR78:AR79"/>
    <mergeCell ref="AS78:AS79"/>
    <mergeCell ref="AP47:AP48"/>
    <mergeCell ref="AQ47:AQ48"/>
    <mergeCell ref="AR47:AR48"/>
    <mergeCell ref="AS47:AS48"/>
    <mergeCell ref="AM71:AS71"/>
    <mergeCell ref="A75:A76"/>
    <mergeCell ref="B75:B76"/>
    <mergeCell ref="C75:C76"/>
    <mergeCell ref="D75:D76"/>
    <mergeCell ref="E75:E76"/>
    <mergeCell ref="AS75:AS7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D41:D42"/>
    <mergeCell ref="AK41:AK42"/>
    <mergeCell ref="AL41:AL42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R39:AR40"/>
    <mergeCell ref="AS39:AS40"/>
    <mergeCell ref="AM34:AM35"/>
    <mergeCell ref="AN34:AN35"/>
    <mergeCell ref="AR34:AR35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M41:AM42"/>
    <mergeCell ref="AN41:AN42"/>
    <mergeCell ref="AO41:AO42"/>
    <mergeCell ref="AP41:AP42"/>
    <mergeCell ref="AQ41:AQ42"/>
    <mergeCell ref="AR41:AR42"/>
    <mergeCell ref="A41:A42"/>
    <mergeCell ref="B41:B42"/>
    <mergeCell ref="C41:C42"/>
    <mergeCell ref="A39:A40"/>
    <mergeCell ref="B39:B40"/>
    <mergeCell ref="C39:C40"/>
    <mergeCell ref="D39:D40"/>
    <mergeCell ref="AK39:AK40"/>
    <mergeCell ref="AL39:AL40"/>
    <mergeCell ref="AM39:AM40"/>
    <mergeCell ref="AP32:AP33"/>
    <mergeCell ref="AQ32:AQ33"/>
    <mergeCell ref="AN39:AN40"/>
    <mergeCell ref="AO39:AO40"/>
    <mergeCell ref="AP39:AP40"/>
    <mergeCell ref="AQ39:AQ40"/>
    <mergeCell ref="C36:C37"/>
    <mergeCell ref="D36:D37"/>
    <mergeCell ref="AK36:AK37"/>
    <mergeCell ref="AL36:AL37"/>
    <mergeCell ref="AM36:AM37"/>
    <mergeCell ref="AN36:AN37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C20:C21"/>
    <mergeCell ref="D20:D21"/>
    <mergeCell ref="AK20:AK21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16:A17"/>
    <mergeCell ref="B16:B17"/>
    <mergeCell ref="C16:C17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Q16:AQ17"/>
    <mergeCell ref="AR16:AR17"/>
    <mergeCell ref="AS16:AS17"/>
    <mergeCell ref="AN14:AN15"/>
    <mergeCell ref="AO14:AO15"/>
    <mergeCell ref="AP14:AP15"/>
    <mergeCell ref="AQ14:AQ15"/>
    <mergeCell ref="AR14:AR15"/>
    <mergeCell ref="AS14:AS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Q11:AQ12"/>
    <mergeCell ref="AR11:AR12"/>
    <mergeCell ref="AS11:AS12"/>
    <mergeCell ref="AN9:AN10"/>
    <mergeCell ref="AO9:AO10"/>
    <mergeCell ref="AP9:AP10"/>
    <mergeCell ref="AQ9:AQ10"/>
    <mergeCell ref="AR9:AR10"/>
    <mergeCell ref="AP11:AP12"/>
    <mergeCell ref="AR36:AR37"/>
    <mergeCell ref="A36:A37"/>
    <mergeCell ref="B36:B37"/>
    <mergeCell ref="A14:A15"/>
    <mergeCell ref="B14:B15"/>
    <mergeCell ref="C14:C15"/>
    <mergeCell ref="D14:D15"/>
    <mergeCell ref="AK14:AK15"/>
    <mergeCell ref="AL14:AL15"/>
    <mergeCell ref="AM14:AM15"/>
    <mergeCell ref="D16:D17"/>
    <mergeCell ref="AK16:AK17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P16:AP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3:AJ104 F5:AJ6 F50:AJ69 F106:AJ119 F9:AJ12 F14:AJ48 AS37 F78:AJ95">
    <cfRule type="expression" dxfId="459" priority="122" stopIfTrue="1">
      <formula>IF(WEEKDAY(F$5)=1,TRUE,FALSE)</formula>
    </cfRule>
  </conditionalFormatting>
  <conditionalFormatting sqref="F5:AJ6 F75:AJ76 F9:AJ12">
    <cfRule type="expression" dxfId="458" priority="121" stopIfTrue="1">
      <formula>IF(WEEKDAY(F$5)=1,TRUE,FALSE)</formula>
    </cfRule>
  </conditionalFormatting>
  <conditionalFormatting sqref="K39:P39">
    <cfRule type="expression" dxfId="457" priority="120" stopIfTrue="1">
      <formula>IF(WEEKDAY(K$5)=1,TRUE,FALSE)</formula>
    </cfRule>
  </conditionalFormatting>
  <conditionalFormatting sqref="K41:P41">
    <cfRule type="expression" dxfId="456" priority="119" stopIfTrue="1">
      <formula>IF(WEEKDAY(K$5)=1,TRUE,FALSE)</formula>
    </cfRule>
  </conditionalFormatting>
  <conditionalFormatting sqref="K43:P43">
    <cfRule type="expression" dxfId="455" priority="118" stopIfTrue="1">
      <formula>IF(WEEKDAY(K$5)=1,TRUE,FALSE)</formula>
    </cfRule>
  </conditionalFormatting>
  <conditionalFormatting sqref="K45:P45">
    <cfRule type="expression" dxfId="454" priority="117" stopIfTrue="1">
      <formula>IF(WEEKDAY(K$5)=1,TRUE,FALSE)</formula>
    </cfRule>
  </conditionalFormatting>
  <conditionalFormatting sqref="K47:P47">
    <cfRule type="expression" dxfId="453" priority="116" stopIfTrue="1">
      <formula>IF(WEEKDAY(K$5)=1,TRUE,FALSE)</formula>
    </cfRule>
  </conditionalFormatting>
  <conditionalFormatting sqref="R47:W47">
    <cfRule type="expression" dxfId="452" priority="115" stopIfTrue="1">
      <formula>IF(WEEKDAY(R$5)=1,TRUE,FALSE)</formula>
    </cfRule>
  </conditionalFormatting>
  <conditionalFormatting sqref="R45:W45">
    <cfRule type="expression" dxfId="451" priority="114" stopIfTrue="1">
      <formula>IF(WEEKDAY(R$5)=1,TRUE,FALSE)</formula>
    </cfRule>
  </conditionalFormatting>
  <conditionalFormatting sqref="R43:W43">
    <cfRule type="expression" dxfId="450" priority="113" stopIfTrue="1">
      <formula>IF(WEEKDAY(R$5)=1,TRUE,FALSE)</formula>
    </cfRule>
  </conditionalFormatting>
  <conditionalFormatting sqref="R41:W41">
    <cfRule type="expression" dxfId="449" priority="112" stopIfTrue="1">
      <formula>IF(WEEKDAY(R$5)=1,TRUE,FALSE)</formula>
    </cfRule>
  </conditionalFormatting>
  <conditionalFormatting sqref="R39:W39">
    <cfRule type="expression" dxfId="448" priority="111" stopIfTrue="1">
      <formula>IF(WEEKDAY(R$5)=1,TRUE,FALSE)</formula>
    </cfRule>
  </conditionalFormatting>
  <conditionalFormatting sqref="Y39:AD39">
    <cfRule type="expression" dxfId="447" priority="110" stopIfTrue="1">
      <formula>IF(WEEKDAY(Y$5)=1,TRUE,FALSE)</formula>
    </cfRule>
  </conditionalFormatting>
  <conditionalFormatting sqref="Y41:AD41">
    <cfRule type="expression" dxfId="446" priority="109" stopIfTrue="1">
      <formula>IF(WEEKDAY(Y$5)=1,TRUE,FALSE)</formula>
    </cfRule>
  </conditionalFormatting>
  <conditionalFormatting sqref="Y43:AD43">
    <cfRule type="expression" dxfId="445" priority="108" stopIfTrue="1">
      <formula>IF(WEEKDAY(Y$5)=1,TRUE,FALSE)</formula>
    </cfRule>
  </conditionalFormatting>
  <conditionalFormatting sqref="Y45:AD45">
    <cfRule type="expression" dxfId="444" priority="107" stopIfTrue="1">
      <formula>IF(WEEKDAY(Y$5)=1,TRUE,FALSE)</formula>
    </cfRule>
  </conditionalFormatting>
  <conditionalFormatting sqref="Y47:AD47">
    <cfRule type="expression" dxfId="443" priority="106" stopIfTrue="1">
      <formula>IF(WEEKDAY(Y$5)=1,TRUE,FALSE)</formula>
    </cfRule>
  </conditionalFormatting>
  <conditionalFormatting sqref="F14:I14">
    <cfRule type="expression" dxfId="442" priority="105" stopIfTrue="1">
      <formula>IF(WEEKDAY(F$5)=1,TRUE,FALSE)</formula>
    </cfRule>
  </conditionalFormatting>
  <conditionalFormatting sqref="F16:I16">
    <cfRule type="expression" dxfId="441" priority="104" stopIfTrue="1">
      <formula>IF(WEEKDAY(F$5)=1,TRUE,FALSE)</formula>
    </cfRule>
  </conditionalFormatting>
  <conditionalFormatting sqref="F18:I18">
    <cfRule type="expression" dxfId="440" priority="103" stopIfTrue="1">
      <formula>IF(WEEKDAY(F$5)=1,TRUE,FALSE)</formula>
    </cfRule>
  </conditionalFormatting>
  <conditionalFormatting sqref="F20:I20">
    <cfRule type="expression" dxfId="439" priority="102" stopIfTrue="1">
      <formula>IF(WEEKDAY(F$5)=1,TRUE,FALSE)</formula>
    </cfRule>
  </conditionalFormatting>
  <conditionalFormatting sqref="F22:I22">
    <cfRule type="expression" dxfId="438" priority="101" stopIfTrue="1">
      <formula>IF(WEEKDAY(F$5)=1,TRUE,FALSE)</formula>
    </cfRule>
  </conditionalFormatting>
  <conditionalFormatting sqref="F24:I24">
    <cfRule type="expression" dxfId="437" priority="100" stopIfTrue="1">
      <formula>IF(WEEKDAY(F$5)=1,TRUE,FALSE)</formula>
    </cfRule>
  </conditionalFormatting>
  <conditionalFormatting sqref="F26:I26">
    <cfRule type="expression" dxfId="436" priority="99" stopIfTrue="1">
      <formula>IF(WEEKDAY(F$5)=1,TRUE,FALSE)</formula>
    </cfRule>
  </conditionalFormatting>
  <conditionalFormatting sqref="F28:I28">
    <cfRule type="expression" dxfId="435" priority="98" stopIfTrue="1">
      <formula>IF(WEEKDAY(F$5)=1,TRUE,FALSE)</formula>
    </cfRule>
  </conditionalFormatting>
  <conditionalFormatting sqref="F30:I30">
    <cfRule type="expression" dxfId="434" priority="97" stopIfTrue="1">
      <formula>IF(WEEKDAY(F$5)=1,TRUE,FALSE)</formula>
    </cfRule>
  </conditionalFormatting>
  <conditionalFormatting sqref="F32:I32">
    <cfRule type="expression" dxfId="433" priority="96" stopIfTrue="1">
      <formula>IF(WEEKDAY(F$5)=1,TRUE,FALSE)</formula>
    </cfRule>
  </conditionalFormatting>
  <conditionalFormatting sqref="F39:I39">
    <cfRule type="expression" dxfId="432" priority="95" stopIfTrue="1">
      <formula>IF(WEEKDAY(F$5)=1,TRUE,FALSE)</formula>
    </cfRule>
  </conditionalFormatting>
  <conditionalFormatting sqref="F41:I41">
    <cfRule type="expression" dxfId="431" priority="94" stopIfTrue="1">
      <formula>IF(WEEKDAY(F$5)=1,TRUE,FALSE)</formula>
    </cfRule>
  </conditionalFormatting>
  <conditionalFormatting sqref="F43:I43">
    <cfRule type="expression" dxfId="430" priority="93" stopIfTrue="1">
      <formula>IF(WEEKDAY(F$5)=1,TRUE,FALSE)</formula>
    </cfRule>
  </conditionalFormatting>
  <conditionalFormatting sqref="F45:I45">
    <cfRule type="expression" dxfId="429" priority="92" stopIfTrue="1">
      <formula>IF(WEEKDAY(F$5)=1,TRUE,FALSE)</formula>
    </cfRule>
  </conditionalFormatting>
  <conditionalFormatting sqref="F47:I47">
    <cfRule type="expression" dxfId="428" priority="91" stopIfTrue="1">
      <formula>IF(WEEKDAY(F$5)=1,TRUE,FALSE)</formula>
    </cfRule>
  </conditionalFormatting>
  <conditionalFormatting sqref="F78:I78">
    <cfRule type="expression" dxfId="427" priority="90" stopIfTrue="1">
      <formula>IF(WEEKDAY(F$5)=1,TRUE,FALSE)</formula>
    </cfRule>
  </conditionalFormatting>
  <conditionalFormatting sqref="F80:I80">
    <cfRule type="expression" dxfId="426" priority="89" stopIfTrue="1">
      <formula>IF(WEEKDAY(F$5)=1,TRUE,FALSE)</formula>
    </cfRule>
  </conditionalFormatting>
  <conditionalFormatting sqref="F82:I82">
    <cfRule type="expression" dxfId="425" priority="88" stopIfTrue="1">
      <formula>IF(WEEKDAY(F$5)=1,TRUE,FALSE)</formula>
    </cfRule>
  </conditionalFormatting>
  <conditionalFormatting sqref="F84:I84">
    <cfRule type="expression" dxfId="424" priority="87" stopIfTrue="1">
      <formula>IF(WEEKDAY(F$5)=1,TRUE,FALSE)</formula>
    </cfRule>
  </conditionalFormatting>
  <conditionalFormatting sqref="F86:I86">
    <cfRule type="expression" dxfId="423" priority="86" stopIfTrue="1">
      <formula>IF(WEEKDAY(F$5)=1,TRUE,FALSE)</formula>
    </cfRule>
  </conditionalFormatting>
  <conditionalFormatting sqref="F88:I88">
    <cfRule type="expression" dxfId="422" priority="85" stopIfTrue="1">
      <formula>IF(WEEKDAY(F$5)=1,TRUE,FALSE)</formula>
    </cfRule>
  </conditionalFormatting>
  <conditionalFormatting sqref="F90:I90">
    <cfRule type="expression" dxfId="421" priority="84" stopIfTrue="1">
      <formula>IF(WEEKDAY(F$5)=1,TRUE,FALSE)</formula>
    </cfRule>
  </conditionalFormatting>
  <conditionalFormatting sqref="F92:I92">
    <cfRule type="expression" dxfId="420" priority="83" stopIfTrue="1">
      <formula>IF(WEEKDAY(F$5)=1,TRUE,FALSE)</formula>
    </cfRule>
  </conditionalFormatting>
  <conditionalFormatting sqref="F94:I94">
    <cfRule type="expression" dxfId="419" priority="82" stopIfTrue="1">
      <formula>IF(WEEKDAY(F$5)=1,TRUE,FALSE)</formula>
    </cfRule>
  </conditionalFormatting>
  <conditionalFormatting sqref="AF14:AJ14">
    <cfRule type="expression" dxfId="418" priority="81" stopIfTrue="1">
      <formula>IF(WEEKDAY(AF$5)=1,TRUE,FALSE)</formula>
    </cfRule>
  </conditionalFormatting>
  <conditionalFormatting sqref="AF16:AJ16">
    <cfRule type="expression" dxfId="417" priority="80" stopIfTrue="1">
      <formula>IF(WEEKDAY(AF$5)=1,TRUE,FALSE)</formula>
    </cfRule>
  </conditionalFormatting>
  <conditionalFormatting sqref="AF18:AJ18">
    <cfRule type="expression" dxfId="416" priority="79" stopIfTrue="1">
      <formula>IF(WEEKDAY(AF$5)=1,TRUE,FALSE)</formula>
    </cfRule>
  </conditionalFormatting>
  <conditionalFormatting sqref="AF20:AJ20">
    <cfRule type="expression" dxfId="415" priority="78" stopIfTrue="1">
      <formula>IF(WEEKDAY(AF$5)=1,TRUE,FALSE)</formula>
    </cfRule>
  </conditionalFormatting>
  <conditionalFormatting sqref="AF22:AJ22">
    <cfRule type="expression" dxfId="414" priority="77" stopIfTrue="1">
      <formula>IF(WEEKDAY(AF$5)=1,TRUE,FALSE)</formula>
    </cfRule>
  </conditionalFormatting>
  <conditionalFormatting sqref="AF24:AJ24">
    <cfRule type="expression" dxfId="413" priority="76" stopIfTrue="1">
      <formula>IF(WEEKDAY(AF$5)=1,TRUE,FALSE)</formula>
    </cfRule>
  </conditionalFormatting>
  <conditionalFormatting sqref="AF26:AJ26">
    <cfRule type="expression" dxfId="412" priority="75" stopIfTrue="1">
      <formula>IF(WEEKDAY(AF$5)=1,TRUE,FALSE)</formula>
    </cfRule>
  </conditionalFormatting>
  <conditionalFormatting sqref="AF28:AJ28">
    <cfRule type="expression" dxfId="411" priority="74" stopIfTrue="1">
      <formula>IF(WEEKDAY(AF$5)=1,TRUE,FALSE)</formula>
    </cfRule>
  </conditionalFormatting>
  <conditionalFormatting sqref="AF30:AJ30">
    <cfRule type="expression" dxfId="410" priority="73" stopIfTrue="1">
      <formula>IF(WEEKDAY(AF$5)=1,TRUE,FALSE)</formula>
    </cfRule>
  </conditionalFormatting>
  <conditionalFormatting sqref="AF32:AJ32">
    <cfRule type="expression" dxfId="409" priority="72" stopIfTrue="1">
      <formula>IF(WEEKDAY(AF$5)=1,TRUE,FALSE)</formula>
    </cfRule>
  </conditionalFormatting>
  <conditionalFormatting sqref="AF39:AJ39">
    <cfRule type="expression" dxfId="408" priority="71" stopIfTrue="1">
      <formula>IF(WEEKDAY(AF$5)=1,TRUE,FALSE)</formula>
    </cfRule>
  </conditionalFormatting>
  <conditionalFormatting sqref="AF43:AJ43">
    <cfRule type="expression" dxfId="407" priority="70" stopIfTrue="1">
      <formula>IF(WEEKDAY(AF$5)=1,TRUE,FALSE)</formula>
    </cfRule>
  </conditionalFormatting>
  <conditionalFormatting sqref="AF45:AJ45">
    <cfRule type="expression" dxfId="406" priority="69" stopIfTrue="1">
      <formula>IF(WEEKDAY(AF$5)=1,TRUE,FALSE)</formula>
    </cfRule>
  </conditionalFormatting>
  <conditionalFormatting sqref="AF47:AJ47">
    <cfRule type="expression" dxfId="405" priority="68" stopIfTrue="1">
      <formula>IF(WEEKDAY(AF$5)=1,TRUE,FALSE)</formula>
    </cfRule>
  </conditionalFormatting>
  <conditionalFormatting sqref="K41:P41">
    <cfRule type="expression" dxfId="404" priority="67" stopIfTrue="1">
      <formula>IF(WEEKDAY(K$5)=1,TRUE,FALSE)</formula>
    </cfRule>
  </conditionalFormatting>
  <conditionalFormatting sqref="R41:W41">
    <cfRule type="expression" dxfId="403" priority="66" stopIfTrue="1">
      <formula>IF(WEEKDAY(R$5)=1,TRUE,FALSE)</formula>
    </cfRule>
  </conditionalFormatting>
  <conditionalFormatting sqref="Y41:AD41">
    <cfRule type="expression" dxfId="402" priority="65" stopIfTrue="1">
      <formula>IF(WEEKDAY(Y$5)=1,TRUE,FALSE)</formula>
    </cfRule>
  </conditionalFormatting>
  <conditionalFormatting sqref="F41:I41">
    <cfRule type="expression" dxfId="401" priority="64" stopIfTrue="1">
      <formula>IF(WEEKDAY(F$5)=1,TRUE,FALSE)</formula>
    </cfRule>
  </conditionalFormatting>
  <conditionalFormatting sqref="AF41:AJ41">
    <cfRule type="expression" dxfId="400" priority="63" stopIfTrue="1">
      <formula>IF(WEEKDAY(AF$5)=1,TRUE,FALSE)</formula>
    </cfRule>
  </conditionalFormatting>
  <conditionalFormatting sqref="I34">
    <cfRule type="expression" dxfId="399" priority="62" stopIfTrue="1">
      <formula>IF(WEEKDAY(I$5)=1,TRUE,FALSE)</formula>
    </cfRule>
  </conditionalFormatting>
  <conditionalFormatting sqref="AF34:AJ34">
    <cfRule type="expression" dxfId="398" priority="61" stopIfTrue="1">
      <formula>IF(WEEKDAY(AF$5)=1,TRUE,FALSE)</formula>
    </cfRule>
  </conditionalFormatting>
  <conditionalFormatting sqref="I34">
    <cfRule type="expression" dxfId="397" priority="60" stopIfTrue="1">
      <formula>IF(WEEKDAY(I$5)=1,TRUE,FALSE)</formula>
    </cfRule>
  </conditionalFormatting>
  <conditionalFormatting sqref="AF34:AJ34">
    <cfRule type="expression" dxfId="396" priority="59" stopIfTrue="1">
      <formula>IF(WEEKDAY(AF$5)=1,TRUE,FALSE)</formula>
    </cfRule>
  </conditionalFormatting>
  <conditionalFormatting sqref="I34">
    <cfRule type="expression" dxfId="395" priority="58" stopIfTrue="1">
      <formula>IF(WEEKDAY(I$5)=1,TRUE,FALSE)</formula>
    </cfRule>
  </conditionalFormatting>
  <conditionalFormatting sqref="AF34:AJ34">
    <cfRule type="expression" dxfId="394" priority="57" stopIfTrue="1">
      <formula>IF(WEEKDAY(AF$5)=1,TRUE,FALSE)</formula>
    </cfRule>
  </conditionalFormatting>
  <conditionalFormatting sqref="F34:H34">
    <cfRule type="expression" dxfId="393" priority="56" stopIfTrue="1">
      <formula>IF(WEEKDAY(F$5)=1,TRUE,FALSE)</formula>
    </cfRule>
  </conditionalFormatting>
  <conditionalFormatting sqref="F34:H34">
    <cfRule type="expression" dxfId="392" priority="55" stopIfTrue="1">
      <formula>IF(WEEKDAY(F$5)=1,TRUE,FALSE)</formula>
    </cfRule>
  </conditionalFormatting>
  <conditionalFormatting sqref="J34:L34 N34:P34 R34:T34 V34:X34 Z34:AB34 AD34:AF34 AH34:AJ34">
    <cfRule type="expression" dxfId="391" priority="54" stopIfTrue="1">
      <formula>IF(WEEKDAY(J$5)=1,TRUE,FALSE)</formula>
    </cfRule>
  </conditionalFormatting>
  <conditionalFormatting sqref="J34:L34 N34:P34 R34:T34 V34:X34 Z34:AB34 AD34:AF34 AH34:AJ34">
    <cfRule type="expression" dxfId="390" priority="53" stopIfTrue="1">
      <formula>IF(WEEKDAY(J$5)=1,TRUE,FALSE)</formula>
    </cfRule>
  </conditionalFormatting>
  <conditionalFormatting sqref="I36">
    <cfRule type="expression" dxfId="389" priority="52" stopIfTrue="1">
      <formula>IF(WEEKDAY(I$5)=1,TRUE,FALSE)</formula>
    </cfRule>
  </conditionalFormatting>
  <conditionalFormatting sqref="AF36:AJ36">
    <cfRule type="expression" dxfId="388" priority="51" stopIfTrue="1">
      <formula>IF(WEEKDAY(AF$5)=1,TRUE,FALSE)</formula>
    </cfRule>
  </conditionalFormatting>
  <conditionalFormatting sqref="I36">
    <cfRule type="expression" dxfId="387" priority="50" stopIfTrue="1">
      <formula>IF(WEEKDAY(I$5)=1,TRUE,FALSE)</formula>
    </cfRule>
  </conditionalFormatting>
  <conditionalFormatting sqref="AF36:AJ36">
    <cfRule type="expression" dxfId="386" priority="49" stopIfTrue="1">
      <formula>IF(WEEKDAY(AF$5)=1,TRUE,FALSE)</formula>
    </cfRule>
  </conditionalFormatting>
  <conditionalFormatting sqref="I36">
    <cfRule type="expression" dxfId="385" priority="48" stopIfTrue="1">
      <formula>IF(WEEKDAY(I$5)=1,TRUE,FALSE)</formula>
    </cfRule>
  </conditionalFormatting>
  <conditionalFormatting sqref="AF36:AJ36">
    <cfRule type="expression" dxfId="384" priority="47" stopIfTrue="1">
      <formula>IF(WEEKDAY(AF$5)=1,TRUE,FALSE)</formula>
    </cfRule>
  </conditionalFormatting>
  <conditionalFormatting sqref="F36:H36">
    <cfRule type="expression" dxfId="383" priority="46" stopIfTrue="1">
      <formula>IF(WEEKDAY(F$5)=1,TRUE,FALSE)</formula>
    </cfRule>
  </conditionalFormatting>
  <conditionalFormatting sqref="F36:H36">
    <cfRule type="expression" dxfId="382" priority="45" stopIfTrue="1">
      <formula>IF(WEEKDAY(F$5)=1,TRUE,FALSE)</formula>
    </cfRule>
  </conditionalFormatting>
  <conditionalFormatting sqref="J36:L36 N36:P36 R36:T36 V36:X36 Z36:AB36 AD36:AF36 AH36:AJ36">
    <cfRule type="expression" dxfId="381" priority="44" stopIfTrue="1">
      <formula>IF(WEEKDAY(J$5)=1,TRUE,FALSE)</formula>
    </cfRule>
  </conditionalFormatting>
  <conditionalFormatting sqref="J36:L36 N36:P36 R36:T36 V36:X36 Z36:AB36 AD36:AF36 AH36:AJ36">
    <cfRule type="expression" dxfId="380" priority="43" stopIfTrue="1">
      <formula>IF(WEEKDAY(J$5)=1,TRUE,FALSE)</formula>
    </cfRule>
  </conditionalFormatting>
  <conditionalFormatting sqref="F16:I16">
    <cfRule type="expression" dxfId="379" priority="42" stopIfTrue="1">
      <formula>IF(WEEKDAY(F$5)=1,TRUE,FALSE)</formula>
    </cfRule>
  </conditionalFormatting>
  <conditionalFormatting sqref="AF16:AJ16">
    <cfRule type="expression" dxfId="378" priority="41" stopIfTrue="1">
      <formula>IF(WEEKDAY(AF$5)=1,TRUE,FALSE)</formula>
    </cfRule>
  </conditionalFormatting>
  <conditionalFormatting sqref="F18:I18">
    <cfRule type="expression" dxfId="377" priority="40" stopIfTrue="1">
      <formula>IF(WEEKDAY(F$5)=1,TRUE,FALSE)</formula>
    </cfRule>
  </conditionalFormatting>
  <conditionalFormatting sqref="AF18:AJ18">
    <cfRule type="expression" dxfId="376" priority="39" stopIfTrue="1">
      <formula>IF(WEEKDAY(AF$5)=1,TRUE,FALSE)</formula>
    </cfRule>
  </conditionalFormatting>
  <conditionalFormatting sqref="F20:I20">
    <cfRule type="expression" dxfId="375" priority="38" stopIfTrue="1">
      <formula>IF(WEEKDAY(F$5)=1,TRUE,FALSE)</formula>
    </cfRule>
  </conditionalFormatting>
  <conditionalFormatting sqref="AF20:AJ20">
    <cfRule type="expression" dxfId="374" priority="37" stopIfTrue="1">
      <formula>IF(WEEKDAY(AF$5)=1,TRUE,FALSE)</formula>
    </cfRule>
  </conditionalFormatting>
  <conditionalFormatting sqref="F22:I22">
    <cfRule type="expression" dxfId="373" priority="36" stopIfTrue="1">
      <formula>IF(WEEKDAY(F$5)=1,TRUE,FALSE)</formula>
    </cfRule>
  </conditionalFormatting>
  <conditionalFormatting sqref="AF22:AJ22">
    <cfRule type="expression" dxfId="372" priority="35" stopIfTrue="1">
      <formula>IF(WEEKDAY(AF$5)=1,TRUE,FALSE)</formula>
    </cfRule>
  </conditionalFormatting>
  <conditionalFormatting sqref="F24:I24">
    <cfRule type="expression" dxfId="371" priority="34" stopIfTrue="1">
      <formula>IF(WEEKDAY(F$5)=1,TRUE,FALSE)</formula>
    </cfRule>
  </conditionalFormatting>
  <conditionalFormatting sqref="AF24:AJ24">
    <cfRule type="expression" dxfId="370" priority="33" stopIfTrue="1">
      <formula>IF(WEEKDAY(AF$5)=1,TRUE,FALSE)</formula>
    </cfRule>
  </conditionalFormatting>
  <conditionalFormatting sqref="F26:I26">
    <cfRule type="expression" dxfId="369" priority="32" stopIfTrue="1">
      <formula>IF(WEEKDAY(F$5)=1,TRUE,FALSE)</formula>
    </cfRule>
  </conditionalFormatting>
  <conditionalFormatting sqref="AF26:AJ26">
    <cfRule type="expression" dxfId="368" priority="31" stopIfTrue="1">
      <formula>IF(WEEKDAY(AF$5)=1,TRUE,FALSE)</formula>
    </cfRule>
  </conditionalFormatting>
  <conditionalFormatting sqref="F28:I28">
    <cfRule type="expression" dxfId="367" priority="30" stopIfTrue="1">
      <formula>IF(WEEKDAY(F$5)=1,TRUE,FALSE)</formula>
    </cfRule>
  </conditionalFormatting>
  <conditionalFormatting sqref="AF28:AJ28">
    <cfRule type="expression" dxfId="366" priority="29" stopIfTrue="1">
      <formula>IF(WEEKDAY(AF$5)=1,TRUE,FALSE)</formula>
    </cfRule>
  </conditionalFormatting>
  <conditionalFormatting sqref="F30:I30">
    <cfRule type="expression" dxfId="365" priority="28" stopIfTrue="1">
      <formula>IF(WEEKDAY(F$5)=1,TRUE,FALSE)</formula>
    </cfRule>
  </conditionalFormatting>
  <conditionalFormatting sqref="AF30:AJ30">
    <cfRule type="expression" dxfId="364" priority="27" stopIfTrue="1">
      <formula>IF(WEEKDAY(AF$5)=1,TRUE,FALSE)</formula>
    </cfRule>
  </conditionalFormatting>
  <conditionalFormatting sqref="F32:I32">
    <cfRule type="expression" dxfId="363" priority="26" stopIfTrue="1">
      <formula>IF(WEEKDAY(F$5)=1,TRUE,FALSE)</formula>
    </cfRule>
  </conditionalFormatting>
  <conditionalFormatting sqref="AF32:AJ32">
    <cfRule type="expression" dxfId="362" priority="25" stopIfTrue="1">
      <formula>IF(WEEKDAY(AF$5)=1,TRUE,FALSE)</formula>
    </cfRule>
  </conditionalFormatting>
  <conditionalFormatting sqref="F34:I34">
    <cfRule type="expression" dxfId="361" priority="24" stopIfTrue="1">
      <formula>IF(WEEKDAY(F$5)=1,TRUE,FALSE)</formula>
    </cfRule>
  </conditionalFormatting>
  <conditionalFormatting sqref="AF34:AJ34">
    <cfRule type="expression" dxfId="360" priority="23" stopIfTrue="1">
      <formula>IF(WEEKDAY(AF$5)=1,TRUE,FALSE)</formula>
    </cfRule>
  </conditionalFormatting>
  <conditionalFormatting sqref="F36:I36">
    <cfRule type="expression" dxfId="359" priority="22" stopIfTrue="1">
      <formula>IF(WEEKDAY(F$5)=1,TRUE,FALSE)</formula>
    </cfRule>
  </conditionalFormatting>
  <conditionalFormatting sqref="AF36:AJ36">
    <cfRule type="expression" dxfId="358" priority="21" stopIfTrue="1">
      <formula>IF(WEEKDAY(AF$5)=1,TRUE,FALSE)</formula>
    </cfRule>
  </conditionalFormatting>
  <conditionalFormatting sqref="I37">
    <cfRule type="expression" dxfId="357" priority="20" stopIfTrue="1">
      <formula>IF(WEEKDAY(I$5)=1,TRUE,FALSE)</formula>
    </cfRule>
  </conditionalFormatting>
  <conditionalFormatting sqref="AF37:AJ37">
    <cfRule type="expression" dxfId="356" priority="19" stopIfTrue="1">
      <formula>IF(WEEKDAY(AF$5)=1,TRUE,FALSE)</formula>
    </cfRule>
  </conditionalFormatting>
  <conditionalFormatting sqref="I37">
    <cfRule type="expression" dxfId="355" priority="18" stopIfTrue="1">
      <formula>IF(WEEKDAY(I$5)=1,TRUE,FALSE)</formula>
    </cfRule>
  </conditionalFormatting>
  <conditionalFormatting sqref="AF37:AJ37">
    <cfRule type="expression" dxfId="354" priority="17" stopIfTrue="1">
      <formula>IF(WEEKDAY(AF$5)=1,TRUE,FALSE)</formula>
    </cfRule>
  </conditionalFormatting>
  <conditionalFormatting sqref="I37">
    <cfRule type="expression" dxfId="353" priority="16" stopIfTrue="1">
      <formula>IF(WEEKDAY(I$5)=1,TRUE,FALSE)</formula>
    </cfRule>
  </conditionalFormatting>
  <conditionalFormatting sqref="AF37:AJ37">
    <cfRule type="expression" dxfId="352" priority="15" stopIfTrue="1">
      <formula>IF(WEEKDAY(AF$5)=1,TRUE,FALSE)</formula>
    </cfRule>
  </conditionalFormatting>
  <conditionalFormatting sqref="F37:H37 AS37">
    <cfRule type="expression" dxfId="351" priority="14" stopIfTrue="1">
      <formula>IF(WEEKDAY(F$5)=1,TRUE,FALSE)</formula>
    </cfRule>
  </conditionalFormatting>
  <conditionalFormatting sqref="F37:H37 AS37">
    <cfRule type="expression" dxfId="350" priority="13" stopIfTrue="1">
      <formula>IF(WEEKDAY(F$5)=1,TRUE,FALSE)</formula>
    </cfRule>
  </conditionalFormatting>
  <conditionalFormatting sqref="J37:L37 N37:P37 R37:T37 V37:X37 Z37:AB37 AD37:AF37 AH37:AJ37">
    <cfRule type="expression" dxfId="349" priority="12" stopIfTrue="1">
      <formula>IF(WEEKDAY(J$5)=1,TRUE,FALSE)</formula>
    </cfRule>
  </conditionalFormatting>
  <conditionalFormatting sqref="J37:L37 N37:P37 R37:T37 V37:X37 Z37:AB37 AD37:AF37 AH37:AJ37">
    <cfRule type="expression" dxfId="348" priority="11" stopIfTrue="1">
      <formula>IF(WEEKDAY(J$5)=1,TRUE,FALSE)</formula>
    </cfRule>
  </conditionalFormatting>
  <conditionalFormatting sqref="F37:I37 AS37">
    <cfRule type="expression" dxfId="347" priority="10" stopIfTrue="1">
      <formula>IF(WEEKDAY(F$5)=1,TRUE,FALSE)</formula>
    </cfRule>
  </conditionalFormatting>
  <conditionalFormatting sqref="AF37:AJ37">
    <cfRule type="expression" dxfId="346" priority="9" stopIfTrue="1">
      <formula>IF(WEEKDAY(AF$5)=1,TRUE,FALSE)</formula>
    </cfRule>
  </conditionalFormatting>
  <conditionalFormatting sqref="F80:I80">
    <cfRule type="expression" dxfId="345" priority="8" stopIfTrue="1">
      <formula>IF(WEEKDAY(F$5)=1,TRUE,FALSE)</formula>
    </cfRule>
  </conditionalFormatting>
  <conditionalFormatting sqref="F82:I82">
    <cfRule type="expression" dxfId="344" priority="7" stopIfTrue="1">
      <formula>IF(WEEKDAY(F$5)=1,TRUE,FALSE)</formula>
    </cfRule>
  </conditionalFormatting>
  <conditionalFormatting sqref="F84:I84">
    <cfRule type="expression" dxfId="343" priority="6" stopIfTrue="1">
      <formula>IF(WEEKDAY(F$5)=1,TRUE,FALSE)</formula>
    </cfRule>
  </conditionalFormatting>
  <conditionalFormatting sqref="F86:I86">
    <cfRule type="expression" dxfId="342" priority="5" stopIfTrue="1">
      <formula>IF(WEEKDAY(F$5)=1,TRUE,FALSE)</formula>
    </cfRule>
  </conditionalFormatting>
  <conditionalFormatting sqref="F88:I88">
    <cfRule type="expression" dxfId="341" priority="4" stopIfTrue="1">
      <formula>IF(WEEKDAY(F$5)=1,TRUE,FALSE)</formula>
    </cfRule>
  </conditionalFormatting>
  <conditionalFormatting sqref="F90:I90">
    <cfRule type="expression" dxfId="340" priority="3" stopIfTrue="1">
      <formula>IF(WEEKDAY(F$5)=1,TRUE,FALSE)</formula>
    </cfRule>
  </conditionalFormatting>
  <conditionalFormatting sqref="F92:I92">
    <cfRule type="expression" dxfId="339" priority="2" stopIfTrue="1">
      <formula>IF(WEEKDAY(F$5)=1,TRUE,FALSE)</formula>
    </cfRule>
  </conditionalFormatting>
  <conditionalFormatting sqref="F94:I94">
    <cfRule type="expression" dxfId="338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opLeftCell="A43" zoomScaleNormal="70" workbookViewId="0">
      <selection activeCell="I41" sqref="I41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362"/>
      <c r="C1" s="362"/>
      <c r="D1" s="493" t="str">
        <f>"BẢNG THANH TOÁN LƯƠNG THÁNG"&amp;" "&amp;TEXT($E$4,"mm")&amp;" / "&amp;TEXT($E$4,"yyyy")</f>
        <v>BẢNG THANH TOÁN LƯƠNG THÁNG 04 / 2017</v>
      </c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4"/>
      <c r="R1" s="495" t="s">
        <v>179</v>
      </c>
      <c r="S1" s="496"/>
      <c r="T1" s="497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362"/>
      <c r="C2" s="362"/>
      <c r="D2" s="362"/>
      <c r="E2" s="71"/>
      <c r="F2" s="362"/>
      <c r="G2" s="362"/>
      <c r="H2" s="362"/>
      <c r="I2" s="362"/>
      <c r="J2" s="72"/>
      <c r="K2" s="362"/>
      <c r="L2" s="362"/>
      <c r="M2" s="362"/>
      <c r="N2" s="362"/>
      <c r="O2" s="362"/>
      <c r="P2" s="362"/>
      <c r="Q2" s="362"/>
      <c r="R2" s="362"/>
      <c r="S2" s="362"/>
      <c r="T2" s="50"/>
      <c r="U2" s="70">
        <v>23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362"/>
      <c r="C3" s="362"/>
      <c r="D3" s="362"/>
      <c r="E3" s="71"/>
      <c r="F3" s="362"/>
      <c r="G3" s="362"/>
      <c r="H3" s="362"/>
      <c r="I3" s="362"/>
      <c r="J3" s="72"/>
      <c r="K3" s="362"/>
      <c r="L3" s="362"/>
      <c r="M3" s="362"/>
      <c r="N3" s="362"/>
      <c r="O3" s="362"/>
      <c r="P3" s="362"/>
      <c r="Q3" s="362"/>
      <c r="R3" s="362"/>
      <c r="S3" s="362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- 04'!$E$4</f>
        <v>42826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98" t="s">
        <v>19</v>
      </c>
      <c r="B5" s="498" t="s">
        <v>20</v>
      </c>
      <c r="C5" s="425" t="s">
        <v>1</v>
      </c>
      <c r="D5" s="425" t="s">
        <v>2</v>
      </c>
      <c r="E5" s="418" t="s">
        <v>56</v>
      </c>
      <c r="F5" s="501" t="s">
        <v>26</v>
      </c>
      <c r="G5" s="502"/>
      <c r="H5" s="502"/>
      <c r="I5" s="502"/>
      <c r="J5" s="502"/>
      <c r="K5" s="503"/>
      <c r="L5" s="500" t="s">
        <v>57</v>
      </c>
      <c r="M5" s="500" t="s">
        <v>5</v>
      </c>
      <c r="N5" s="425" t="s">
        <v>6</v>
      </c>
      <c r="O5" s="425"/>
      <c r="P5" s="425"/>
      <c r="Q5" s="500" t="s">
        <v>7</v>
      </c>
      <c r="R5" s="500" t="s">
        <v>8</v>
      </c>
      <c r="S5" s="500" t="s">
        <v>9</v>
      </c>
      <c r="T5" s="419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99"/>
      <c r="B6" s="499"/>
      <c r="C6" s="425"/>
      <c r="D6" s="425"/>
      <c r="E6" s="418"/>
      <c r="F6" s="501" t="s">
        <v>59</v>
      </c>
      <c r="G6" s="503"/>
      <c r="H6" s="501" t="s">
        <v>189</v>
      </c>
      <c r="I6" s="502"/>
      <c r="J6" s="519" t="s">
        <v>27</v>
      </c>
      <c r="K6" s="500" t="s">
        <v>4</v>
      </c>
      <c r="L6" s="504"/>
      <c r="M6" s="504"/>
      <c r="N6" s="506" t="s">
        <v>12</v>
      </c>
      <c r="O6" s="500" t="s">
        <v>13</v>
      </c>
      <c r="P6" s="500" t="s">
        <v>34</v>
      </c>
      <c r="Q6" s="504"/>
      <c r="R6" s="504"/>
      <c r="S6" s="504"/>
      <c r="T6" s="420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99"/>
      <c r="B7" s="499"/>
      <c r="C7" s="500"/>
      <c r="D7" s="500"/>
      <c r="E7" s="418"/>
      <c r="F7" s="360" t="s">
        <v>40</v>
      </c>
      <c r="G7" s="355" t="s">
        <v>18</v>
      </c>
      <c r="H7" s="360" t="s">
        <v>40</v>
      </c>
      <c r="I7" s="359" t="s">
        <v>18</v>
      </c>
      <c r="J7" s="520"/>
      <c r="K7" s="504"/>
      <c r="L7" s="505"/>
      <c r="M7" s="505"/>
      <c r="N7" s="507"/>
      <c r="O7" s="504"/>
      <c r="P7" s="504"/>
      <c r="Q7" s="504"/>
      <c r="R7" s="504"/>
      <c r="S7" s="504"/>
      <c r="T7" s="420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- 04'!$B$8:$AS$67,36,0)</f>
        <v>23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23</v>
      </c>
      <c r="K10" s="36">
        <f>G10+I10</f>
        <v>4336000</v>
      </c>
      <c r="L10" s="80">
        <f>+F10*15000</f>
        <v>345000</v>
      </c>
      <c r="M10" s="37">
        <f>K10+L10</f>
        <v>4681000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4225720</v>
      </c>
      <c r="R10" s="36">
        <f>VLOOKUP(B10,DS,23,0)</f>
        <v>0</v>
      </c>
      <c r="S10" s="38">
        <f>Q10-R10</f>
        <v>4225720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- 04'!$B$8:$AS$67,36,0)</f>
        <v>23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23</v>
      </c>
      <c r="K11" s="36">
        <f>G11+I11</f>
        <v>4056000</v>
      </c>
      <c r="L11" s="80">
        <f>+F11*15000</f>
        <v>345000</v>
      </c>
      <c r="M11" s="37">
        <f>K11+L11</f>
        <v>4401000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3975120</v>
      </c>
      <c r="R11" s="36">
        <f>VLOOKUP(B11,DS,23,0)</f>
        <v>0</v>
      </c>
      <c r="S11" s="38">
        <f>Q11-R11</f>
        <v>3975120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- 04'!$B$8:$AS$67,36,0)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- 04'!$B$8:$AS$67,36,0)</f>
        <v>23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23</v>
      </c>
      <c r="K13" s="36">
        <f t="shared" si="5"/>
        <v>3552000</v>
      </c>
      <c r="L13" s="80">
        <f t="shared" ref="L13:L30" si="6">+F13*15000</f>
        <v>345000</v>
      </c>
      <c r="M13" s="37">
        <f t="shared" ref="M13:M30" si="7">K13+L13</f>
        <v>3897000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3524040</v>
      </c>
      <c r="R13" s="36">
        <f t="shared" ref="R13:R30" si="12">VLOOKUP(B13,DS,23,0)</f>
        <v>0</v>
      </c>
      <c r="S13" s="38">
        <f t="shared" ref="S13:S30" si="13">Q13-R13</f>
        <v>3524040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- 04'!$B$8:$AS$67,36,0)</f>
        <v>23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23</v>
      </c>
      <c r="K14" s="36">
        <f t="shared" si="5"/>
        <v>3552000</v>
      </c>
      <c r="L14" s="80">
        <f t="shared" si="6"/>
        <v>345000</v>
      </c>
      <c r="M14" s="37">
        <f t="shared" si="7"/>
        <v>3897000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3524040</v>
      </c>
      <c r="R14" s="36">
        <f t="shared" si="12"/>
        <v>0</v>
      </c>
      <c r="S14" s="38">
        <f t="shared" si="13"/>
        <v>3524040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- 04'!$B$8:$AS$67,36,0)</f>
        <v>23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23</v>
      </c>
      <c r="K15" s="36">
        <f t="shared" si="5"/>
        <v>3552000</v>
      </c>
      <c r="L15" s="80">
        <f t="shared" si="6"/>
        <v>345000</v>
      </c>
      <c r="M15" s="37">
        <f t="shared" si="7"/>
        <v>3897000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3524040</v>
      </c>
      <c r="R15" s="36">
        <f t="shared" si="12"/>
        <v>0</v>
      </c>
      <c r="S15" s="38">
        <f t="shared" si="13"/>
        <v>3524040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- 04'!$B$8:$AS$67,36,0)</f>
        <v>23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23</v>
      </c>
      <c r="K16" s="36">
        <f t="shared" si="5"/>
        <v>3552000</v>
      </c>
      <c r="L16" s="80">
        <f t="shared" si="6"/>
        <v>345000</v>
      </c>
      <c r="M16" s="37">
        <f t="shared" si="7"/>
        <v>3897000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3524040</v>
      </c>
      <c r="R16" s="36">
        <f t="shared" si="12"/>
        <v>0</v>
      </c>
      <c r="S16" s="38">
        <f t="shared" si="13"/>
        <v>3524040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- 04'!$B$8:$AS$67,36,0)</f>
        <v>23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23</v>
      </c>
      <c r="K17" s="36">
        <f t="shared" si="5"/>
        <v>3552000</v>
      </c>
      <c r="L17" s="80">
        <f t="shared" si="6"/>
        <v>345000</v>
      </c>
      <c r="M17" s="37">
        <f t="shared" si="7"/>
        <v>3897000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3524040</v>
      </c>
      <c r="R17" s="36">
        <f t="shared" si="12"/>
        <v>0</v>
      </c>
      <c r="S17" s="38">
        <f t="shared" si="13"/>
        <v>3524040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- 04'!$B$8:$AS$67,36,0)</f>
        <v>23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23</v>
      </c>
      <c r="K18" s="36">
        <f t="shared" si="5"/>
        <v>3552000</v>
      </c>
      <c r="L18" s="80">
        <f t="shared" si="6"/>
        <v>345000</v>
      </c>
      <c r="M18" s="37">
        <f t="shared" si="7"/>
        <v>3897000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3524040</v>
      </c>
      <c r="R18" s="36">
        <f t="shared" si="12"/>
        <v>0</v>
      </c>
      <c r="S18" s="38">
        <f t="shared" si="13"/>
        <v>3524040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- 04'!$B$8:$AS$67,36,0)</f>
        <v>23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23</v>
      </c>
      <c r="K19" s="309">
        <f t="shared" si="5"/>
        <v>3552000</v>
      </c>
      <c r="L19" s="305">
        <f t="shared" si="6"/>
        <v>345000</v>
      </c>
      <c r="M19" s="310">
        <f t="shared" si="7"/>
        <v>3897000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3524040</v>
      </c>
      <c r="R19" s="309">
        <f t="shared" si="12"/>
        <v>0</v>
      </c>
      <c r="S19" s="311">
        <f t="shared" si="13"/>
        <v>3524040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- 04'!$B$8:$AS$67,36,0)</f>
        <v>23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23</v>
      </c>
      <c r="K20" s="36">
        <f t="shared" si="5"/>
        <v>3552000</v>
      </c>
      <c r="L20" s="80">
        <f t="shared" si="6"/>
        <v>345000</v>
      </c>
      <c r="M20" s="37">
        <f t="shared" si="7"/>
        <v>3897000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3524040</v>
      </c>
      <c r="R20" s="36">
        <f t="shared" si="12"/>
        <v>0</v>
      </c>
      <c r="S20" s="38">
        <f t="shared" si="13"/>
        <v>3524040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- 04'!$B$8:$AS$67,36,0)</f>
        <v>23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23</v>
      </c>
      <c r="K21" s="36">
        <f t="shared" si="5"/>
        <v>3552000</v>
      </c>
      <c r="L21" s="80">
        <f t="shared" si="6"/>
        <v>345000</v>
      </c>
      <c r="M21" s="37">
        <f t="shared" si="7"/>
        <v>3897000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3524040</v>
      </c>
      <c r="R21" s="36">
        <f t="shared" si="12"/>
        <v>0</v>
      </c>
      <c r="S21" s="38">
        <f t="shared" si="13"/>
        <v>3524040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si="1"/>
        <v>Công nhân</v>
      </c>
      <c r="E22" s="80">
        <f t="shared" si="2"/>
        <v>3552000</v>
      </c>
      <c r="F22" s="82">
        <f>VLOOKUP(B22,'CC - 04'!$B$8:$AS$67,36,0)</f>
        <v>19</v>
      </c>
      <c r="G22" s="198">
        <f t="shared" si="3"/>
        <v>2934261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19</v>
      </c>
      <c r="K22" s="36">
        <f t="shared" si="5"/>
        <v>2934261</v>
      </c>
      <c r="L22" s="80">
        <f t="shared" si="6"/>
        <v>285000</v>
      </c>
      <c r="M22" s="37">
        <f t="shared" si="7"/>
        <v>3219261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2846301</v>
      </c>
      <c r="R22" s="36">
        <f t="shared" si="12"/>
        <v>0</v>
      </c>
      <c r="S22" s="38">
        <f t="shared" si="13"/>
        <v>2846301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- 04'!$B$8:$AS$67,36,0)</f>
        <v>23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23</v>
      </c>
      <c r="K23" s="36">
        <f t="shared" si="5"/>
        <v>3552000</v>
      </c>
      <c r="L23" s="80">
        <f t="shared" si="6"/>
        <v>345000</v>
      </c>
      <c r="M23" s="37">
        <f t="shared" si="7"/>
        <v>3897000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3524040</v>
      </c>
      <c r="R23" s="36">
        <f t="shared" si="12"/>
        <v>0</v>
      </c>
      <c r="S23" s="38">
        <f t="shared" si="13"/>
        <v>3524040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211</v>
      </c>
      <c r="C24" s="79" t="str">
        <f t="shared" ref="C24" si="15">VLOOKUP(B24,DS,2,0)</f>
        <v>Võ Văn Hữu Phước</v>
      </c>
      <c r="D24" s="103" t="str">
        <f t="shared" ref="D24" si="16">VLOOKUP(B24,DS,3,0)</f>
        <v>Công nhân</v>
      </c>
      <c r="E24" s="80">
        <f t="shared" ref="E24" si="17">VLOOKUP(B24,DS,4,0)</f>
        <v>3552000</v>
      </c>
      <c r="F24" s="82">
        <f>VLOOKUP(B24,'CC - 04'!$B$8:$AS$67,36,0)</f>
        <v>23</v>
      </c>
      <c r="G24" s="198">
        <f t="shared" ref="G24" si="18">ROUND(E24/$U$2*F24,0)</f>
        <v>3552000</v>
      </c>
      <c r="H24" s="82">
        <f>(VLOOKUP(B24,'CC - 04'!$B$8:$AS$70,37,0)+VLOOKUP(B24,'CC - 04'!$B$8:$AS$70,38,0))</f>
        <v>0</v>
      </c>
      <c r="I24" s="198">
        <f t="shared" ref="I24" si="19">ROUND(E24/$U$2*H24,0)</f>
        <v>0</v>
      </c>
      <c r="J24" s="199">
        <f t="shared" ref="J24" si="20">F24+H24</f>
        <v>23</v>
      </c>
      <c r="K24" s="36">
        <f t="shared" ref="K24" si="21">G24+I24</f>
        <v>3552000</v>
      </c>
      <c r="L24" s="80">
        <f t="shared" ref="L24" si="22">+F24*15000</f>
        <v>345000</v>
      </c>
      <c r="M24" s="37">
        <f t="shared" ref="M24" si="23">K24+L24</f>
        <v>3897000</v>
      </c>
      <c r="N24" s="37">
        <v>284160</v>
      </c>
      <c r="O24" s="37">
        <v>53280</v>
      </c>
      <c r="P24" s="37">
        <v>35520</v>
      </c>
      <c r="Q24" s="36">
        <f t="shared" ref="Q24:Q25" si="24">M24-SUM(N24:P24)</f>
        <v>3524040</v>
      </c>
      <c r="R24" s="36">
        <f t="shared" ref="R24" si="25">VLOOKUP(B24,DS,23,0)</f>
        <v>0</v>
      </c>
      <c r="S24" s="38">
        <f t="shared" ref="S24" si="26">Q24-R24</f>
        <v>3524040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210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- 04'!$B$8:$AS$67,36,0)</f>
        <v>23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23</v>
      </c>
      <c r="K25" s="36">
        <f t="shared" si="5"/>
        <v>3552000</v>
      </c>
      <c r="L25" s="80">
        <f t="shared" si="6"/>
        <v>345000</v>
      </c>
      <c r="M25" s="37">
        <f t="shared" si="7"/>
        <v>3897000</v>
      </c>
      <c r="N25" s="37">
        <v>284160</v>
      </c>
      <c r="O25" s="37">
        <v>53280</v>
      </c>
      <c r="P25" s="37">
        <v>35520</v>
      </c>
      <c r="Q25" s="36">
        <f t="shared" si="24"/>
        <v>3524040</v>
      </c>
      <c r="R25" s="36">
        <f t="shared" si="12"/>
        <v>0</v>
      </c>
      <c r="S25" s="38">
        <f t="shared" si="13"/>
        <v>3524040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563" t="s">
        <v>188</v>
      </c>
      <c r="C26" s="564"/>
      <c r="D26" s="274"/>
      <c r="E26" s="274"/>
      <c r="F26" s="82">
        <f>VLOOKUP(B26,'CC - 04'!$B$8:$AS$67,36,0)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113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- 04'!$B$8:$AS$67,36,0)</f>
        <v>19</v>
      </c>
      <c r="G27" s="198">
        <f t="shared" si="3"/>
        <v>3119304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19</v>
      </c>
      <c r="K27" s="36">
        <f t="shared" si="5"/>
        <v>3119304</v>
      </c>
      <c r="L27" s="80">
        <f t="shared" si="6"/>
        <v>285000</v>
      </c>
      <c r="M27" s="37">
        <f t="shared" si="7"/>
        <v>3404304</v>
      </c>
      <c r="N27" s="37">
        <f t="shared" ref="N27:N30" si="27">IF(VLOOKUP(B27,DS,10,0)="x",E27*$N$4,0)</f>
        <v>302080</v>
      </c>
      <c r="O27" s="37">
        <f t="shared" ref="O27:O30" si="28">IF(VLOOKUP(B27,DS,10,0)="x",E27*$O$4,0)</f>
        <v>56640</v>
      </c>
      <c r="P27" s="37">
        <f t="shared" ref="P27:P30" si="29">IF(VLOOKUP(B27,DS,10,0)="x",E27*$P$4,0)</f>
        <v>37760</v>
      </c>
      <c r="Q27" s="36">
        <f t="shared" si="11"/>
        <v>3007824</v>
      </c>
      <c r="R27" s="36">
        <f t="shared" si="12"/>
        <v>0</v>
      </c>
      <c r="S27" s="38">
        <f t="shared" si="13"/>
        <v>3007824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118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- 04'!$B$8:$AS$67,36,0)</f>
        <v>19</v>
      </c>
      <c r="G28" s="198">
        <f t="shared" si="3"/>
        <v>2934261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19</v>
      </c>
      <c r="K28" s="36">
        <f t="shared" si="5"/>
        <v>2934261</v>
      </c>
      <c r="L28" s="80">
        <f t="shared" si="6"/>
        <v>285000</v>
      </c>
      <c r="M28" s="37">
        <f t="shared" si="7"/>
        <v>3219261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ref="Q28:Q30" si="30">M28-SUM(N28:P28)</f>
        <v>2846301</v>
      </c>
      <c r="R28" s="36">
        <f t="shared" si="12"/>
        <v>0</v>
      </c>
      <c r="S28" s="38">
        <f t="shared" si="13"/>
        <v>2846301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119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- 04'!$B$8:$AS$67,36,0)</f>
        <v>19</v>
      </c>
      <c r="G29" s="198">
        <f t="shared" si="3"/>
        <v>2934261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19</v>
      </c>
      <c r="K29" s="36">
        <f t="shared" si="5"/>
        <v>2934261</v>
      </c>
      <c r="L29" s="80">
        <f t="shared" si="6"/>
        <v>285000</v>
      </c>
      <c r="M29" s="37">
        <f t="shared" si="7"/>
        <v>3219261</v>
      </c>
      <c r="N29" s="37">
        <f t="shared" si="27"/>
        <v>284160</v>
      </c>
      <c r="O29" s="37">
        <f t="shared" si="28"/>
        <v>53280</v>
      </c>
      <c r="P29" s="37">
        <f t="shared" si="29"/>
        <v>35520</v>
      </c>
      <c r="Q29" s="36">
        <f t="shared" si="30"/>
        <v>2846301</v>
      </c>
      <c r="R29" s="36">
        <f t="shared" si="12"/>
        <v>0</v>
      </c>
      <c r="S29" s="38">
        <f t="shared" si="13"/>
        <v>2846301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122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- 04'!$B$8:$AS$67,36,0)</f>
        <v>19</v>
      </c>
      <c r="G30" s="198">
        <f t="shared" si="3"/>
        <v>2934261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19</v>
      </c>
      <c r="K30" s="36">
        <f t="shared" si="5"/>
        <v>2934261</v>
      </c>
      <c r="L30" s="80">
        <f t="shared" si="6"/>
        <v>285000</v>
      </c>
      <c r="M30" s="37">
        <f t="shared" si="7"/>
        <v>3219261</v>
      </c>
      <c r="N30" s="37">
        <f t="shared" si="27"/>
        <v>284160</v>
      </c>
      <c r="O30" s="37">
        <f t="shared" si="28"/>
        <v>53280</v>
      </c>
      <c r="P30" s="37">
        <f t="shared" si="29"/>
        <v>35520</v>
      </c>
      <c r="Q30" s="36">
        <f t="shared" si="30"/>
        <v>2846301</v>
      </c>
      <c r="R30" s="36">
        <f t="shared" si="12"/>
        <v>0</v>
      </c>
      <c r="S30" s="38">
        <f t="shared" si="13"/>
        <v>2846301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513" t="s">
        <v>25</v>
      </c>
      <c r="B31" s="513"/>
      <c r="C31" s="513"/>
      <c r="D31" s="513"/>
      <c r="E31" s="125">
        <f>SUM(E10:E30)</f>
        <v>69000000</v>
      </c>
      <c r="F31" s="125"/>
      <c r="G31" s="125">
        <f>SUM(G10:G30)</f>
        <v>65872348</v>
      </c>
      <c r="H31" s="125"/>
      <c r="I31" s="125">
        <f>SUM(I10:I30)</f>
        <v>0</v>
      </c>
      <c r="J31" s="25"/>
      <c r="K31" s="25">
        <f>SUM(K10:K30)</f>
        <v>65872348</v>
      </c>
      <c r="L31" s="25">
        <f t="shared" ref="L31:S31" si="31">SUM(L10:L30)</f>
        <v>6255000</v>
      </c>
      <c r="M31" s="25">
        <f t="shared" si="31"/>
        <v>72127348</v>
      </c>
      <c r="N31" s="25">
        <f t="shared" si="31"/>
        <v>5520000</v>
      </c>
      <c r="O31" s="25">
        <f t="shared" si="31"/>
        <v>1035000</v>
      </c>
      <c r="P31" s="25">
        <f t="shared" si="31"/>
        <v>690000</v>
      </c>
      <c r="Q31" s="25">
        <f t="shared" si="31"/>
        <v>64882348</v>
      </c>
      <c r="R31" s="25">
        <f t="shared" si="31"/>
        <v>0</v>
      </c>
      <c r="S31" s="25">
        <f t="shared" si="31"/>
        <v>64882348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30   tháng   04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361"/>
      <c r="C44" s="361"/>
      <c r="D44" s="514" t="str">
        <f>D1</f>
        <v>BẢNG THANH TOÁN LƯƠNG THÁNG 04 / 2017</v>
      </c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5"/>
      <c r="R44" s="516" t="s">
        <v>112</v>
      </c>
      <c r="S44" s="517"/>
      <c r="T44" s="518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361"/>
      <c r="C45" s="361"/>
      <c r="D45" s="361"/>
      <c r="E45" s="181"/>
      <c r="F45" s="361"/>
      <c r="G45" s="361"/>
      <c r="H45" s="361"/>
      <c r="I45" s="361"/>
      <c r="J45" s="182"/>
      <c r="K45" s="361"/>
      <c r="L45" s="361"/>
      <c r="M45" s="361"/>
      <c r="N45" s="361"/>
      <c r="O45" s="361"/>
      <c r="P45" s="361"/>
      <c r="Q45" s="361"/>
      <c r="R45" s="361"/>
      <c r="S45" s="361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361"/>
      <c r="C46" s="361"/>
      <c r="D46" s="361"/>
      <c r="E46" s="181"/>
      <c r="F46" s="361"/>
      <c r="G46" s="361"/>
      <c r="H46" s="361"/>
      <c r="I46" s="361"/>
      <c r="J46" s="182"/>
      <c r="K46" s="361"/>
      <c r="L46" s="361"/>
      <c r="M46" s="361"/>
      <c r="N46" s="361"/>
      <c r="O46" s="361"/>
      <c r="P46" s="361"/>
      <c r="Q46" s="361"/>
      <c r="R46" s="361"/>
      <c r="S46" s="361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508" t="s">
        <v>19</v>
      </c>
      <c r="B48" s="508" t="s">
        <v>20</v>
      </c>
      <c r="C48" s="510" t="s">
        <v>1</v>
      </c>
      <c r="D48" s="510" t="s">
        <v>2</v>
      </c>
      <c r="E48" s="512" t="s">
        <v>56</v>
      </c>
      <c r="F48" s="526" t="s">
        <v>26</v>
      </c>
      <c r="G48" s="532"/>
      <c r="H48" s="532"/>
      <c r="I48" s="532"/>
      <c r="J48" s="532"/>
      <c r="K48" s="527"/>
      <c r="L48" s="500" t="s">
        <v>57</v>
      </c>
      <c r="M48" s="500" t="s">
        <v>5</v>
      </c>
      <c r="N48" s="510" t="s">
        <v>6</v>
      </c>
      <c r="O48" s="510"/>
      <c r="P48" s="510"/>
      <c r="Q48" s="511" t="s">
        <v>7</v>
      </c>
      <c r="R48" s="511" t="s">
        <v>8</v>
      </c>
      <c r="S48" s="511" t="s">
        <v>9</v>
      </c>
      <c r="T48" s="524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509"/>
      <c r="B49" s="509"/>
      <c r="C49" s="510"/>
      <c r="D49" s="510"/>
      <c r="E49" s="512"/>
      <c r="F49" s="526" t="s">
        <v>59</v>
      </c>
      <c r="G49" s="527"/>
      <c r="H49" s="501" t="s">
        <v>189</v>
      </c>
      <c r="I49" s="502"/>
      <c r="J49" s="528" t="s">
        <v>27</v>
      </c>
      <c r="K49" s="511" t="s">
        <v>4</v>
      </c>
      <c r="L49" s="504"/>
      <c r="M49" s="504"/>
      <c r="N49" s="530" t="s">
        <v>12</v>
      </c>
      <c r="O49" s="511" t="s">
        <v>13</v>
      </c>
      <c r="P49" s="511" t="s">
        <v>34</v>
      </c>
      <c r="Q49" s="523"/>
      <c r="R49" s="523"/>
      <c r="S49" s="523"/>
      <c r="T49" s="525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509"/>
      <c r="B50" s="509"/>
      <c r="C50" s="511"/>
      <c r="D50" s="511"/>
      <c r="E50" s="512"/>
      <c r="F50" s="358" t="s">
        <v>40</v>
      </c>
      <c r="G50" s="359" t="s">
        <v>18</v>
      </c>
      <c r="H50" s="360" t="s">
        <v>40</v>
      </c>
      <c r="I50" s="359" t="s">
        <v>18</v>
      </c>
      <c r="J50" s="529"/>
      <c r="K50" s="523"/>
      <c r="L50" s="505"/>
      <c r="M50" s="505"/>
      <c r="N50" s="531"/>
      <c r="O50" s="523"/>
      <c r="P50" s="523"/>
      <c r="Q50" s="523"/>
      <c r="R50" s="523"/>
      <c r="S50" s="523"/>
      <c r="T50" s="525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32">VLOOKUP(B52,DS,2,0)</f>
        <v>Nguyễn Thiện Duy</v>
      </c>
      <c r="D52" s="196" t="str">
        <f t="shared" ref="D52:D60" si="33">VLOOKUP(B52,DS,3,0)</f>
        <v>Giám đốc</v>
      </c>
      <c r="E52" s="197">
        <f>VLOOKUP(B52,TH!$B$11:$E$56,4,0)</f>
        <v>10851000</v>
      </c>
      <c r="F52" s="82">
        <f>VLOOKUP($B52,'CC - 04'!$B$9:$AR$95,36,0)</f>
        <v>19</v>
      </c>
      <c r="G52" s="198">
        <f t="shared" ref="G52:G60" si="34">ROUND(E52/$U$2*F52,0)</f>
        <v>8963870</v>
      </c>
      <c r="H52" s="82">
        <f>(VLOOKUP($B52,'CC - 02'!$B$9:$AN$97,37,0)+(VLOOKUP($B52,'CC - 02'!$B$9:$AN$97,38,0)))</f>
        <v>0</v>
      </c>
      <c r="I52" s="198">
        <f t="shared" ref="I52:I60" si="35">ROUND(E52/$U$2*H52,0)</f>
        <v>0</v>
      </c>
      <c r="J52" s="199">
        <f t="shared" ref="J52:K60" si="36">F52+H52</f>
        <v>19</v>
      </c>
      <c r="K52" s="36">
        <f t="shared" si="36"/>
        <v>8963870</v>
      </c>
      <c r="L52" s="80">
        <f>+F52*15000</f>
        <v>285000</v>
      </c>
      <c r="M52" s="200">
        <f t="shared" ref="M52:M60" si="37">K52+SUM(L52:L52)</f>
        <v>9248870</v>
      </c>
      <c r="N52" s="37">
        <f t="shared" ref="N52:N58" si="38">IF(VLOOKUP(B52,DS,10,0)="x",E52*$N$4,0)</f>
        <v>868080</v>
      </c>
      <c r="O52" s="37">
        <f t="shared" ref="O52:O58" si="39">IF(VLOOKUP(B52,DS,10,0)="x",E52*$O$4,0)</f>
        <v>162765</v>
      </c>
      <c r="P52" s="37">
        <f t="shared" ref="P52:P58" si="40">IF(VLOOKUP(B52,DS,10,0)="x",E52*$P$4,0)</f>
        <v>108510</v>
      </c>
      <c r="Q52" s="198">
        <f t="shared" ref="Q52:Q58" si="41">M52-SUM(N52:P52)</f>
        <v>8109515</v>
      </c>
      <c r="R52" s="198">
        <f t="shared" ref="R52:R60" si="42">VLOOKUP(B52,DS,23,0)</f>
        <v>0</v>
      </c>
      <c r="S52" s="201">
        <f>Q52-R52</f>
        <v>8109515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32"/>
        <v>Nguyễn Văn Sẽ</v>
      </c>
      <c r="D53" s="196" t="str">
        <f t="shared" si="33"/>
        <v>Kỹ Thuật</v>
      </c>
      <c r="E53" s="197">
        <f>VLOOKUP(B53,TH!$B$11:$E$56,4,0)</f>
        <v>4895000</v>
      </c>
      <c r="F53" s="82">
        <f>VLOOKUP($B53,'CC - 04'!$B$9:$AR$95,36,0)</f>
        <v>23</v>
      </c>
      <c r="G53" s="198">
        <f t="shared" si="34"/>
        <v>4895000</v>
      </c>
      <c r="H53" s="82">
        <f>(VLOOKUP($B53,'CC - 02'!$B$9:$AN$97,37,0)+(VLOOKUP($B53,'CC - 02'!$B$9:$AN$97,38,0)))</f>
        <v>0</v>
      </c>
      <c r="I53" s="198">
        <f t="shared" si="35"/>
        <v>0</v>
      </c>
      <c r="J53" s="199">
        <f t="shared" si="36"/>
        <v>23</v>
      </c>
      <c r="K53" s="36">
        <f t="shared" si="36"/>
        <v>4895000</v>
      </c>
      <c r="L53" s="80">
        <f t="shared" ref="L53:L60" si="43">+F53*15000</f>
        <v>345000</v>
      </c>
      <c r="M53" s="200">
        <f t="shared" si="37"/>
        <v>5240000</v>
      </c>
      <c r="N53" s="37">
        <f t="shared" si="38"/>
        <v>391600</v>
      </c>
      <c r="O53" s="37">
        <f t="shared" si="39"/>
        <v>73425</v>
      </c>
      <c r="P53" s="37">
        <f t="shared" si="40"/>
        <v>48950</v>
      </c>
      <c r="Q53" s="198">
        <f t="shared" si="41"/>
        <v>4726025</v>
      </c>
      <c r="R53" s="198">
        <f t="shared" si="42"/>
        <v>0</v>
      </c>
      <c r="S53" s="201">
        <f t="shared" ref="S53:S60" si="44">Q53-R53</f>
        <v>4726025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32"/>
        <v>Võ Uyên Phương</v>
      </c>
      <c r="D54" s="196" t="str">
        <f t="shared" si="33"/>
        <v>Kế toán</v>
      </c>
      <c r="E54" s="197">
        <f>VLOOKUP(B54,TH!$B$11:$E$56,4,0)</f>
        <v>4895000</v>
      </c>
      <c r="F54" s="82">
        <f>VLOOKUP($B54,'CC - 04'!$B$9:$AR$95,36,0)</f>
        <v>23</v>
      </c>
      <c r="G54" s="198">
        <f t="shared" si="34"/>
        <v>4895000</v>
      </c>
      <c r="H54" s="82">
        <f>(VLOOKUP($B54,'CC - 02'!$B$9:$AN$97,37,0)+(VLOOKUP($B54,'CC - 02'!$B$9:$AN$97,38,0)))</f>
        <v>0</v>
      </c>
      <c r="I54" s="198">
        <f t="shared" si="35"/>
        <v>0</v>
      </c>
      <c r="J54" s="199">
        <f t="shared" si="36"/>
        <v>23</v>
      </c>
      <c r="K54" s="36">
        <f t="shared" si="36"/>
        <v>4895000</v>
      </c>
      <c r="L54" s="80">
        <f t="shared" si="43"/>
        <v>345000</v>
      </c>
      <c r="M54" s="200">
        <f t="shared" si="37"/>
        <v>5240000</v>
      </c>
      <c r="N54" s="37">
        <f t="shared" si="38"/>
        <v>391600</v>
      </c>
      <c r="O54" s="37">
        <f t="shared" si="39"/>
        <v>73425</v>
      </c>
      <c r="P54" s="37">
        <f t="shared" si="40"/>
        <v>48950</v>
      </c>
      <c r="Q54" s="198">
        <f t="shared" si="41"/>
        <v>4726025</v>
      </c>
      <c r="R54" s="198">
        <f t="shared" si="42"/>
        <v>0</v>
      </c>
      <c r="S54" s="201">
        <f t="shared" si="44"/>
        <v>4726025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32"/>
        <v>Lê Nguyễn Huy Cường</v>
      </c>
      <c r="D55" s="196" t="str">
        <f t="shared" si="33"/>
        <v>XNK</v>
      </c>
      <c r="E55" s="197">
        <f>VLOOKUP(B55,TH!$B$11:$E$56,4,0)</f>
        <v>4336000</v>
      </c>
      <c r="F55" s="82">
        <f>VLOOKUP($B55,'CC - 04'!$B$9:$AR$95,36,0)</f>
        <v>23</v>
      </c>
      <c r="G55" s="198">
        <f t="shared" si="34"/>
        <v>4336000</v>
      </c>
      <c r="H55" s="82">
        <f>(VLOOKUP($B55,'CC - 02'!$B$9:$AN$97,37,0)+(VLOOKUP($B55,'CC - 02'!$B$9:$AN$97,38,0)))</f>
        <v>0</v>
      </c>
      <c r="I55" s="198">
        <f t="shared" si="35"/>
        <v>0</v>
      </c>
      <c r="J55" s="199">
        <f t="shared" si="36"/>
        <v>23</v>
      </c>
      <c r="K55" s="36">
        <f t="shared" si="36"/>
        <v>4336000</v>
      </c>
      <c r="L55" s="80">
        <f t="shared" si="43"/>
        <v>345000</v>
      </c>
      <c r="M55" s="200">
        <f t="shared" si="37"/>
        <v>4681000</v>
      </c>
      <c r="N55" s="37">
        <f t="shared" si="38"/>
        <v>346880</v>
      </c>
      <c r="O55" s="37">
        <f t="shared" si="39"/>
        <v>65040</v>
      </c>
      <c r="P55" s="37">
        <f t="shared" si="40"/>
        <v>43360</v>
      </c>
      <c r="Q55" s="198">
        <f t="shared" si="41"/>
        <v>4225720</v>
      </c>
      <c r="R55" s="198">
        <f t="shared" si="42"/>
        <v>0</v>
      </c>
      <c r="S55" s="201">
        <f t="shared" si="44"/>
        <v>4225720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32"/>
        <v>Nguyễn Văn Bé Tư</v>
      </c>
      <c r="D56" s="196" t="str">
        <f t="shared" si="33"/>
        <v>Tài xế</v>
      </c>
      <c r="E56" s="197">
        <f>VLOOKUP(B56,TH!$B$11:$E$56,4,0)</f>
        <v>3776000</v>
      </c>
      <c r="F56" s="82">
        <f>VLOOKUP($B56,'CC - 04'!$B$9:$AR$95,36,0)</f>
        <v>23</v>
      </c>
      <c r="G56" s="198">
        <f t="shared" si="34"/>
        <v>3776000</v>
      </c>
      <c r="H56" s="82">
        <f>(VLOOKUP($B56,'CC - 02'!$B$9:$AN$97,37,0)+(VLOOKUP($B56,'CC - 02'!$B$9:$AN$97,38,0)))</f>
        <v>0</v>
      </c>
      <c r="I56" s="198">
        <f t="shared" si="35"/>
        <v>0</v>
      </c>
      <c r="J56" s="199">
        <f t="shared" si="36"/>
        <v>23</v>
      </c>
      <c r="K56" s="36">
        <f t="shared" si="36"/>
        <v>3776000</v>
      </c>
      <c r="L56" s="80">
        <f t="shared" si="43"/>
        <v>345000</v>
      </c>
      <c r="M56" s="200">
        <f t="shared" si="37"/>
        <v>4121000</v>
      </c>
      <c r="N56" s="37">
        <f t="shared" si="38"/>
        <v>302080</v>
      </c>
      <c r="O56" s="37">
        <f t="shared" si="39"/>
        <v>56640</v>
      </c>
      <c r="P56" s="37">
        <f t="shared" si="40"/>
        <v>37760</v>
      </c>
      <c r="Q56" s="198">
        <f t="shared" si="41"/>
        <v>3724520</v>
      </c>
      <c r="R56" s="198">
        <f t="shared" si="42"/>
        <v>0</v>
      </c>
      <c r="S56" s="201">
        <f t="shared" si="44"/>
        <v>3724520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32"/>
        <v>Dương Thanh Tuấn</v>
      </c>
      <c r="D57" s="196" t="str">
        <f t="shared" si="33"/>
        <v>Nhân sự</v>
      </c>
      <c r="E57" s="197">
        <f>VLOOKUP(B57,TH!$B$11:$E$56,4,0)</f>
        <v>4056000</v>
      </c>
      <c r="F57" s="82">
        <f>VLOOKUP($B57,'CC - 04'!$B$9:$AR$95,36,0)</f>
        <v>23</v>
      </c>
      <c r="G57" s="198">
        <f t="shared" si="34"/>
        <v>4056000</v>
      </c>
      <c r="H57" s="82">
        <f>(VLOOKUP($B57,'CC - 02'!$B$9:$AN$97,37,0)+(VLOOKUP($B57,'CC - 02'!$B$9:$AN$97,38,0)))</f>
        <v>0</v>
      </c>
      <c r="I57" s="198">
        <f t="shared" si="35"/>
        <v>0</v>
      </c>
      <c r="J57" s="199">
        <f t="shared" si="36"/>
        <v>23</v>
      </c>
      <c r="K57" s="36">
        <f t="shared" si="36"/>
        <v>4056000</v>
      </c>
      <c r="L57" s="80">
        <f t="shared" si="43"/>
        <v>345000</v>
      </c>
      <c r="M57" s="200">
        <f t="shared" si="37"/>
        <v>4401000</v>
      </c>
      <c r="N57" s="37">
        <f t="shared" si="38"/>
        <v>324480</v>
      </c>
      <c r="O57" s="37">
        <f t="shared" si="39"/>
        <v>60840</v>
      </c>
      <c r="P57" s="37">
        <f t="shared" si="40"/>
        <v>40560</v>
      </c>
      <c r="Q57" s="198">
        <f t="shared" si="41"/>
        <v>3975120</v>
      </c>
      <c r="R57" s="198">
        <f t="shared" si="42"/>
        <v>0</v>
      </c>
      <c r="S57" s="201">
        <f t="shared" si="44"/>
        <v>3975120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32"/>
        <v>Nguyễn Thiện Duyệt</v>
      </c>
      <c r="D58" s="196" t="str">
        <f t="shared" si="33"/>
        <v>XNK</v>
      </c>
      <c r="E58" s="197">
        <f>VLOOKUP(B58,TH!$B$11:$E$56,4,0)</f>
        <v>4840000</v>
      </c>
      <c r="F58" s="82">
        <f>VLOOKUP($B58,'CC - 04'!$B$9:$AR$95,36,0)</f>
        <v>23</v>
      </c>
      <c r="G58" s="198">
        <f t="shared" si="34"/>
        <v>4840000</v>
      </c>
      <c r="H58" s="82">
        <f>(VLOOKUP($B58,'CC - 02'!$B$9:$AN$97,37,0)+(VLOOKUP($B58,'CC - 02'!$B$9:$AN$97,38,0)))</f>
        <v>0</v>
      </c>
      <c r="I58" s="198">
        <f t="shared" si="35"/>
        <v>0</v>
      </c>
      <c r="J58" s="199">
        <f t="shared" si="36"/>
        <v>23</v>
      </c>
      <c r="K58" s="36">
        <f t="shared" si="36"/>
        <v>4840000</v>
      </c>
      <c r="L58" s="80">
        <f t="shared" si="43"/>
        <v>345000</v>
      </c>
      <c r="M58" s="200">
        <f t="shared" si="37"/>
        <v>5185000</v>
      </c>
      <c r="N58" s="37">
        <f t="shared" si="38"/>
        <v>387200</v>
      </c>
      <c r="O58" s="37">
        <f t="shared" si="39"/>
        <v>72600</v>
      </c>
      <c r="P58" s="37">
        <f t="shared" si="40"/>
        <v>48400</v>
      </c>
      <c r="Q58" s="198">
        <f t="shared" si="41"/>
        <v>4676800</v>
      </c>
      <c r="R58" s="198">
        <f t="shared" si="42"/>
        <v>0</v>
      </c>
      <c r="S58" s="201">
        <f t="shared" si="44"/>
        <v>4676800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208</v>
      </c>
      <c r="C59" s="195" t="s">
        <v>203</v>
      </c>
      <c r="D59" s="196" t="str">
        <f t="shared" si="33"/>
        <v>Kế toán</v>
      </c>
      <c r="E59" s="197">
        <f>VLOOKUP(B59,TH!$B$11:$E$56,4,0)</f>
        <v>4362000</v>
      </c>
      <c r="F59" s="82">
        <f>VLOOKUP($B59,'CC - 04'!$B$9:$AR$95,36,0)</f>
        <v>23</v>
      </c>
      <c r="G59" s="198">
        <f t="shared" si="34"/>
        <v>4362000</v>
      </c>
      <c r="H59" s="82">
        <f>(VLOOKUP($B59,'CC - 03'!$B$9:$AN$94,37,0)+(VLOOKUP($B59,'CC - 03'!$B$9:$AN$94,38,0)))</f>
        <v>0</v>
      </c>
      <c r="I59" s="198">
        <f t="shared" si="35"/>
        <v>0</v>
      </c>
      <c r="J59" s="199">
        <f t="shared" si="36"/>
        <v>23</v>
      </c>
      <c r="K59" s="36">
        <f t="shared" si="36"/>
        <v>4362000</v>
      </c>
      <c r="L59" s="80">
        <f t="shared" si="43"/>
        <v>345000</v>
      </c>
      <c r="M59" s="200">
        <f t="shared" si="37"/>
        <v>4707000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" si="45">M59-SUM(N59:P59)</f>
        <v>4248990</v>
      </c>
      <c r="R59" s="198">
        <f t="shared" si="42"/>
        <v>0</v>
      </c>
      <c r="S59" s="201">
        <f t="shared" si="44"/>
        <v>4248990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207</v>
      </c>
      <c r="C60" s="195" t="s">
        <v>204</v>
      </c>
      <c r="D60" s="196" t="str">
        <f t="shared" si="33"/>
        <v>Kế toán</v>
      </c>
      <c r="E60" s="197">
        <f>VLOOKUP(B60,TH!$B$11:$E$56,4,0)</f>
        <v>4362000</v>
      </c>
      <c r="F60" s="82">
        <f>VLOOKUP($B60,'CC - 04'!$B$9:$AR$95,36,0)</f>
        <v>23</v>
      </c>
      <c r="G60" s="198">
        <f t="shared" si="34"/>
        <v>4362000</v>
      </c>
      <c r="H60" s="82">
        <f>(VLOOKUP($B60,'CC - 03'!$B$9:$AN$94,37,0)+(VLOOKUP($B60,'CC - 03'!$B$9:$AN$94,38,0)))</f>
        <v>0</v>
      </c>
      <c r="I60" s="198">
        <f t="shared" si="35"/>
        <v>0</v>
      </c>
      <c r="J60" s="199">
        <f t="shared" si="36"/>
        <v>23</v>
      </c>
      <c r="K60" s="36">
        <f t="shared" si="36"/>
        <v>4362000</v>
      </c>
      <c r="L60" s="80">
        <f t="shared" si="43"/>
        <v>345000</v>
      </c>
      <c r="M60" s="200">
        <f t="shared" si="37"/>
        <v>4707000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ref="Q60" si="46">M60-SUM(N60:P60)</f>
        <v>4248990</v>
      </c>
      <c r="R60" s="198">
        <f t="shared" si="42"/>
        <v>0</v>
      </c>
      <c r="S60" s="201">
        <f t="shared" si="44"/>
        <v>4248990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521" t="s">
        <v>25</v>
      </c>
      <c r="B61" s="522"/>
      <c r="C61" s="522"/>
      <c r="D61" s="522"/>
      <c r="E61" s="205">
        <f>SUM(E52:E60)</f>
        <v>46373000</v>
      </c>
      <c r="F61" s="205"/>
      <c r="G61" s="205">
        <f t="shared" ref="G61:S61" si="47">SUM(G52:G60)</f>
        <v>44485870</v>
      </c>
      <c r="H61" s="205">
        <f t="shared" si="47"/>
        <v>0</v>
      </c>
      <c r="I61" s="205">
        <f t="shared" si="47"/>
        <v>0</v>
      </c>
      <c r="J61" s="205">
        <f t="shared" si="47"/>
        <v>203</v>
      </c>
      <c r="K61" s="206">
        <f t="shared" si="47"/>
        <v>44485870</v>
      </c>
      <c r="L61" s="206">
        <f t="shared" si="47"/>
        <v>3045000</v>
      </c>
      <c r="M61" s="206">
        <f t="shared" si="47"/>
        <v>47530870</v>
      </c>
      <c r="N61" s="206">
        <f t="shared" si="47"/>
        <v>3709840</v>
      </c>
      <c r="O61" s="206">
        <f t="shared" si="47"/>
        <v>695595</v>
      </c>
      <c r="P61" s="206">
        <f t="shared" si="47"/>
        <v>463730</v>
      </c>
      <c r="Q61" s="206">
        <f t="shared" si="47"/>
        <v>42661705</v>
      </c>
      <c r="R61" s="206">
        <f t="shared" si="47"/>
        <v>0</v>
      </c>
      <c r="S61" s="206">
        <f t="shared" si="47"/>
        <v>42661705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30   tháng   04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  <mergeCell ref="B48:B50"/>
    <mergeCell ref="C48:C50"/>
    <mergeCell ref="D48:D50"/>
    <mergeCell ref="E48:E50"/>
    <mergeCell ref="F48:K48"/>
    <mergeCell ref="B26:C26"/>
    <mergeCell ref="A31:D31"/>
    <mergeCell ref="D44:Q44"/>
    <mergeCell ref="F6:G6"/>
    <mergeCell ref="H6:I6"/>
    <mergeCell ref="J6:J7"/>
    <mergeCell ref="K6:K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I10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T55" sqref="T55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96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05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50" t="s">
        <v>180</v>
      </c>
      <c r="AN1" s="451"/>
      <c r="AO1" s="451"/>
      <c r="AP1" s="451"/>
      <c r="AQ1" s="451"/>
      <c r="AR1" s="451"/>
      <c r="AS1" s="452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42856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53" t="s">
        <v>28</v>
      </c>
      <c r="B5" s="453" t="s">
        <v>3</v>
      </c>
      <c r="C5" s="453" t="s">
        <v>1</v>
      </c>
      <c r="D5" s="455" t="s">
        <v>29</v>
      </c>
      <c r="E5" s="453" t="s">
        <v>30</v>
      </c>
      <c r="F5" s="105">
        <f>+E4</f>
        <v>42856</v>
      </c>
      <c r="G5" s="105">
        <f t="shared" ref="G5:AG5" si="0">F5+1</f>
        <v>42857</v>
      </c>
      <c r="H5" s="105">
        <f t="shared" si="0"/>
        <v>42858</v>
      </c>
      <c r="I5" s="105">
        <f t="shared" si="0"/>
        <v>42859</v>
      </c>
      <c r="J5" s="105">
        <f t="shared" si="0"/>
        <v>42860</v>
      </c>
      <c r="K5" s="105">
        <f t="shared" si="0"/>
        <v>42861</v>
      </c>
      <c r="L5" s="105">
        <f t="shared" si="0"/>
        <v>42862</v>
      </c>
      <c r="M5" s="105">
        <f t="shared" si="0"/>
        <v>42863</v>
      </c>
      <c r="N5" s="105">
        <f t="shared" si="0"/>
        <v>42864</v>
      </c>
      <c r="O5" s="105">
        <f t="shared" si="0"/>
        <v>42865</v>
      </c>
      <c r="P5" s="105">
        <f t="shared" si="0"/>
        <v>42866</v>
      </c>
      <c r="Q5" s="105">
        <f t="shared" si="0"/>
        <v>42867</v>
      </c>
      <c r="R5" s="105">
        <f t="shared" si="0"/>
        <v>42868</v>
      </c>
      <c r="S5" s="105">
        <f t="shared" si="0"/>
        <v>42869</v>
      </c>
      <c r="T5" s="105">
        <f t="shared" si="0"/>
        <v>42870</v>
      </c>
      <c r="U5" s="105">
        <f t="shared" si="0"/>
        <v>42871</v>
      </c>
      <c r="V5" s="105">
        <f t="shared" si="0"/>
        <v>42872</v>
      </c>
      <c r="W5" s="105">
        <f t="shared" si="0"/>
        <v>42873</v>
      </c>
      <c r="X5" s="105">
        <f t="shared" si="0"/>
        <v>42874</v>
      </c>
      <c r="Y5" s="105">
        <f t="shared" si="0"/>
        <v>42875</v>
      </c>
      <c r="Z5" s="105">
        <f t="shared" si="0"/>
        <v>42876</v>
      </c>
      <c r="AA5" s="105">
        <f t="shared" si="0"/>
        <v>42877</v>
      </c>
      <c r="AB5" s="105">
        <f t="shared" si="0"/>
        <v>42878</v>
      </c>
      <c r="AC5" s="105">
        <f t="shared" si="0"/>
        <v>42879</v>
      </c>
      <c r="AD5" s="105">
        <f t="shared" si="0"/>
        <v>42880</v>
      </c>
      <c r="AE5" s="105">
        <f t="shared" si="0"/>
        <v>42881</v>
      </c>
      <c r="AF5" s="105">
        <f t="shared" si="0"/>
        <v>42882</v>
      </c>
      <c r="AG5" s="105">
        <f t="shared" si="0"/>
        <v>42883</v>
      </c>
      <c r="AH5" s="105">
        <f>AG5+1</f>
        <v>42884</v>
      </c>
      <c r="AI5" s="105">
        <f>AH5+1</f>
        <v>42885</v>
      </c>
      <c r="AJ5" s="105">
        <v>31</v>
      </c>
      <c r="AK5" s="456" t="s">
        <v>15</v>
      </c>
      <c r="AL5" s="457"/>
      <c r="AM5" s="458"/>
      <c r="AN5" s="459" t="s">
        <v>45</v>
      </c>
      <c r="AO5" s="459" t="s">
        <v>41</v>
      </c>
      <c r="AP5" s="459" t="s">
        <v>42</v>
      </c>
      <c r="AQ5" s="459" t="s">
        <v>43</v>
      </c>
      <c r="AR5" s="459" t="s">
        <v>44</v>
      </c>
      <c r="AS5" s="455" t="s">
        <v>0</v>
      </c>
      <c r="AT5" s="4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54"/>
      <c r="B6" s="454"/>
      <c r="C6" s="454"/>
      <c r="D6" s="454"/>
      <c r="E6" s="454"/>
      <c r="F6" s="263" t="str">
        <f>CHOOSE(WEEKDAY(F5),"C.Nhật","T.Hai","T.Ba","T.Tư","T.Năm","T.Sáu","T.Bảy")</f>
        <v>T.Hai</v>
      </c>
      <c r="G6" s="263" t="str">
        <f t="shared" ref="G6:AI6" si="1">CHOOSE(WEEKDAY(G5),"C.Nhật","T.Hai","T.Ba","T.Tư","T.Năm","T.Sáu","T.Bảy")</f>
        <v>T.Ba</v>
      </c>
      <c r="H6" s="263" t="str">
        <f t="shared" si="1"/>
        <v>T.Tư</v>
      </c>
      <c r="I6" s="263" t="str">
        <f t="shared" si="1"/>
        <v>T.Năm</v>
      </c>
      <c r="J6" s="263" t="str">
        <f t="shared" si="1"/>
        <v>T.Sáu</v>
      </c>
      <c r="K6" s="263" t="str">
        <f t="shared" si="1"/>
        <v>T.Bảy</v>
      </c>
      <c r="L6" s="263" t="str">
        <f t="shared" si="1"/>
        <v>C.Nhật</v>
      </c>
      <c r="M6" s="263" t="str">
        <f t="shared" si="1"/>
        <v>T.Hai</v>
      </c>
      <c r="N6" s="263" t="str">
        <f t="shared" si="1"/>
        <v>T.Ba</v>
      </c>
      <c r="O6" s="263" t="str">
        <f t="shared" si="1"/>
        <v>T.Tư</v>
      </c>
      <c r="P6" s="263" t="str">
        <f t="shared" si="1"/>
        <v>T.Năm</v>
      </c>
      <c r="Q6" s="263" t="str">
        <f t="shared" si="1"/>
        <v>T.Sáu</v>
      </c>
      <c r="R6" s="263" t="str">
        <f t="shared" si="1"/>
        <v>T.Bảy</v>
      </c>
      <c r="S6" s="263" t="str">
        <f t="shared" si="1"/>
        <v>C.Nhật</v>
      </c>
      <c r="T6" s="263" t="str">
        <f t="shared" si="1"/>
        <v>T.Hai</v>
      </c>
      <c r="U6" s="263" t="str">
        <f t="shared" si="1"/>
        <v>T.Ba</v>
      </c>
      <c r="V6" s="263" t="str">
        <f t="shared" si="1"/>
        <v>T.Tư</v>
      </c>
      <c r="W6" s="263" t="str">
        <f t="shared" si="1"/>
        <v>T.Năm</v>
      </c>
      <c r="X6" s="263" t="str">
        <f t="shared" si="1"/>
        <v>T.Sáu</v>
      </c>
      <c r="Y6" s="263" t="str">
        <f t="shared" si="1"/>
        <v>T.Bảy</v>
      </c>
      <c r="Z6" s="263" t="str">
        <f t="shared" si="1"/>
        <v>C.Nhật</v>
      </c>
      <c r="AA6" s="263" t="str">
        <f t="shared" si="1"/>
        <v>T.Hai</v>
      </c>
      <c r="AB6" s="263" t="str">
        <f t="shared" si="1"/>
        <v>T.Ba</v>
      </c>
      <c r="AC6" s="263" t="str">
        <f t="shared" si="1"/>
        <v>T.Tư</v>
      </c>
      <c r="AD6" s="263" t="str">
        <f t="shared" si="1"/>
        <v>T.Năm</v>
      </c>
      <c r="AE6" s="263" t="str">
        <f t="shared" si="1"/>
        <v>T.Sáu</v>
      </c>
      <c r="AF6" s="263" t="str">
        <f t="shared" si="1"/>
        <v>T.Bảy</v>
      </c>
      <c r="AG6" s="263" t="str">
        <f t="shared" si="1"/>
        <v>C.Nhật</v>
      </c>
      <c r="AH6" s="263" t="str">
        <f t="shared" si="1"/>
        <v>T.Hai</v>
      </c>
      <c r="AI6" s="263" t="str">
        <f t="shared" si="1"/>
        <v>T.Ba</v>
      </c>
      <c r="AJ6" s="263" t="s">
        <v>195</v>
      </c>
      <c r="AK6" s="264" t="s">
        <v>16</v>
      </c>
      <c r="AL6" s="264" t="s">
        <v>31</v>
      </c>
      <c r="AM6" s="265" t="s">
        <v>17</v>
      </c>
      <c r="AN6" s="460"/>
      <c r="AO6" s="460"/>
      <c r="AP6" s="460"/>
      <c r="AQ6" s="460"/>
      <c r="AR6" s="460"/>
      <c r="AS6" s="454"/>
      <c r="AT6" s="4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9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33">
        <v>1</v>
      </c>
      <c r="B9" s="533" t="s">
        <v>61</v>
      </c>
      <c r="C9" s="472" t="str">
        <f>VLOOKUP(B9,DS,2,0)</f>
        <v>Mai Út Hiền</v>
      </c>
      <c r="D9" s="474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/>
      <c r="M9" s="153">
        <v>8</v>
      </c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/>
      <c r="T9" s="153">
        <v>8</v>
      </c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/>
      <c r="AA9" s="153">
        <v>8</v>
      </c>
      <c r="AB9" s="153">
        <v>8</v>
      </c>
      <c r="AC9" s="153">
        <v>8</v>
      </c>
      <c r="AD9" s="153">
        <v>8</v>
      </c>
      <c r="AE9" s="153">
        <v>8</v>
      </c>
      <c r="AF9" s="153">
        <v>8</v>
      </c>
      <c r="AG9" s="153"/>
      <c r="AH9" s="153">
        <v>8</v>
      </c>
      <c r="AI9" s="153">
        <v>8</v>
      </c>
      <c r="AJ9" s="153">
        <v>8</v>
      </c>
      <c r="AK9" s="444">
        <f>((SUM(F9:AJ9))/8)-(SUMIF($F$6:$AJ$6,"C.Nhật",F9:AJ9)/8)</f>
        <v>27</v>
      </c>
      <c r="AL9" s="444">
        <f>SUM(F10:AI10)/8*1.5</f>
        <v>0</v>
      </c>
      <c r="AM9" s="446">
        <f>SUMIF($F$6:$AI$6,"C.Nhật",$F9:$AI10)/8*2</f>
        <v>0</v>
      </c>
      <c r="AN9" s="435">
        <f>SUM(AK9:AM10)</f>
        <v>27</v>
      </c>
      <c r="AO9" s="448">
        <v>0</v>
      </c>
      <c r="AP9" s="435"/>
      <c r="AQ9" s="435"/>
      <c r="AR9" s="435"/>
      <c r="AS9" s="437"/>
      <c r="AT9" s="39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534"/>
      <c r="B10" s="534"/>
      <c r="C10" s="473"/>
      <c r="D10" s="475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45"/>
      <c r="AL10" s="445"/>
      <c r="AM10" s="447"/>
      <c r="AN10" s="436"/>
      <c r="AO10" s="449"/>
      <c r="AP10" s="436"/>
      <c r="AQ10" s="436"/>
      <c r="AR10" s="436"/>
      <c r="AS10" s="438"/>
      <c r="AT10" s="39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533">
        <f>A9+1</f>
        <v>2</v>
      </c>
      <c r="B11" s="533" t="s">
        <v>62</v>
      </c>
      <c r="C11" s="472" t="str">
        <f>VLOOKUP(B11,DS,2,0)</f>
        <v>Nguyễn Thị Xuân Thảo</v>
      </c>
      <c r="D11" s="474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/>
      <c r="M11" s="153">
        <v>8</v>
      </c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/>
      <c r="T11" s="153">
        <v>8</v>
      </c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/>
      <c r="AA11" s="153">
        <v>8</v>
      </c>
      <c r="AB11" s="153">
        <v>8</v>
      </c>
      <c r="AC11" s="153">
        <v>8</v>
      </c>
      <c r="AD11" s="153">
        <v>8</v>
      </c>
      <c r="AE11" s="153">
        <v>8</v>
      </c>
      <c r="AF11" s="153">
        <v>8</v>
      </c>
      <c r="AG11" s="153"/>
      <c r="AH11" s="153">
        <v>8</v>
      </c>
      <c r="AI11" s="153">
        <v>8</v>
      </c>
      <c r="AJ11" s="153">
        <v>8</v>
      </c>
      <c r="AK11" s="444">
        <f>((SUM(F11:AJ11))/8)-(SUMIF($F$6:$AJ$6,"C.Nhật",F11:AJ11)/8)</f>
        <v>27</v>
      </c>
      <c r="AL11" s="444">
        <f>SUM(F12:AI12)/8*1.5</f>
        <v>0</v>
      </c>
      <c r="AM11" s="446">
        <f>SUMIF($F$6:$AI$6,"C.Nhật",$F11:$AI12)/8*2</f>
        <v>0</v>
      </c>
      <c r="AN11" s="435">
        <f>SUM(AK11:AM12)</f>
        <v>27</v>
      </c>
      <c r="AO11" s="448">
        <v>0</v>
      </c>
      <c r="AP11" s="435"/>
      <c r="AQ11" s="435"/>
      <c r="AR11" s="435"/>
      <c r="AS11" s="437"/>
      <c r="AT11" s="39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534"/>
      <c r="B12" s="534"/>
      <c r="C12" s="473"/>
      <c r="D12" s="475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45"/>
      <c r="AL12" s="445"/>
      <c r="AM12" s="447"/>
      <c r="AN12" s="436"/>
      <c r="AO12" s="449"/>
      <c r="AP12" s="436"/>
      <c r="AQ12" s="436"/>
      <c r="AR12" s="436"/>
      <c r="AS12" s="438"/>
      <c r="AT12" s="39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33">
        <v>3</v>
      </c>
      <c r="B14" s="533" t="s">
        <v>85</v>
      </c>
      <c r="C14" s="472" t="str">
        <f>VLOOKUP(B14,DS,2,0)</f>
        <v>Huỳnh Thị Hường</v>
      </c>
      <c r="D14" s="474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/>
      <c r="M14" s="153">
        <v>8</v>
      </c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/>
      <c r="T14" s="153">
        <v>8</v>
      </c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/>
      <c r="AA14" s="153">
        <v>8</v>
      </c>
      <c r="AB14" s="153">
        <v>8</v>
      </c>
      <c r="AC14" s="153">
        <v>8</v>
      </c>
      <c r="AD14" s="153">
        <v>8</v>
      </c>
      <c r="AE14" s="153">
        <v>8</v>
      </c>
      <c r="AF14" s="153">
        <v>8</v>
      </c>
      <c r="AG14" s="153"/>
      <c r="AH14" s="153">
        <v>8</v>
      </c>
      <c r="AI14" s="153">
        <v>8</v>
      </c>
      <c r="AJ14" s="153">
        <v>8</v>
      </c>
      <c r="AK14" s="444">
        <f>((SUM(F14:AJ14))/8)-(SUMIF($F$6:$AJ$6,"C.Nhật",F14:AJ14)/8)</f>
        <v>27</v>
      </c>
      <c r="AL14" s="444">
        <f>SUM(F15:AI15)/8*1.5</f>
        <v>0</v>
      </c>
      <c r="AM14" s="446">
        <f>SUMIF($F$6:$AI$6,"C.Nhật",$F14:$AI15)/8*2</f>
        <v>0</v>
      </c>
      <c r="AN14" s="435">
        <f>SUM(AK14:AM15)</f>
        <v>27</v>
      </c>
      <c r="AO14" s="448">
        <v>0</v>
      </c>
      <c r="AP14" s="435"/>
      <c r="AQ14" s="435"/>
      <c r="AR14" s="435"/>
      <c r="AS14" s="437"/>
      <c r="AT14" s="39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34"/>
      <c r="B15" s="534"/>
      <c r="C15" s="473"/>
      <c r="D15" s="475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45"/>
      <c r="AL15" s="445"/>
      <c r="AM15" s="447"/>
      <c r="AN15" s="436"/>
      <c r="AO15" s="449"/>
      <c r="AP15" s="436"/>
      <c r="AQ15" s="436"/>
      <c r="AR15" s="436"/>
      <c r="AS15" s="438"/>
      <c r="AT15" s="39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533">
        <f>A14+1</f>
        <v>4</v>
      </c>
      <c r="B16" s="533" t="s">
        <v>86</v>
      </c>
      <c r="C16" s="472" t="str">
        <f>VLOOKUP(B16,DS,2,0)</f>
        <v>Nguyễn Thị Rong</v>
      </c>
      <c r="D16" s="474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/>
      <c r="M16" s="153">
        <v>8</v>
      </c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/>
      <c r="T16" s="153">
        <v>8</v>
      </c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/>
      <c r="AA16" s="153">
        <v>8</v>
      </c>
      <c r="AB16" s="153">
        <v>8</v>
      </c>
      <c r="AC16" s="153">
        <v>8</v>
      </c>
      <c r="AD16" s="153">
        <v>8</v>
      </c>
      <c r="AE16" s="153">
        <v>8</v>
      </c>
      <c r="AF16" s="153">
        <v>8</v>
      </c>
      <c r="AG16" s="153"/>
      <c r="AH16" s="153">
        <v>8</v>
      </c>
      <c r="AI16" s="153">
        <v>8</v>
      </c>
      <c r="AJ16" s="153">
        <v>8</v>
      </c>
      <c r="AK16" s="444">
        <f>((SUM(F16:AJ16))/8)-(SUMIF($F$6:$AJ$6,"C.Nhật",F16:AJ16)/8)</f>
        <v>27</v>
      </c>
      <c r="AL16" s="444">
        <f>SUM(F17:AI17)/8*1.5</f>
        <v>0</v>
      </c>
      <c r="AM16" s="446">
        <f>SUMIF($F$6:$AI$6,"C.Nhật",$F16:$AI17)/8*2</f>
        <v>0</v>
      </c>
      <c r="AN16" s="435">
        <f>SUM(AK16:AM17)</f>
        <v>27</v>
      </c>
      <c r="AO16" s="448">
        <v>0</v>
      </c>
      <c r="AP16" s="435"/>
      <c r="AQ16" s="435"/>
      <c r="AR16" s="435"/>
      <c r="AS16" s="437"/>
      <c r="AT16" s="3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34"/>
      <c r="B17" s="534"/>
      <c r="C17" s="473"/>
      <c r="D17" s="475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45"/>
      <c r="AL17" s="445"/>
      <c r="AM17" s="447"/>
      <c r="AN17" s="436"/>
      <c r="AO17" s="449"/>
      <c r="AP17" s="436"/>
      <c r="AQ17" s="436"/>
      <c r="AR17" s="436"/>
      <c r="AS17" s="438"/>
      <c r="AT17" s="3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33">
        <f t="shared" ref="A18" si="2">A16+1</f>
        <v>5</v>
      </c>
      <c r="B18" s="533" t="s">
        <v>87</v>
      </c>
      <c r="C18" s="472" t="str">
        <f>VLOOKUP(B18,DS,2,0)</f>
        <v>Sơn Thị Nil</v>
      </c>
      <c r="D18" s="474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/>
      <c r="M18" s="153">
        <v>8</v>
      </c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/>
      <c r="T18" s="153">
        <v>8</v>
      </c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/>
      <c r="AA18" s="153">
        <v>8</v>
      </c>
      <c r="AB18" s="153">
        <v>8</v>
      </c>
      <c r="AC18" s="153">
        <v>8</v>
      </c>
      <c r="AD18" s="153">
        <v>8</v>
      </c>
      <c r="AE18" s="153">
        <v>8</v>
      </c>
      <c r="AF18" s="153">
        <v>8</v>
      </c>
      <c r="AG18" s="153"/>
      <c r="AH18" s="153">
        <v>8</v>
      </c>
      <c r="AI18" s="153">
        <v>8</v>
      </c>
      <c r="AJ18" s="153">
        <v>8</v>
      </c>
      <c r="AK18" s="444">
        <f>((SUM(F18:AJ18))/8)-(SUMIF($F$6:$AJ$6,"C.Nhật",F18:AJ18)/8)</f>
        <v>27</v>
      </c>
      <c r="AL18" s="444">
        <f>SUM(F19:AI19)/8*1.5</f>
        <v>0</v>
      </c>
      <c r="AM18" s="446">
        <f>SUMIF($F$6:$AI$6,"C.Nhật",$F18:$AI19)/8*2</f>
        <v>0</v>
      </c>
      <c r="AN18" s="435">
        <f>SUM(AK18:AM19)</f>
        <v>27</v>
      </c>
      <c r="AO18" s="448">
        <v>0</v>
      </c>
      <c r="AP18" s="435"/>
      <c r="AQ18" s="435"/>
      <c r="AR18" s="435"/>
      <c r="AS18" s="437"/>
      <c r="AT18" s="39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34"/>
      <c r="B19" s="534"/>
      <c r="C19" s="473"/>
      <c r="D19" s="475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45"/>
      <c r="AL19" s="445"/>
      <c r="AM19" s="447"/>
      <c r="AN19" s="436"/>
      <c r="AO19" s="449"/>
      <c r="AP19" s="436"/>
      <c r="AQ19" s="436"/>
      <c r="AR19" s="436"/>
      <c r="AS19" s="438"/>
      <c r="AT19" s="39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33">
        <f t="shared" ref="A20" si="3">A18+1</f>
        <v>6</v>
      </c>
      <c r="B20" s="533" t="s">
        <v>91</v>
      </c>
      <c r="C20" s="472" t="str">
        <f>VLOOKUP(B20,DS,2,0)</f>
        <v>Nguyễn Thị Lựu</v>
      </c>
      <c r="D20" s="474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/>
      <c r="M20" s="153">
        <v>8</v>
      </c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/>
      <c r="T20" s="153">
        <v>8</v>
      </c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/>
      <c r="AA20" s="153">
        <v>8</v>
      </c>
      <c r="AB20" s="153">
        <v>8</v>
      </c>
      <c r="AC20" s="153">
        <v>8</v>
      </c>
      <c r="AD20" s="153">
        <v>8</v>
      </c>
      <c r="AE20" s="153">
        <v>8</v>
      </c>
      <c r="AF20" s="153">
        <v>8</v>
      </c>
      <c r="AG20" s="153"/>
      <c r="AH20" s="153">
        <v>8</v>
      </c>
      <c r="AI20" s="153">
        <v>8</v>
      </c>
      <c r="AJ20" s="153">
        <v>8</v>
      </c>
      <c r="AK20" s="444">
        <f>((SUM(F20:AJ20))/8)-(SUMIF($F$6:$AJ$6,"C.Nhật",F20:AJ20)/8)</f>
        <v>27</v>
      </c>
      <c r="AL20" s="444">
        <f>SUM(F21:AI21)/8*1.5</f>
        <v>0</v>
      </c>
      <c r="AM20" s="446">
        <f>SUMIF($F$6:$AI$6,"C.Nhật",$F20:$AI21)/8*2</f>
        <v>0</v>
      </c>
      <c r="AN20" s="435">
        <f>SUM(AK20:AM21)</f>
        <v>27</v>
      </c>
      <c r="AO20" s="448">
        <v>0</v>
      </c>
      <c r="AP20" s="435"/>
      <c r="AQ20" s="435"/>
      <c r="AR20" s="435"/>
      <c r="AS20" s="437"/>
      <c r="AT20" s="39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534"/>
      <c r="B21" s="534"/>
      <c r="C21" s="473"/>
      <c r="D21" s="475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45"/>
      <c r="AL21" s="445"/>
      <c r="AM21" s="447"/>
      <c r="AN21" s="436"/>
      <c r="AO21" s="449"/>
      <c r="AP21" s="436"/>
      <c r="AQ21" s="436"/>
      <c r="AR21" s="436"/>
      <c r="AS21" s="438"/>
      <c r="AT21" s="39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33">
        <f t="shared" ref="A22" si="4">A20+1</f>
        <v>7</v>
      </c>
      <c r="B22" s="533" t="s">
        <v>94</v>
      </c>
      <c r="C22" s="472" t="str">
        <f>VLOOKUP(B22,DS,2,0)</f>
        <v>Trà Thị Soi</v>
      </c>
      <c r="D22" s="474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/>
      <c r="M22" s="153">
        <v>8</v>
      </c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/>
      <c r="T22" s="153">
        <v>8</v>
      </c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/>
      <c r="AA22" s="153">
        <v>8</v>
      </c>
      <c r="AB22" s="153">
        <v>8</v>
      </c>
      <c r="AC22" s="153">
        <v>8</v>
      </c>
      <c r="AD22" s="153">
        <v>8</v>
      </c>
      <c r="AE22" s="153">
        <v>8</v>
      </c>
      <c r="AF22" s="153">
        <v>8</v>
      </c>
      <c r="AG22" s="153"/>
      <c r="AH22" s="153">
        <v>8</v>
      </c>
      <c r="AI22" s="153">
        <v>8</v>
      </c>
      <c r="AJ22" s="153">
        <v>8</v>
      </c>
      <c r="AK22" s="444">
        <f>((SUM(F22:AJ22))/8)-(SUMIF($F$6:$AJ$6,"C.Nhật",F22:AJ22)/8)</f>
        <v>27</v>
      </c>
      <c r="AL22" s="444">
        <f>SUM(F23:AI23)/8*1.5</f>
        <v>0</v>
      </c>
      <c r="AM22" s="446">
        <f>SUMIF($F$6:$AI$6,"C.Nhật",$F22:$AI23)/8*2</f>
        <v>0</v>
      </c>
      <c r="AN22" s="435">
        <f>SUM(AK22:AM23)</f>
        <v>27</v>
      </c>
      <c r="AO22" s="448">
        <v>0</v>
      </c>
      <c r="AP22" s="435"/>
      <c r="AQ22" s="435"/>
      <c r="AR22" s="435"/>
      <c r="AS22" s="437"/>
      <c r="AT22" s="39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534"/>
      <c r="B23" s="534"/>
      <c r="C23" s="473"/>
      <c r="D23" s="475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45"/>
      <c r="AL23" s="445"/>
      <c r="AM23" s="447"/>
      <c r="AN23" s="436"/>
      <c r="AO23" s="449"/>
      <c r="AP23" s="436"/>
      <c r="AQ23" s="436"/>
      <c r="AR23" s="436"/>
      <c r="AS23" s="438"/>
      <c r="AT23" s="39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33">
        <f t="shared" ref="A24" si="5">A22+1</f>
        <v>8</v>
      </c>
      <c r="B24" s="533" t="s">
        <v>101</v>
      </c>
      <c r="C24" s="472" t="str">
        <f>VLOOKUP(B24,DS,2,0)</f>
        <v>Trần Thị Bích Phượng</v>
      </c>
      <c r="D24" s="474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/>
      <c r="M24" s="153">
        <v>8</v>
      </c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/>
      <c r="T24" s="153">
        <v>8</v>
      </c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/>
      <c r="AA24" s="153">
        <v>8</v>
      </c>
      <c r="AB24" s="153">
        <v>8</v>
      </c>
      <c r="AC24" s="153">
        <v>8</v>
      </c>
      <c r="AD24" s="153">
        <v>8</v>
      </c>
      <c r="AE24" s="153">
        <v>8</v>
      </c>
      <c r="AF24" s="153">
        <v>8</v>
      </c>
      <c r="AG24" s="153"/>
      <c r="AH24" s="153">
        <v>8</v>
      </c>
      <c r="AI24" s="153">
        <v>8</v>
      </c>
      <c r="AJ24" s="153">
        <v>8</v>
      </c>
      <c r="AK24" s="444">
        <f>((SUM(F24:AJ24))/8)-(SUMIF($F$6:$AJ$6,"C.Nhật",F24:AJ24)/8)</f>
        <v>27</v>
      </c>
      <c r="AL24" s="444">
        <f>SUM(F25:AI25)/8*1.5</f>
        <v>0</v>
      </c>
      <c r="AM24" s="446">
        <f>SUMIF($F$6:$AI$6,"C.Nhật",$F24:$AI25)/8*2</f>
        <v>0</v>
      </c>
      <c r="AN24" s="435">
        <f>SUM(AK24:AM25)</f>
        <v>27</v>
      </c>
      <c r="AO24" s="448">
        <v>0</v>
      </c>
      <c r="AP24" s="435"/>
      <c r="AQ24" s="435"/>
      <c r="AR24" s="435"/>
      <c r="AS24" s="437"/>
      <c r="AT24" s="39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534"/>
      <c r="B25" s="534"/>
      <c r="C25" s="473"/>
      <c r="D25" s="475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45"/>
      <c r="AL25" s="445"/>
      <c r="AM25" s="447"/>
      <c r="AN25" s="436"/>
      <c r="AO25" s="449"/>
      <c r="AP25" s="436"/>
      <c r="AQ25" s="436"/>
      <c r="AR25" s="436"/>
      <c r="AS25" s="438"/>
      <c r="AT25" s="39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533">
        <f t="shared" ref="A26" si="6">A24+1</f>
        <v>9</v>
      </c>
      <c r="B26" s="533" t="s">
        <v>102</v>
      </c>
      <c r="C26" s="472" t="str">
        <f>VLOOKUP(B26,DS,2,0)</f>
        <v>Sơn Thị Trường Sa</v>
      </c>
      <c r="D26" s="474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/>
      <c r="M26" s="153">
        <v>8</v>
      </c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/>
      <c r="T26" s="153">
        <v>8</v>
      </c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/>
      <c r="AA26" s="153">
        <v>8</v>
      </c>
      <c r="AB26" s="153">
        <v>8</v>
      </c>
      <c r="AC26" s="153">
        <v>8</v>
      </c>
      <c r="AD26" s="153">
        <v>8</v>
      </c>
      <c r="AE26" s="153">
        <v>8</v>
      </c>
      <c r="AF26" s="153">
        <v>8</v>
      </c>
      <c r="AG26" s="153"/>
      <c r="AH26" s="153">
        <v>8</v>
      </c>
      <c r="AI26" s="153">
        <v>8</v>
      </c>
      <c r="AJ26" s="153">
        <v>8</v>
      </c>
      <c r="AK26" s="444">
        <f>((SUM(F26:AJ26))/8)-(SUMIF($F$6:$AJ$6,"C.Nhật",F26:AJ26)/8)</f>
        <v>27</v>
      </c>
      <c r="AL26" s="444">
        <f>SUM(F27:AI27)/8*1.5</f>
        <v>0</v>
      </c>
      <c r="AM26" s="446">
        <f>SUMIF($F$6:$AI$6,"C.Nhật",$F26:$AI27)/8*2</f>
        <v>0</v>
      </c>
      <c r="AN26" s="435">
        <f>SUM(AK26:AM27)</f>
        <v>27</v>
      </c>
      <c r="AO26" s="448">
        <v>0</v>
      </c>
      <c r="AP26" s="435"/>
      <c r="AQ26" s="435"/>
      <c r="AR26" s="435"/>
      <c r="AS26" s="437"/>
      <c r="AT26" s="39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534"/>
      <c r="B27" s="534"/>
      <c r="C27" s="473"/>
      <c r="D27" s="475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45"/>
      <c r="AL27" s="445"/>
      <c r="AM27" s="447"/>
      <c r="AN27" s="436"/>
      <c r="AO27" s="449"/>
      <c r="AP27" s="436"/>
      <c r="AQ27" s="436"/>
      <c r="AR27" s="436"/>
      <c r="AS27" s="438"/>
      <c r="AT27" s="39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533">
        <f t="shared" ref="A28" si="7">A26+1</f>
        <v>10</v>
      </c>
      <c r="B28" s="533" t="s">
        <v>103</v>
      </c>
      <c r="C28" s="472" t="str">
        <f>VLOOKUP(B28,DS,2,0)</f>
        <v>Lý Thị Sà Kha</v>
      </c>
      <c r="D28" s="474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/>
      <c r="M28" s="153">
        <v>8</v>
      </c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/>
      <c r="T28" s="153">
        <v>8</v>
      </c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/>
      <c r="AA28" s="153">
        <v>8</v>
      </c>
      <c r="AB28" s="153">
        <v>8</v>
      </c>
      <c r="AC28" s="153">
        <v>8</v>
      </c>
      <c r="AD28" s="153">
        <v>8</v>
      </c>
      <c r="AE28" s="153">
        <v>8</v>
      </c>
      <c r="AF28" s="153">
        <v>8</v>
      </c>
      <c r="AG28" s="153"/>
      <c r="AH28" s="153">
        <v>8</v>
      </c>
      <c r="AI28" s="153">
        <v>8</v>
      </c>
      <c r="AJ28" s="153">
        <v>8</v>
      </c>
      <c r="AK28" s="444">
        <f>((SUM(F28:AJ28))/8)-(SUMIF($F$6:$AJ$6,"C.Nhật",F28:AJ28)/8)</f>
        <v>27</v>
      </c>
      <c r="AL28" s="444">
        <f>SUM(F29:AI29)/8*1.5</f>
        <v>0</v>
      </c>
      <c r="AM28" s="446">
        <f>SUMIF($F$6:$AI$6,"C.Nhật",$F28:$AI29)/8*2</f>
        <v>0</v>
      </c>
      <c r="AN28" s="435">
        <f>SUM(AK28:AM29)</f>
        <v>27</v>
      </c>
      <c r="AO28" s="448">
        <v>0</v>
      </c>
      <c r="AP28" s="435"/>
      <c r="AQ28" s="435"/>
      <c r="AR28" s="435"/>
      <c r="AS28" s="437"/>
      <c r="AT28" s="39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534"/>
      <c r="B29" s="534"/>
      <c r="C29" s="473"/>
      <c r="D29" s="475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45"/>
      <c r="AL29" s="445"/>
      <c r="AM29" s="447"/>
      <c r="AN29" s="436"/>
      <c r="AO29" s="449"/>
      <c r="AP29" s="436"/>
      <c r="AQ29" s="436"/>
      <c r="AR29" s="436"/>
      <c r="AS29" s="438"/>
      <c r="AT29" s="39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533">
        <f t="shared" ref="A30" si="8">A28+1</f>
        <v>11</v>
      </c>
      <c r="B30" s="533" t="s">
        <v>104</v>
      </c>
      <c r="C30" s="472" t="str">
        <f>VLOOKUP(B30,DS,2,0)</f>
        <v xml:space="preserve"> Lâm Thị Mộng Thường</v>
      </c>
      <c r="D30" s="474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>
        <v>8</v>
      </c>
      <c r="K30" s="153">
        <v>8</v>
      </c>
      <c r="L30" s="153"/>
      <c r="M30" s="153">
        <v>8</v>
      </c>
      <c r="N30" s="153">
        <v>8</v>
      </c>
      <c r="O30" s="153">
        <v>8</v>
      </c>
      <c r="P30" s="153">
        <v>8</v>
      </c>
      <c r="Q30" s="153">
        <v>8</v>
      </c>
      <c r="R30" s="153">
        <v>8</v>
      </c>
      <c r="S30" s="153"/>
      <c r="T30" s="153">
        <v>8</v>
      </c>
      <c r="U30" s="153">
        <v>8</v>
      </c>
      <c r="V30" s="153">
        <v>8</v>
      </c>
      <c r="W30" s="153">
        <v>8</v>
      </c>
      <c r="X30" s="153">
        <v>8</v>
      </c>
      <c r="Y30" s="153">
        <v>8</v>
      </c>
      <c r="Z30" s="153"/>
      <c r="AA30" s="153">
        <v>8</v>
      </c>
      <c r="AB30" s="153">
        <v>8</v>
      </c>
      <c r="AC30" s="153">
        <v>8</v>
      </c>
      <c r="AD30" s="153">
        <v>8</v>
      </c>
      <c r="AE30" s="153">
        <v>8</v>
      </c>
      <c r="AF30" s="153">
        <v>8</v>
      </c>
      <c r="AG30" s="153"/>
      <c r="AH30" s="153">
        <v>8</v>
      </c>
      <c r="AI30" s="153">
        <v>8</v>
      </c>
      <c r="AJ30" s="153">
        <v>8</v>
      </c>
      <c r="AK30" s="444">
        <f>((SUM(F30:AJ30))/8)-(SUMIF($F$6:$AJ$6,"C.Nhật",F30:AJ30)/8)</f>
        <v>27</v>
      </c>
      <c r="AL30" s="444">
        <f>SUM(F31:AI31)/8*1.5</f>
        <v>0</v>
      </c>
      <c r="AM30" s="446">
        <f>SUMIF($F$6:$AI$6,"C.Nhật",$F30:$AI31)/8*2</f>
        <v>0</v>
      </c>
      <c r="AN30" s="435">
        <f>SUM(AK30:AM31)</f>
        <v>27</v>
      </c>
      <c r="AO30" s="448">
        <v>0</v>
      </c>
      <c r="AP30" s="435"/>
      <c r="AQ30" s="435"/>
      <c r="AR30" s="435"/>
      <c r="AS30" s="437"/>
      <c r="AT30" s="39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534"/>
      <c r="B31" s="534"/>
      <c r="C31" s="473"/>
      <c r="D31" s="475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45"/>
      <c r="AL31" s="445"/>
      <c r="AM31" s="447"/>
      <c r="AN31" s="436"/>
      <c r="AO31" s="449"/>
      <c r="AP31" s="436"/>
      <c r="AQ31" s="436"/>
      <c r="AR31" s="436"/>
      <c r="AS31" s="438"/>
      <c r="AT31" s="39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533">
        <f t="shared" ref="A32" si="9">A30+1</f>
        <v>12</v>
      </c>
      <c r="B32" s="535" t="s">
        <v>88</v>
      </c>
      <c r="C32" s="472" t="str">
        <f>VLOOKUP(B32,DS,2,0)</f>
        <v>Huỳnh Thị Bé Tha</v>
      </c>
      <c r="D32" s="474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8</v>
      </c>
      <c r="J32" s="153">
        <v>8</v>
      </c>
      <c r="K32" s="153">
        <v>8</v>
      </c>
      <c r="L32" s="153"/>
      <c r="M32" s="153">
        <v>8</v>
      </c>
      <c r="N32" s="153">
        <v>8</v>
      </c>
      <c r="O32" s="153">
        <v>8</v>
      </c>
      <c r="P32" s="153">
        <v>8</v>
      </c>
      <c r="Q32" s="153">
        <v>8</v>
      </c>
      <c r="R32" s="153">
        <v>8</v>
      </c>
      <c r="S32" s="153"/>
      <c r="T32" s="153">
        <v>8</v>
      </c>
      <c r="U32" s="153">
        <v>8</v>
      </c>
      <c r="V32" s="153">
        <v>8</v>
      </c>
      <c r="W32" s="153">
        <v>8</v>
      </c>
      <c r="X32" s="153">
        <v>8</v>
      </c>
      <c r="Y32" s="153">
        <v>8</v>
      </c>
      <c r="Z32" s="153"/>
      <c r="AA32" s="153">
        <v>8</v>
      </c>
      <c r="AB32" s="153">
        <v>8</v>
      </c>
      <c r="AC32" s="153">
        <v>8</v>
      </c>
      <c r="AD32" s="153">
        <v>8</v>
      </c>
      <c r="AE32" s="153">
        <v>8</v>
      </c>
      <c r="AF32" s="153">
        <v>8</v>
      </c>
      <c r="AG32" s="153"/>
      <c r="AH32" s="153">
        <v>8</v>
      </c>
      <c r="AI32" s="153">
        <v>8</v>
      </c>
      <c r="AJ32" s="153">
        <v>8</v>
      </c>
      <c r="AK32" s="444">
        <f>((SUM(F32:AJ32))/8)-(SUMIF($F$6:$AJ$6,"C.Nhật",F32:AJ32)/8)</f>
        <v>27</v>
      </c>
      <c r="AL32" s="444">
        <f>SUM(F33:AI33)/8*1.5</f>
        <v>0</v>
      </c>
      <c r="AM32" s="446">
        <f>SUMIF($F$6:$AI$6,"C.Nhật",$F32:$AI33)/8*2</f>
        <v>0</v>
      </c>
      <c r="AN32" s="435">
        <f>SUM(AK32:AM33)</f>
        <v>27</v>
      </c>
      <c r="AO32" s="448">
        <v>0</v>
      </c>
      <c r="AP32" s="435"/>
      <c r="AQ32" s="435"/>
      <c r="AR32" s="435"/>
      <c r="AS32" s="437"/>
      <c r="AT32" s="3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534"/>
      <c r="B33" s="536"/>
      <c r="C33" s="473"/>
      <c r="D33" s="475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45"/>
      <c r="AL33" s="445"/>
      <c r="AM33" s="447"/>
      <c r="AN33" s="436"/>
      <c r="AO33" s="449"/>
      <c r="AP33" s="436"/>
      <c r="AQ33" s="436"/>
      <c r="AR33" s="436"/>
      <c r="AS33" s="438"/>
      <c r="AT33" s="3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533">
        <v>13</v>
      </c>
      <c r="B34" s="535" t="s">
        <v>210</v>
      </c>
      <c r="C34" s="472" t="str">
        <f>VLOOKUP(B34,DS,2,0)</f>
        <v>Nguyễn Thị Diễm</v>
      </c>
      <c r="D34" s="474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153">
        <v>8</v>
      </c>
      <c r="J34" s="153">
        <v>8</v>
      </c>
      <c r="K34" s="153">
        <v>8</v>
      </c>
      <c r="L34" s="153"/>
      <c r="M34" s="153">
        <v>8</v>
      </c>
      <c r="N34" s="153">
        <v>8</v>
      </c>
      <c r="O34" s="153">
        <v>8</v>
      </c>
      <c r="P34" s="153">
        <v>8</v>
      </c>
      <c r="Q34" s="153">
        <v>8</v>
      </c>
      <c r="R34" s="153">
        <v>8</v>
      </c>
      <c r="S34" s="153"/>
      <c r="T34" s="153">
        <v>8</v>
      </c>
      <c r="U34" s="153">
        <v>8</v>
      </c>
      <c r="V34" s="153">
        <v>8</v>
      </c>
      <c r="W34" s="153">
        <v>8</v>
      </c>
      <c r="X34" s="153">
        <v>8</v>
      </c>
      <c r="Y34" s="153">
        <v>8</v>
      </c>
      <c r="Z34" s="153"/>
      <c r="AA34" s="153">
        <v>8</v>
      </c>
      <c r="AB34" s="153">
        <v>8</v>
      </c>
      <c r="AC34" s="153">
        <v>8</v>
      </c>
      <c r="AD34" s="153">
        <v>8</v>
      </c>
      <c r="AE34" s="153">
        <v>8</v>
      </c>
      <c r="AF34" s="153">
        <v>8</v>
      </c>
      <c r="AG34" s="153"/>
      <c r="AH34" s="153">
        <v>8</v>
      </c>
      <c r="AI34" s="153">
        <v>8</v>
      </c>
      <c r="AJ34" s="153">
        <v>8</v>
      </c>
      <c r="AK34" s="444">
        <f>((SUM(F34:AJ34))/8)-(SUMIF($F$6:$AJ$6,"C.Nhật",F34:AJ34)/8)</f>
        <v>27</v>
      </c>
      <c r="AL34" s="444">
        <f>SUM(F35:AI35)/8*1.5</f>
        <v>0</v>
      </c>
      <c r="AM34" s="446">
        <f>SUMIF($F$6:$AI$6,"C.Nhật",$F34:$AI35)/8*2</f>
        <v>0</v>
      </c>
      <c r="AN34" s="435">
        <f>SUM(AK34:AM35)</f>
        <v>27</v>
      </c>
      <c r="AO34" s="376"/>
      <c r="AP34" s="375"/>
      <c r="AQ34" s="375"/>
      <c r="AR34" s="435"/>
      <c r="AS34" s="377"/>
      <c r="AT34" s="39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534"/>
      <c r="B35" s="536"/>
      <c r="C35" s="473"/>
      <c r="D35" s="475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445"/>
      <c r="AL35" s="445"/>
      <c r="AM35" s="447"/>
      <c r="AN35" s="436"/>
      <c r="AO35" s="376"/>
      <c r="AP35" s="375"/>
      <c r="AQ35" s="375"/>
      <c r="AR35" s="436"/>
      <c r="AS35" s="377"/>
      <c r="AT35" s="39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533">
        <v>14</v>
      </c>
      <c r="B36" s="565" t="s">
        <v>211</v>
      </c>
      <c r="C36" s="472" t="str">
        <f>VLOOKUP(B36,DS,2,0)</f>
        <v>Võ Văn Hữu Phước</v>
      </c>
      <c r="D36" s="474" t="str">
        <f>VLOOKUP(B36,DS,3,0)</f>
        <v>Công nhân</v>
      </c>
      <c r="E36" s="58" t="s">
        <v>32</v>
      </c>
      <c r="F36" s="153">
        <v>8</v>
      </c>
      <c r="G36" s="153">
        <v>8</v>
      </c>
      <c r="H36" s="153">
        <v>8</v>
      </c>
      <c r="I36" s="153">
        <v>8</v>
      </c>
      <c r="J36" s="153">
        <v>8</v>
      </c>
      <c r="K36" s="153">
        <v>8</v>
      </c>
      <c r="L36" s="153"/>
      <c r="M36" s="153">
        <v>8</v>
      </c>
      <c r="N36" s="153">
        <v>8</v>
      </c>
      <c r="O36" s="153">
        <v>8</v>
      </c>
      <c r="P36" s="153">
        <v>8</v>
      </c>
      <c r="Q36" s="153">
        <v>8</v>
      </c>
      <c r="R36" s="153">
        <v>8</v>
      </c>
      <c r="S36" s="153"/>
      <c r="T36" s="153">
        <v>8</v>
      </c>
      <c r="U36" s="153">
        <v>8</v>
      </c>
      <c r="V36" s="153">
        <v>8</v>
      </c>
      <c r="W36" s="153">
        <v>8</v>
      </c>
      <c r="X36" s="153">
        <v>8</v>
      </c>
      <c r="Y36" s="153">
        <v>8</v>
      </c>
      <c r="Z36" s="153"/>
      <c r="AA36" s="153">
        <v>8</v>
      </c>
      <c r="AB36" s="153">
        <v>8</v>
      </c>
      <c r="AC36" s="153">
        <v>8</v>
      </c>
      <c r="AD36" s="153">
        <v>8</v>
      </c>
      <c r="AE36" s="153">
        <v>8</v>
      </c>
      <c r="AF36" s="153">
        <v>8</v>
      </c>
      <c r="AG36" s="153"/>
      <c r="AH36" s="153">
        <v>8</v>
      </c>
      <c r="AI36" s="153">
        <v>8</v>
      </c>
      <c r="AJ36" s="153">
        <v>8</v>
      </c>
      <c r="AK36" s="444">
        <f>((SUM(F36:AJ36))/8)-(SUMIF($F$6:$AJ$6,"C.Nhật",F36:AJ36)/8)</f>
        <v>27</v>
      </c>
      <c r="AL36" s="444">
        <f>SUM(F37:AI37)/8*1.5</f>
        <v>0</v>
      </c>
      <c r="AM36" s="446">
        <f>SUMIF($F$6:$AI$6,"C.Nhật",$F36:$AI37)/8*2</f>
        <v>0</v>
      </c>
      <c r="AN36" s="435">
        <f>SUM(AK36:AM37)</f>
        <v>27</v>
      </c>
      <c r="AO36" s="376"/>
      <c r="AP36" s="375"/>
      <c r="AQ36" s="375"/>
      <c r="AR36" s="435"/>
      <c r="AS36" s="385"/>
      <c r="AT36" s="39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534"/>
      <c r="B37" s="566"/>
      <c r="C37" s="473"/>
      <c r="D37" s="475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445"/>
      <c r="AL37" s="445"/>
      <c r="AM37" s="447"/>
      <c r="AN37" s="436"/>
      <c r="AO37" s="376"/>
      <c r="AP37" s="375"/>
      <c r="AQ37" s="375"/>
      <c r="AR37" s="436"/>
      <c r="AS37" s="153"/>
      <c r="AT37" s="39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187</v>
      </c>
      <c r="B38" s="270" t="s">
        <v>188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533">
        <f>A36+1</f>
        <v>15</v>
      </c>
      <c r="B39" s="533" t="s">
        <v>113</v>
      </c>
      <c r="C39" s="472" t="str">
        <f>VLOOKUP(B39,DS,2,0)</f>
        <v>Nguyễn Văn Bé Hai</v>
      </c>
      <c r="D39" s="474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/>
      <c r="M39" s="153">
        <v>8</v>
      </c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/>
      <c r="T39" s="153">
        <v>8</v>
      </c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/>
      <c r="AA39" s="153">
        <v>8</v>
      </c>
      <c r="AB39" s="153">
        <v>8</v>
      </c>
      <c r="AC39" s="153">
        <v>8</v>
      </c>
      <c r="AD39" s="153">
        <v>8</v>
      </c>
      <c r="AE39" s="153">
        <v>8</v>
      </c>
      <c r="AF39" s="153">
        <v>8</v>
      </c>
      <c r="AG39" s="153"/>
      <c r="AH39" s="153">
        <v>8</v>
      </c>
      <c r="AI39" s="153">
        <v>8</v>
      </c>
      <c r="AJ39" s="153">
        <v>8</v>
      </c>
      <c r="AK39" s="444">
        <f>((SUM(F39:AJ39))/8)-(SUMIF($F$6:$AJ$6,"C.Nhật",F39:AJ39)/8)</f>
        <v>27</v>
      </c>
      <c r="AL39" s="444">
        <f>SUM(F40:AI40)/8*1.5</f>
        <v>0</v>
      </c>
      <c r="AM39" s="446">
        <f>SUMIF($F$6:$AI$6,"C.Nhật",$F39:$AI40)/8*2</f>
        <v>0</v>
      </c>
      <c r="AN39" s="435">
        <f>SUM(AK39:AM40)</f>
        <v>27</v>
      </c>
      <c r="AO39" s="448">
        <v>0</v>
      </c>
      <c r="AP39" s="435"/>
      <c r="AQ39" s="435"/>
      <c r="AR39" s="435"/>
      <c r="AS39" s="437"/>
      <c r="AT39" s="39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34"/>
      <c r="B40" s="534"/>
      <c r="C40" s="473"/>
      <c r="D40" s="475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45"/>
      <c r="AL40" s="445"/>
      <c r="AM40" s="447"/>
      <c r="AN40" s="436"/>
      <c r="AO40" s="449"/>
      <c r="AP40" s="436"/>
      <c r="AQ40" s="436"/>
      <c r="AR40" s="436"/>
      <c r="AS40" s="438"/>
      <c r="AT40" s="39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537">
        <f>A39+1</f>
        <v>16</v>
      </c>
      <c r="B41" s="537" t="s">
        <v>206</v>
      </c>
      <c r="C41" s="539" t="s">
        <v>205</v>
      </c>
      <c r="D41" s="541" t="str">
        <f>VLOOKUP(B41,DS,3,0)</f>
        <v>Công nhân</v>
      </c>
      <c r="E41" s="326" t="s">
        <v>32</v>
      </c>
      <c r="F41" s="153">
        <v>8</v>
      </c>
      <c r="G41" s="153">
        <v>8</v>
      </c>
      <c r="H41" s="153">
        <v>8</v>
      </c>
      <c r="I41" s="153">
        <v>8</v>
      </c>
      <c r="J41" s="153">
        <v>8</v>
      </c>
      <c r="K41" s="153">
        <v>8</v>
      </c>
      <c r="L41" s="153"/>
      <c r="M41" s="153">
        <v>8</v>
      </c>
      <c r="N41" s="153">
        <v>8</v>
      </c>
      <c r="O41" s="153">
        <v>8</v>
      </c>
      <c r="P41" s="153">
        <v>8</v>
      </c>
      <c r="Q41" s="153">
        <v>8</v>
      </c>
      <c r="R41" s="153">
        <v>8</v>
      </c>
      <c r="S41" s="153"/>
      <c r="T41" s="153">
        <v>8</v>
      </c>
      <c r="U41" s="153">
        <v>8</v>
      </c>
      <c r="V41" s="153">
        <v>8</v>
      </c>
      <c r="W41" s="153">
        <v>8</v>
      </c>
      <c r="X41" s="153">
        <v>8</v>
      </c>
      <c r="Y41" s="153">
        <v>8</v>
      </c>
      <c r="Z41" s="153"/>
      <c r="AA41" s="153">
        <v>8</v>
      </c>
      <c r="AB41" s="153">
        <v>8</v>
      </c>
      <c r="AC41" s="153">
        <v>8</v>
      </c>
      <c r="AD41" s="153">
        <v>8</v>
      </c>
      <c r="AE41" s="153">
        <v>8</v>
      </c>
      <c r="AF41" s="153">
        <v>8</v>
      </c>
      <c r="AG41" s="153"/>
      <c r="AH41" s="153">
        <v>8</v>
      </c>
      <c r="AI41" s="153">
        <v>8</v>
      </c>
      <c r="AJ41" s="153">
        <v>8</v>
      </c>
      <c r="AK41" s="543">
        <f>((SUM(F41:AJ41))/8)-(SUMIF($F$6:$AJ$6,"C.Nhật",F41:AJ41)/8)</f>
        <v>27</v>
      </c>
      <c r="AL41" s="543">
        <f>SUM(F42:AI42)/8*1.5</f>
        <v>0</v>
      </c>
      <c r="AM41" s="545">
        <f>SUMIF($F$6:$AI$6,"C.Nhật",$F41:$AI42)/8*2</f>
        <v>0</v>
      </c>
      <c r="AN41" s="547">
        <f>SUM(AK41:AM42)</f>
        <v>27</v>
      </c>
      <c r="AO41" s="549">
        <v>0</v>
      </c>
      <c r="AP41" s="547"/>
      <c r="AQ41" s="547"/>
      <c r="AR41" s="547"/>
      <c r="AS41" s="551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538"/>
      <c r="B42" s="538"/>
      <c r="C42" s="540"/>
      <c r="D42" s="542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544"/>
      <c r="AL42" s="544"/>
      <c r="AM42" s="546"/>
      <c r="AN42" s="548"/>
      <c r="AO42" s="550"/>
      <c r="AP42" s="548"/>
      <c r="AQ42" s="548"/>
      <c r="AR42" s="548"/>
      <c r="AS42" s="552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533">
        <f>A41+1</f>
        <v>17</v>
      </c>
      <c r="B43" s="533" t="s">
        <v>118</v>
      </c>
      <c r="C43" s="472" t="str">
        <f>VLOOKUP(B43,DS,2,0)</f>
        <v>Trần Nhiên</v>
      </c>
      <c r="D43" s="474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8</v>
      </c>
      <c r="J43" s="153">
        <v>8</v>
      </c>
      <c r="K43" s="153">
        <v>8</v>
      </c>
      <c r="L43" s="153"/>
      <c r="M43" s="153">
        <v>8</v>
      </c>
      <c r="N43" s="153">
        <v>8</v>
      </c>
      <c r="O43" s="153">
        <v>8</v>
      </c>
      <c r="P43" s="153">
        <v>8</v>
      </c>
      <c r="Q43" s="153">
        <v>8</v>
      </c>
      <c r="R43" s="153">
        <v>8</v>
      </c>
      <c r="S43" s="153"/>
      <c r="T43" s="153">
        <v>8</v>
      </c>
      <c r="U43" s="153">
        <v>8</v>
      </c>
      <c r="V43" s="153">
        <v>8</v>
      </c>
      <c r="W43" s="153">
        <v>8</v>
      </c>
      <c r="X43" s="153">
        <v>8</v>
      </c>
      <c r="Y43" s="153">
        <v>8</v>
      </c>
      <c r="Z43" s="153"/>
      <c r="AA43" s="153">
        <v>8</v>
      </c>
      <c r="AB43" s="153">
        <v>8</v>
      </c>
      <c r="AC43" s="153">
        <v>8</v>
      </c>
      <c r="AD43" s="153">
        <v>8</v>
      </c>
      <c r="AE43" s="153">
        <v>8</v>
      </c>
      <c r="AF43" s="153">
        <v>8</v>
      </c>
      <c r="AG43" s="153"/>
      <c r="AH43" s="153">
        <v>8</v>
      </c>
      <c r="AI43" s="153">
        <v>8</v>
      </c>
      <c r="AJ43" s="153">
        <v>8</v>
      </c>
      <c r="AK43" s="444">
        <f>((SUM(F43:AJ43))/8)-(SUMIF($F$6:$AJ$6,"C.Nhật",F43:AJ43)/8)</f>
        <v>27</v>
      </c>
      <c r="AL43" s="444">
        <f>SUM(F44:AI44)/8*1.5</f>
        <v>0</v>
      </c>
      <c r="AM43" s="446">
        <f>SUMIF($F$6:$AI$6,"C.Nhật",$F43:$AI44)/8*2</f>
        <v>0</v>
      </c>
      <c r="AN43" s="435">
        <f>SUM(AK43:AM44)</f>
        <v>27</v>
      </c>
      <c r="AO43" s="448">
        <v>0</v>
      </c>
      <c r="AP43" s="435"/>
      <c r="AQ43" s="435"/>
      <c r="AR43" s="435"/>
      <c r="AS43" s="437"/>
      <c r="AT43" s="39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34"/>
      <c r="B44" s="534"/>
      <c r="C44" s="473"/>
      <c r="D44" s="475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45"/>
      <c r="AL44" s="445"/>
      <c r="AM44" s="447"/>
      <c r="AN44" s="436"/>
      <c r="AO44" s="449"/>
      <c r="AP44" s="436"/>
      <c r="AQ44" s="436"/>
      <c r="AR44" s="436"/>
      <c r="AS44" s="438"/>
      <c r="AT44" s="39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533">
        <f>A43+1</f>
        <v>18</v>
      </c>
      <c r="B45" s="533" t="s">
        <v>119</v>
      </c>
      <c r="C45" s="472" t="str">
        <f>VLOOKUP(B45,DS,2,0)</f>
        <v>Thạch Giang</v>
      </c>
      <c r="D45" s="474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8</v>
      </c>
      <c r="J45" s="153">
        <v>8</v>
      </c>
      <c r="K45" s="153">
        <v>8</v>
      </c>
      <c r="L45" s="153"/>
      <c r="M45" s="153">
        <v>8</v>
      </c>
      <c r="N45" s="153">
        <v>8</v>
      </c>
      <c r="O45" s="153">
        <v>8</v>
      </c>
      <c r="P45" s="153">
        <v>8</v>
      </c>
      <c r="Q45" s="153">
        <v>8</v>
      </c>
      <c r="R45" s="153">
        <v>8</v>
      </c>
      <c r="S45" s="153"/>
      <c r="T45" s="153">
        <v>8</v>
      </c>
      <c r="U45" s="153">
        <v>8</v>
      </c>
      <c r="V45" s="153">
        <v>8</v>
      </c>
      <c r="W45" s="153">
        <v>8</v>
      </c>
      <c r="X45" s="153">
        <v>8</v>
      </c>
      <c r="Y45" s="153">
        <v>8</v>
      </c>
      <c r="Z45" s="153"/>
      <c r="AA45" s="153">
        <v>8</v>
      </c>
      <c r="AB45" s="153">
        <v>8</v>
      </c>
      <c r="AC45" s="153">
        <v>8</v>
      </c>
      <c r="AD45" s="153">
        <v>8</v>
      </c>
      <c r="AE45" s="153">
        <v>8</v>
      </c>
      <c r="AF45" s="153">
        <v>8</v>
      </c>
      <c r="AG45" s="153"/>
      <c r="AH45" s="153">
        <v>8</v>
      </c>
      <c r="AI45" s="153">
        <v>8</v>
      </c>
      <c r="AJ45" s="153">
        <v>8</v>
      </c>
      <c r="AK45" s="444">
        <f>((SUM(F45:AJ45))/8)-(SUMIF($F$6:$AJ$6,"C.Nhật",F45:AJ45)/8)</f>
        <v>27</v>
      </c>
      <c r="AL45" s="444">
        <f>SUM(F46:AI46)/8*1.5</f>
        <v>0</v>
      </c>
      <c r="AM45" s="446">
        <f>SUMIF($F$6:$AI$6,"C.Nhật",$F45:$AI46)/8*2</f>
        <v>0</v>
      </c>
      <c r="AN45" s="435">
        <f>SUM(AK45:AM46)</f>
        <v>27</v>
      </c>
      <c r="AO45" s="448">
        <v>0</v>
      </c>
      <c r="AP45" s="435"/>
      <c r="AQ45" s="435"/>
      <c r="AR45" s="435"/>
      <c r="AS45" s="437"/>
      <c r="AT45" s="39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534"/>
      <c r="B46" s="534"/>
      <c r="C46" s="473"/>
      <c r="D46" s="475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445"/>
      <c r="AL46" s="445"/>
      <c r="AM46" s="447"/>
      <c r="AN46" s="436"/>
      <c r="AO46" s="449"/>
      <c r="AP46" s="436"/>
      <c r="AQ46" s="436"/>
      <c r="AR46" s="436"/>
      <c r="AS46" s="438"/>
      <c r="AT46" s="39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533">
        <f>A45+1</f>
        <v>19</v>
      </c>
      <c r="B47" s="533" t="s">
        <v>122</v>
      </c>
      <c r="C47" s="472" t="str">
        <f>VLOOKUP(B47,DS,2,0)</f>
        <v>Lâm Chanh Đa Ra</v>
      </c>
      <c r="D47" s="474" t="str">
        <f>VLOOKUP(B47,DS,3,0)</f>
        <v>Công nhân</v>
      </c>
      <c r="E47" s="58" t="s">
        <v>32</v>
      </c>
      <c r="F47" s="153">
        <v>8</v>
      </c>
      <c r="G47" s="153">
        <v>8</v>
      </c>
      <c r="H47" s="153">
        <v>8</v>
      </c>
      <c r="I47" s="153">
        <v>8</v>
      </c>
      <c r="J47" s="153">
        <v>8</v>
      </c>
      <c r="K47" s="153">
        <v>8</v>
      </c>
      <c r="L47" s="153"/>
      <c r="M47" s="153">
        <v>8</v>
      </c>
      <c r="N47" s="153">
        <v>8</v>
      </c>
      <c r="O47" s="153">
        <v>8</v>
      </c>
      <c r="P47" s="153">
        <v>8</v>
      </c>
      <c r="Q47" s="153">
        <v>8</v>
      </c>
      <c r="R47" s="153">
        <v>8</v>
      </c>
      <c r="S47" s="153"/>
      <c r="T47" s="153">
        <v>8</v>
      </c>
      <c r="U47" s="153">
        <v>8</v>
      </c>
      <c r="V47" s="153">
        <v>8</v>
      </c>
      <c r="W47" s="153">
        <v>8</v>
      </c>
      <c r="X47" s="153">
        <v>8</v>
      </c>
      <c r="Y47" s="153">
        <v>8</v>
      </c>
      <c r="Z47" s="153"/>
      <c r="AA47" s="153">
        <v>8</v>
      </c>
      <c r="AB47" s="153">
        <v>8</v>
      </c>
      <c r="AC47" s="153">
        <v>8</v>
      </c>
      <c r="AD47" s="153">
        <v>8</v>
      </c>
      <c r="AE47" s="153">
        <v>8</v>
      </c>
      <c r="AF47" s="153">
        <v>8</v>
      </c>
      <c r="AG47" s="153"/>
      <c r="AH47" s="153">
        <v>8</v>
      </c>
      <c r="AI47" s="153">
        <v>8</v>
      </c>
      <c r="AJ47" s="153">
        <v>8</v>
      </c>
      <c r="AK47" s="444">
        <f>((SUM(F47:AJ47))/8)-(SUMIF($F$6:$AJ$6,"C.Nhật",F47:AJ47)/8)</f>
        <v>27</v>
      </c>
      <c r="AL47" s="444">
        <f>SUM(F48:AI48)/8*1.5</f>
        <v>0</v>
      </c>
      <c r="AM47" s="446">
        <f>SUMIF($F$6:$AI$6,"C.Nhật",$F47:$AI48)/8*2</f>
        <v>0</v>
      </c>
      <c r="AN47" s="435">
        <f>SUM(AK47:AM48)</f>
        <v>27</v>
      </c>
      <c r="AO47" s="448">
        <v>0</v>
      </c>
      <c r="AP47" s="435"/>
      <c r="AQ47" s="435"/>
      <c r="AR47" s="435"/>
      <c r="AS47" s="437"/>
      <c r="AT47" s="399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534"/>
      <c r="B48" s="534"/>
      <c r="C48" s="473"/>
      <c r="D48" s="475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445"/>
      <c r="AL48" s="445"/>
      <c r="AM48" s="447"/>
      <c r="AN48" s="436"/>
      <c r="AO48" s="449"/>
      <c r="AP48" s="436"/>
      <c r="AQ48" s="436"/>
      <c r="AR48" s="436"/>
      <c r="AS48" s="438"/>
      <c r="AT48" s="399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396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396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05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463" t="s">
        <v>112</v>
      </c>
      <c r="AN71" s="464"/>
      <c r="AO71" s="464"/>
      <c r="AP71" s="464"/>
      <c r="AQ71" s="464"/>
      <c r="AR71" s="464"/>
      <c r="AS71" s="465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42856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466" t="s">
        <v>28</v>
      </c>
      <c r="B75" s="466" t="s">
        <v>3</v>
      </c>
      <c r="C75" s="466" t="s">
        <v>1</v>
      </c>
      <c r="D75" s="468" t="s">
        <v>29</v>
      </c>
      <c r="E75" s="466" t="s">
        <v>30</v>
      </c>
      <c r="F75" s="148">
        <f>+E74</f>
        <v>42856</v>
      </c>
      <c r="G75" s="148">
        <f t="shared" ref="G75:AG75" si="10">F75+1</f>
        <v>42857</v>
      </c>
      <c r="H75" s="148">
        <f t="shared" si="10"/>
        <v>42858</v>
      </c>
      <c r="I75" s="148">
        <f t="shared" si="10"/>
        <v>42859</v>
      </c>
      <c r="J75" s="148">
        <f t="shared" si="10"/>
        <v>42860</v>
      </c>
      <c r="K75" s="148">
        <f t="shared" si="10"/>
        <v>42861</v>
      </c>
      <c r="L75" s="148">
        <f t="shared" si="10"/>
        <v>42862</v>
      </c>
      <c r="M75" s="148">
        <f t="shared" si="10"/>
        <v>42863</v>
      </c>
      <c r="N75" s="148">
        <f t="shared" si="10"/>
        <v>42864</v>
      </c>
      <c r="O75" s="148">
        <f t="shared" si="10"/>
        <v>42865</v>
      </c>
      <c r="P75" s="148">
        <f t="shared" si="10"/>
        <v>42866</v>
      </c>
      <c r="Q75" s="148">
        <f t="shared" si="10"/>
        <v>42867</v>
      </c>
      <c r="R75" s="148">
        <f t="shared" si="10"/>
        <v>42868</v>
      </c>
      <c r="S75" s="148">
        <f t="shared" si="10"/>
        <v>42869</v>
      </c>
      <c r="T75" s="148">
        <f t="shared" si="10"/>
        <v>42870</v>
      </c>
      <c r="U75" s="148">
        <f t="shared" si="10"/>
        <v>42871</v>
      </c>
      <c r="V75" s="148">
        <f t="shared" si="10"/>
        <v>42872</v>
      </c>
      <c r="W75" s="148">
        <f t="shared" si="10"/>
        <v>42873</v>
      </c>
      <c r="X75" s="148">
        <f t="shared" si="10"/>
        <v>42874</v>
      </c>
      <c r="Y75" s="148">
        <f t="shared" si="10"/>
        <v>42875</v>
      </c>
      <c r="Z75" s="148">
        <f t="shared" si="10"/>
        <v>42876</v>
      </c>
      <c r="AA75" s="148">
        <f t="shared" si="10"/>
        <v>42877</v>
      </c>
      <c r="AB75" s="148">
        <f t="shared" si="10"/>
        <v>42878</v>
      </c>
      <c r="AC75" s="148">
        <f t="shared" si="10"/>
        <v>42879</v>
      </c>
      <c r="AD75" s="148">
        <f t="shared" si="10"/>
        <v>42880</v>
      </c>
      <c r="AE75" s="148">
        <f t="shared" si="10"/>
        <v>42881</v>
      </c>
      <c r="AF75" s="148">
        <f t="shared" si="10"/>
        <v>42882</v>
      </c>
      <c r="AG75" s="148">
        <f t="shared" si="10"/>
        <v>42883</v>
      </c>
      <c r="AH75" s="148">
        <f>AG75+1</f>
        <v>42884</v>
      </c>
      <c r="AI75" s="148">
        <f>AH75+1</f>
        <v>42885</v>
      </c>
      <c r="AJ75" s="148">
        <f>AI75+1</f>
        <v>42886</v>
      </c>
      <c r="AK75" s="476" t="s">
        <v>15</v>
      </c>
      <c r="AL75" s="477"/>
      <c r="AM75" s="478"/>
      <c r="AN75" s="479" t="s">
        <v>45</v>
      </c>
      <c r="AO75" s="479" t="s">
        <v>41</v>
      </c>
      <c r="AP75" s="479" t="s">
        <v>42</v>
      </c>
      <c r="AQ75" s="479" t="s">
        <v>43</v>
      </c>
      <c r="AR75" s="479" t="s">
        <v>44</v>
      </c>
      <c r="AS75" s="468" t="s">
        <v>0</v>
      </c>
      <c r="AT75" s="469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467"/>
      <c r="B76" s="467"/>
      <c r="C76" s="467"/>
      <c r="D76" s="467"/>
      <c r="E76" s="467"/>
      <c r="F76" s="278" t="str">
        <f>CHOOSE(WEEKDAY(F75),"C.Nhật","T.Hai","T.Ba","T.Tư","T.Năm","T.Sáu","T.Bảy")</f>
        <v>T.Hai</v>
      </c>
      <c r="G76" s="278" t="str">
        <f t="shared" ref="G76:AI76" si="11">CHOOSE(WEEKDAY(G75),"C.Nhật","T.Hai","T.Ba","T.Tư","T.Năm","T.Sáu","T.Bảy")</f>
        <v>T.Ba</v>
      </c>
      <c r="H76" s="278" t="str">
        <f t="shared" si="11"/>
        <v>T.Tư</v>
      </c>
      <c r="I76" s="278" t="str">
        <f t="shared" si="11"/>
        <v>T.Năm</v>
      </c>
      <c r="J76" s="278" t="str">
        <f t="shared" si="11"/>
        <v>T.Sáu</v>
      </c>
      <c r="K76" s="150" t="str">
        <f t="shared" si="11"/>
        <v>T.Bảy</v>
      </c>
      <c r="L76" s="150" t="str">
        <f t="shared" si="11"/>
        <v>C.Nhật</v>
      </c>
      <c r="M76" s="150" t="str">
        <f t="shared" si="11"/>
        <v>T.Hai</v>
      </c>
      <c r="N76" s="150" t="str">
        <f t="shared" si="11"/>
        <v>T.Ba</v>
      </c>
      <c r="O76" s="150" t="str">
        <f t="shared" si="11"/>
        <v>T.Tư</v>
      </c>
      <c r="P76" s="150" t="str">
        <f t="shared" si="11"/>
        <v>T.Năm</v>
      </c>
      <c r="Q76" s="150" t="str">
        <f t="shared" si="11"/>
        <v>T.Sáu</v>
      </c>
      <c r="R76" s="150" t="str">
        <f t="shared" si="11"/>
        <v>T.Bảy</v>
      </c>
      <c r="S76" s="150" t="str">
        <f t="shared" si="11"/>
        <v>C.Nhật</v>
      </c>
      <c r="T76" s="150" t="str">
        <f t="shared" si="11"/>
        <v>T.Hai</v>
      </c>
      <c r="U76" s="150" t="str">
        <f t="shared" si="11"/>
        <v>T.Ba</v>
      </c>
      <c r="V76" s="150" t="str">
        <f t="shared" si="11"/>
        <v>T.Tư</v>
      </c>
      <c r="W76" s="150" t="str">
        <f t="shared" si="11"/>
        <v>T.Năm</v>
      </c>
      <c r="X76" s="150" t="str">
        <f t="shared" si="11"/>
        <v>T.Sáu</v>
      </c>
      <c r="Y76" s="150" t="str">
        <f t="shared" si="11"/>
        <v>T.Bảy</v>
      </c>
      <c r="Z76" s="150" t="str">
        <f t="shared" si="11"/>
        <v>C.Nhật</v>
      </c>
      <c r="AA76" s="150" t="str">
        <f t="shared" si="11"/>
        <v>T.Hai</v>
      </c>
      <c r="AB76" s="150" t="str">
        <f t="shared" si="11"/>
        <v>T.Ba</v>
      </c>
      <c r="AC76" s="150" t="str">
        <f t="shared" si="11"/>
        <v>T.Tư</v>
      </c>
      <c r="AD76" s="150" t="str">
        <f t="shared" si="11"/>
        <v>T.Năm</v>
      </c>
      <c r="AE76" s="150" t="str">
        <f t="shared" si="11"/>
        <v>T.Sáu</v>
      </c>
      <c r="AF76" s="150" t="str">
        <f t="shared" si="11"/>
        <v>T.Bảy</v>
      </c>
      <c r="AG76" s="150" t="str">
        <f t="shared" si="11"/>
        <v>C.Nhật</v>
      </c>
      <c r="AH76" s="150" t="str">
        <f t="shared" si="11"/>
        <v>T.Hai</v>
      </c>
      <c r="AI76" s="150" t="str">
        <f t="shared" si="11"/>
        <v>T.Ba</v>
      </c>
      <c r="AJ76" s="150"/>
      <c r="AK76" s="151" t="s">
        <v>16</v>
      </c>
      <c r="AL76" s="151" t="s">
        <v>31</v>
      </c>
      <c r="AM76" s="152" t="s">
        <v>17</v>
      </c>
      <c r="AN76" s="480"/>
      <c r="AO76" s="480"/>
      <c r="AP76" s="480"/>
      <c r="AQ76" s="480"/>
      <c r="AR76" s="480"/>
      <c r="AS76" s="467"/>
      <c r="AT76" s="469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398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70">
        <v>1</v>
      </c>
      <c r="B78" s="470" t="s">
        <v>68</v>
      </c>
      <c r="C78" s="472" t="str">
        <f>VLOOKUP(B78,DS,2,0)</f>
        <v>Nguyễn Thiện Duy</v>
      </c>
      <c r="D78" s="474" t="str">
        <f>VLOOKUP(B78,DS,3,0)</f>
        <v>Giám đốc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>
        <v>8</v>
      </c>
      <c r="K78" s="153"/>
      <c r="L78" s="153"/>
      <c r="M78" s="153">
        <v>8</v>
      </c>
      <c r="N78" s="153">
        <v>8</v>
      </c>
      <c r="O78" s="153">
        <v>8</v>
      </c>
      <c r="P78" s="153">
        <v>8</v>
      </c>
      <c r="Q78" s="153">
        <v>8</v>
      </c>
      <c r="R78" s="153"/>
      <c r="S78" s="153"/>
      <c r="T78" s="153">
        <v>8</v>
      </c>
      <c r="U78" s="153"/>
      <c r="V78" s="153">
        <v>8</v>
      </c>
      <c r="W78" s="153">
        <v>8</v>
      </c>
      <c r="X78" s="153">
        <v>8</v>
      </c>
      <c r="Y78" s="153"/>
      <c r="Z78" s="153"/>
      <c r="AA78" s="153">
        <v>8</v>
      </c>
      <c r="AB78" s="153">
        <v>8</v>
      </c>
      <c r="AC78" s="153"/>
      <c r="AD78" s="153">
        <v>8</v>
      </c>
      <c r="AE78" s="153">
        <v>8</v>
      </c>
      <c r="AF78" s="153"/>
      <c r="AG78" s="153"/>
      <c r="AH78" s="153">
        <v>8</v>
      </c>
      <c r="AI78" s="153">
        <v>8</v>
      </c>
      <c r="AJ78" s="153">
        <v>8</v>
      </c>
      <c r="AK78" s="444">
        <f>((SUM(F78:AJ78))/8)-(SUMIF($F$6:$AJ$6,"C.Nhật",F78:AJ78)/8)</f>
        <v>21</v>
      </c>
      <c r="AL78" s="444">
        <f>SUM(F79:AI79)/8*1.5</f>
        <v>0</v>
      </c>
      <c r="AM78" s="446">
        <f>SUMIF($F$6:$AI$6,"C.Nhật",$F78:$AI79)/8*2</f>
        <v>0</v>
      </c>
      <c r="AN78" s="435">
        <f>SUM(AK78:AM79)</f>
        <v>21</v>
      </c>
      <c r="AO78" s="481">
        <v>0</v>
      </c>
      <c r="AP78" s="483"/>
      <c r="AQ78" s="483"/>
      <c r="AR78" s="483"/>
      <c r="AS78" s="485"/>
      <c r="AT78" s="398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71"/>
      <c r="B79" s="471"/>
      <c r="C79" s="473"/>
      <c r="D79" s="475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45"/>
      <c r="AL79" s="445"/>
      <c r="AM79" s="447"/>
      <c r="AN79" s="436"/>
      <c r="AO79" s="482"/>
      <c r="AP79" s="484"/>
      <c r="AQ79" s="484"/>
      <c r="AR79" s="484"/>
      <c r="AS79" s="486"/>
      <c r="AT79" s="398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70">
        <v>2</v>
      </c>
      <c r="B80" s="470" t="s">
        <v>70</v>
      </c>
      <c r="C80" s="472" t="str">
        <f>VLOOKUP(B80,DS,2,0)</f>
        <v>Nguyễn Văn Sẽ</v>
      </c>
      <c r="D80" s="474" t="str">
        <f>VLOOKUP(B80,DS,3,0)</f>
        <v>Kỹ Thuật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/>
      <c r="M80" s="153">
        <v>8</v>
      </c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/>
      <c r="T80" s="153">
        <v>8</v>
      </c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/>
      <c r="AA80" s="153">
        <v>8</v>
      </c>
      <c r="AB80" s="153">
        <v>8</v>
      </c>
      <c r="AC80" s="153">
        <v>8</v>
      </c>
      <c r="AD80" s="153">
        <v>8</v>
      </c>
      <c r="AE80" s="153">
        <v>8</v>
      </c>
      <c r="AF80" s="153">
        <v>8</v>
      </c>
      <c r="AG80" s="153"/>
      <c r="AH80" s="153">
        <v>8</v>
      </c>
      <c r="AI80" s="153">
        <v>8</v>
      </c>
      <c r="AJ80" s="153">
        <v>8</v>
      </c>
      <c r="AK80" s="444">
        <f>((SUM(F80:AJ80))/8)-(SUMIF($F$6:$AJ$6,"C.Nhật",F80:AJ80)/8)</f>
        <v>27</v>
      </c>
      <c r="AL80" s="444">
        <f>SUM(F81:AI81)/8*1.5</f>
        <v>0</v>
      </c>
      <c r="AM80" s="446">
        <f>SUMIF($F$6:$AI$6,"C.Nhật",$F80:$AI81)/8*2</f>
        <v>0</v>
      </c>
      <c r="AN80" s="435">
        <f>SUM(AK80:AM81)</f>
        <v>27</v>
      </c>
      <c r="AO80" s="481">
        <v>0</v>
      </c>
      <c r="AP80" s="483"/>
      <c r="AQ80" s="483"/>
      <c r="AR80" s="483"/>
      <c r="AS80" s="485"/>
      <c r="AT80" s="398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71"/>
      <c r="B81" s="471"/>
      <c r="C81" s="473"/>
      <c r="D81" s="475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45"/>
      <c r="AL81" s="445"/>
      <c r="AM81" s="447"/>
      <c r="AN81" s="436"/>
      <c r="AO81" s="482"/>
      <c r="AP81" s="484"/>
      <c r="AQ81" s="484"/>
      <c r="AR81" s="484"/>
      <c r="AS81" s="486"/>
      <c r="AT81" s="398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70">
        <v>3</v>
      </c>
      <c r="B82" s="470" t="s">
        <v>72</v>
      </c>
      <c r="C82" s="472" t="str">
        <f>VLOOKUP(B82,DS,2,0)</f>
        <v>Võ Uyên Phương</v>
      </c>
      <c r="D82" s="474" t="str">
        <f>VLOOKUP(B82,DS,3,0)</f>
        <v>Kế toán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/>
      <c r="M82" s="153">
        <v>8</v>
      </c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/>
      <c r="T82" s="153">
        <v>8</v>
      </c>
      <c r="U82" s="153">
        <v>8</v>
      </c>
      <c r="V82" s="153">
        <v>8</v>
      </c>
      <c r="W82" s="153">
        <v>8</v>
      </c>
      <c r="X82" s="153">
        <v>8</v>
      </c>
      <c r="Y82" s="153">
        <v>8</v>
      </c>
      <c r="Z82" s="153"/>
      <c r="AA82" s="153">
        <v>8</v>
      </c>
      <c r="AB82" s="153">
        <v>8</v>
      </c>
      <c r="AC82" s="153">
        <v>8</v>
      </c>
      <c r="AD82" s="153">
        <v>8</v>
      </c>
      <c r="AE82" s="153">
        <v>8</v>
      </c>
      <c r="AF82" s="153">
        <v>8</v>
      </c>
      <c r="AG82" s="153"/>
      <c r="AH82" s="153">
        <v>8</v>
      </c>
      <c r="AI82" s="153">
        <v>8</v>
      </c>
      <c r="AJ82" s="153">
        <v>8</v>
      </c>
      <c r="AK82" s="444">
        <f>((SUM(F82:AJ82))/8)-(SUMIF($F$6:$AJ$6,"C.Nhật",F82:AJ82)/8)</f>
        <v>27</v>
      </c>
      <c r="AL82" s="444">
        <f>SUM(F83:AI83)/8*1.5</f>
        <v>0</v>
      </c>
      <c r="AM82" s="446">
        <f>SUMIF($F$6:$AI$6,"C.Nhật",$F82:$AI83)/8*2</f>
        <v>0</v>
      </c>
      <c r="AN82" s="435">
        <f>SUM(AK82:AM83)</f>
        <v>27</v>
      </c>
      <c r="AO82" s="481">
        <v>0</v>
      </c>
      <c r="AP82" s="483"/>
      <c r="AQ82" s="483"/>
      <c r="AR82" s="483"/>
      <c r="AS82" s="485"/>
      <c r="AT82" s="398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71"/>
      <c r="B83" s="471"/>
      <c r="C83" s="473"/>
      <c r="D83" s="475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45"/>
      <c r="AL83" s="445"/>
      <c r="AM83" s="447"/>
      <c r="AN83" s="436"/>
      <c r="AO83" s="482"/>
      <c r="AP83" s="484"/>
      <c r="AQ83" s="484"/>
      <c r="AR83" s="484"/>
      <c r="AS83" s="486"/>
      <c r="AT83" s="398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70">
        <v>4</v>
      </c>
      <c r="B84" s="470" t="s">
        <v>75</v>
      </c>
      <c r="C84" s="472" t="str">
        <f>VLOOKUP(B84,DS,2,0)</f>
        <v>Lê Nguyễn Huy Cường</v>
      </c>
      <c r="D84" s="474" t="str">
        <f>VLOOKUP(B84,DS,3,0)</f>
        <v>XNK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/>
      <c r="M84" s="153">
        <v>8</v>
      </c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/>
      <c r="T84" s="153">
        <v>8</v>
      </c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/>
      <c r="AA84" s="153">
        <v>8</v>
      </c>
      <c r="AB84" s="153">
        <v>8</v>
      </c>
      <c r="AC84" s="153">
        <v>8</v>
      </c>
      <c r="AD84" s="153">
        <v>8</v>
      </c>
      <c r="AE84" s="153">
        <v>8</v>
      </c>
      <c r="AF84" s="153">
        <v>8</v>
      </c>
      <c r="AG84" s="153"/>
      <c r="AH84" s="153">
        <v>8</v>
      </c>
      <c r="AI84" s="153">
        <v>8</v>
      </c>
      <c r="AJ84" s="153">
        <v>8</v>
      </c>
      <c r="AK84" s="444">
        <f>((SUM(F84:AJ84))/8)-(SUMIF($F$6:$AJ$6,"C.Nhật",F84:AJ84)/8)</f>
        <v>27</v>
      </c>
      <c r="AL84" s="444">
        <f>SUM(F85:AI85)/8*1.5</f>
        <v>0</v>
      </c>
      <c r="AM84" s="446">
        <f>SUMIF($F$6:$AI$6,"C.Nhật",$F84:$AI85)/8*2</f>
        <v>0</v>
      </c>
      <c r="AN84" s="435">
        <f>SUM(AK84:AM85)</f>
        <v>27</v>
      </c>
      <c r="AO84" s="481">
        <v>0</v>
      </c>
      <c r="AP84" s="483"/>
      <c r="AQ84" s="483"/>
      <c r="AR84" s="483"/>
      <c r="AS84" s="485"/>
      <c r="AT84" s="398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71"/>
      <c r="B85" s="471"/>
      <c r="C85" s="473"/>
      <c r="D85" s="475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45"/>
      <c r="AL85" s="445"/>
      <c r="AM85" s="447"/>
      <c r="AN85" s="436"/>
      <c r="AO85" s="482"/>
      <c r="AP85" s="484"/>
      <c r="AQ85" s="484"/>
      <c r="AR85" s="484"/>
      <c r="AS85" s="486"/>
      <c r="AT85" s="398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70">
        <v>5</v>
      </c>
      <c r="B86" s="470" t="s">
        <v>77</v>
      </c>
      <c r="C86" s="472" t="str">
        <f>VLOOKUP(B86,DS,2,0)</f>
        <v>Nguyễn Văn Bé Tư</v>
      </c>
      <c r="D86" s="474" t="str">
        <f>VLOOKUP(B86,DS,3,0)</f>
        <v>Tài xế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>
        <v>8</v>
      </c>
      <c r="K86" s="153">
        <v>8</v>
      </c>
      <c r="L86" s="153"/>
      <c r="M86" s="153">
        <v>8</v>
      </c>
      <c r="N86" s="153">
        <v>8</v>
      </c>
      <c r="O86" s="153">
        <v>8</v>
      </c>
      <c r="P86" s="153">
        <v>8</v>
      </c>
      <c r="Q86" s="153">
        <v>8</v>
      </c>
      <c r="R86" s="153">
        <v>8</v>
      </c>
      <c r="S86" s="153"/>
      <c r="T86" s="153">
        <v>8</v>
      </c>
      <c r="U86" s="153">
        <v>8</v>
      </c>
      <c r="V86" s="153">
        <v>8</v>
      </c>
      <c r="W86" s="153">
        <v>8</v>
      </c>
      <c r="X86" s="153">
        <v>8</v>
      </c>
      <c r="Y86" s="153">
        <v>8</v>
      </c>
      <c r="Z86" s="153"/>
      <c r="AA86" s="153">
        <v>8</v>
      </c>
      <c r="AB86" s="153">
        <v>8</v>
      </c>
      <c r="AC86" s="153">
        <v>8</v>
      </c>
      <c r="AD86" s="153">
        <v>8</v>
      </c>
      <c r="AE86" s="153">
        <v>8</v>
      </c>
      <c r="AF86" s="153">
        <v>8</v>
      </c>
      <c r="AG86" s="153"/>
      <c r="AH86" s="153">
        <v>8</v>
      </c>
      <c r="AI86" s="153">
        <v>8</v>
      </c>
      <c r="AJ86" s="153">
        <v>8</v>
      </c>
      <c r="AK86" s="444">
        <f>((SUM(F86:AJ86))/8)-(SUMIF($F$6:$AJ$6,"C.Nhật",F86:AJ86)/8)</f>
        <v>27</v>
      </c>
      <c r="AL86" s="444">
        <f>SUM(F87:AI87)/8*1.5</f>
        <v>0</v>
      </c>
      <c r="AM86" s="446">
        <f>SUMIF($F$6:$AI$6,"C.Nhật",$F86:$AI87)/8*2</f>
        <v>0</v>
      </c>
      <c r="AN86" s="435">
        <f>SUM(AK86:AM87)</f>
        <v>27</v>
      </c>
      <c r="AO86" s="481">
        <v>0</v>
      </c>
      <c r="AP86" s="483"/>
      <c r="AQ86" s="483"/>
      <c r="AR86" s="483"/>
      <c r="AS86" s="485"/>
      <c r="AT86" s="398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71"/>
      <c r="B87" s="471"/>
      <c r="C87" s="473"/>
      <c r="D87" s="475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45"/>
      <c r="AL87" s="445"/>
      <c r="AM87" s="447"/>
      <c r="AN87" s="436"/>
      <c r="AO87" s="482"/>
      <c r="AP87" s="484"/>
      <c r="AQ87" s="484"/>
      <c r="AR87" s="484"/>
      <c r="AS87" s="486"/>
      <c r="AT87" s="398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70">
        <v>6</v>
      </c>
      <c r="B88" s="470" t="s">
        <v>78</v>
      </c>
      <c r="C88" s="472" t="str">
        <f>VLOOKUP(B88,DS,2,0)</f>
        <v>Dương Thanh Tuấn</v>
      </c>
      <c r="D88" s="474" t="str">
        <f>VLOOKUP(B88,DS,3,0)</f>
        <v>Nhân sự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>
        <v>8</v>
      </c>
      <c r="K88" s="153">
        <v>8</v>
      </c>
      <c r="L88" s="153"/>
      <c r="M88" s="153">
        <v>8</v>
      </c>
      <c r="N88" s="153">
        <v>8</v>
      </c>
      <c r="O88" s="153">
        <v>8</v>
      </c>
      <c r="P88" s="153">
        <v>8</v>
      </c>
      <c r="Q88" s="153">
        <v>8</v>
      </c>
      <c r="R88" s="153">
        <v>8</v>
      </c>
      <c r="S88" s="153"/>
      <c r="T88" s="153">
        <v>8</v>
      </c>
      <c r="U88" s="153">
        <v>8</v>
      </c>
      <c r="V88" s="153">
        <v>8</v>
      </c>
      <c r="W88" s="153">
        <v>8</v>
      </c>
      <c r="X88" s="153">
        <v>8</v>
      </c>
      <c r="Y88" s="153">
        <v>8</v>
      </c>
      <c r="Z88" s="153"/>
      <c r="AA88" s="153">
        <v>8</v>
      </c>
      <c r="AB88" s="153">
        <v>8</v>
      </c>
      <c r="AC88" s="153">
        <v>8</v>
      </c>
      <c r="AD88" s="153">
        <v>8</v>
      </c>
      <c r="AE88" s="153">
        <v>8</v>
      </c>
      <c r="AF88" s="153">
        <v>8</v>
      </c>
      <c r="AG88" s="153"/>
      <c r="AH88" s="153">
        <v>8</v>
      </c>
      <c r="AI88" s="153">
        <v>8</v>
      </c>
      <c r="AJ88" s="153">
        <v>8</v>
      </c>
      <c r="AK88" s="444">
        <f>((SUM(F88:AJ88))/8)-(SUMIF($F$6:$AJ$6,"C.Nhật",F88:AJ88)/8)</f>
        <v>27</v>
      </c>
      <c r="AL88" s="444">
        <f>SUM(F89:AI89)/8*1.5</f>
        <v>0</v>
      </c>
      <c r="AM88" s="446">
        <f>SUMIF($F$6:$AI$6,"C.Nhật",$F88:$AI89)/8*2</f>
        <v>0</v>
      </c>
      <c r="AN88" s="435">
        <f>SUM(AK88:AM89)</f>
        <v>27</v>
      </c>
      <c r="AO88" s="481">
        <v>0</v>
      </c>
      <c r="AP88" s="483"/>
      <c r="AQ88" s="483"/>
      <c r="AR88" s="483"/>
      <c r="AS88" s="485"/>
      <c r="AT88" s="398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71"/>
      <c r="B89" s="471"/>
      <c r="C89" s="473"/>
      <c r="D89" s="475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445"/>
      <c r="AL89" s="445"/>
      <c r="AM89" s="447"/>
      <c r="AN89" s="436"/>
      <c r="AO89" s="482"/>
      <c r="AP89" s="484"/>
      <c r="AQ89" s="484"/>
      <c r="AR89" s="484"/>
      <c r="AS89" s="486"/>
      <c r="AT89" s="398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70">
        <v>7</v>
      </c>
      <c r="B90" s="470" t="s">
        <v>81</v>
      </c>
      <c r="C90" s="472" t="str">
        <f>VLOOKUP(B90,DS,2,0)</f>
        <v>Nguyễn Thiện Duyệt</v>
      </c>
      <c r="D90" s="474" t="str">
        <f>VLOOKUP(B90,DS,3,0)</f>
        <v>XNK</v>
      </c>
      <c r="E90" s="58" t="s">
        <v>32</v>
      </c>
      <c r="F90" s="153">
        <v>8</v>
      </c>
      <c r="G90" s="153">
        <v>8</v>
      </c>
      <c r="H90" s="153">
        <v>8</v>
      </c>
      <c r="I90" s="153">
        <v>8</v>
      </c>
      <c r="J90" s="153">
        <v>8</v>
      </c>
      <c r="K90" s="153">
        <v>8</v>
      </c>
      <c r="L90" s="153"/>
      <c r="M90" s="153">
        <v>8</v>
      </c>
      <c r="N90" s="153">
        <v>8</v>
      </c>
      <c r="O90" s="153">
        <v>8</v>
      </c>
      <c r="P90" s="153">
        <v>8</v>
      </c>
      <c r="Q90" s="153">
        <v>8</v>
      </c>
      <c r="R90" s="153">
        <v>8</v>
      </c>
      <c r="S90" s="153"/>
      <c r="T90" s="153">
        <v>8</v>
      </c>
      <c r="U90" s="153">
        <v>8</v>
      </c>
      <c r="V90" s="153">
        <v>8</v>
      </c>
      <c r="W90" s="153">
        <v>8</v>
      </c>
      <c r="X90" s="153">
        <v>8</v>
      </c>
      <c r="Y90" s="153">
        <v>8</v>
      </c>
      <c r="Z90" s="153"/>
      <c r="AA90" s="153">
        <v>8</v>
      </c>
      <c r="AB90" s="153">
        <v>8</v>
      </c>
      <c r="AC90" s="153">
        <v>8</v>
      </c>
      <c r="AD90" s="153">
        <v>8</v>
      </c>
      <c r="AE90" s="153">
        <v>8</v>
      </c>
      <c r="AF90" s="153">
        <v>8</v>
      </c>
      <c r="AG90" s="153"/>
      <c r="AH90" s="153">
        <v>8</v>
      </c>
      <c r="AI90" s="153">
        <v>8</v>
      </c>
      <c r="AJ90" s="153">
        <v>8</v>
      </c>
      <c r="AK90" s="444">
        <f>((SUM(F90:AJ90))/8)-(SUMIF($F$6:$AJ$6,"C.Nhật",F90:AJ90)/8)</f>
        <v>27</v>
      </c>
      <c r="AL90" s="444">
        <f>SUM(F91:AI91)/8*1.5</f>
        <v>0</v>
      </c>
      <c r="AM90" s="446">
        <f>SUMIF($F$6:$AI$6,"C.Nhật",$F90:$AI91)/8*2</f>
        <v>0</v>
      </c>
      <c r="AN90" s="435">
        <f>SUM(AK90:AM91)</f>
        <v>27</v>
      </c>
      <c r="AO90" s="481">
        <v>0</v>
      </c>
      <c r="AP90" s="483"/>
      <c r="AQ90" s="483"/>
      <c r="AR90" s="483"/>
      <c r="AS90" s="485"/>
      <c r="AT90" s="398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471"/>
      <c r="B91" s="471"/>
      <c r="C91" s="473"/>
      <c r="D91" s="475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445"/>
      <c r="AL91" s="445"/>
      <c r="AM91" s="447"/>
      <c r="AN91" s="436"/>
      <c r="AO91" s="482"/>
      <c r="AP91" s="484"/>
      <c r="AQ91" s="484"/>
      <c r="AR91" s="484"/>
      <c r="AS91" s="486"/>
      <c r="AT91" s="398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470">
        <v>8</v>
      </c>
      <c r="B92" s="470" t="s">
        <v>208</v>
      </c>
      <c r="C92" s="472" t="s">
        <v>203</v>
      </c>
      <c r="D92" s="474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8</v>
      </c>
      <c r="J92" s="153">
        <v>8</v>
      </c>
      <c r="K92" s="153">
        <v>8</v>
      </c>
      <c r="L92" s="153"/>
      <c r="M92" s="153">
        <v>8</v>
      </c>
      <c r="N92" s="153">
        <v>8</v>
      </c>
      <c r="O92" s="153">
        <v>8</v>
      </c>
      <c r="P92" s="153">
        <v>8</v>
      </c>
      <c r="Q92" s="153">
        <v>8</v>
      </c>
      <c r="R92" s="153">
        <v>8</v>
      </c>
      <c r="S92" s="153"/>
      <c r="T92" s="153">
        <v>8</v>
      </c>
      <c r="U92" s="153">
        <v>8</v>
      </c>
      <c r="V92" s="153">
        <v>8</v>
      </c>
      <c r="W92" s="153">
        <v>8</v>
      </c>
      <c r="X92" s="153">
        <v>8</v>
      </c>
      <c r="Y92" s="153">
        <v>8</v>
      </c>
      <c r="Z92" s="153"/>
      <c r="AA92" s="153">
        <v>8</v>
      </c>
      <c r="AB92" s="153">
        <v>8</v>
      </c>
      <c r="AC92" s="153">
        <v>8</v>
      </c>
      <c r="AD92" s="153">
        <v>8</v>
      </c>
      <c r="AE92" s="153">
        <v>8</v>
      </c>
      <c r="AF92" s="153">
        <v>8</v>
      </c>
      <c r="AG92" s="153"/>
      <c r="AH92" s="153">
        <v>8</v>
      </c>
      <c r="AI92" s="153">
        <v>8</v>
      </c>
      <c r="AJ92" s="153">
        <v>8</v>
      </c>
      <c r="AK92" s="444">
        <f>((SUM(F92:AJ92))/8)-(SUMIF($F$6:$AJ$6,"C.Nhật",F92:AJ92)/8)</f>
        <v>27</v>
      </c>
      <c r="AL92" s="444">
        <f>SUM(F93:AI93)/8*1.5</f>
        <v>0</v>
      </c>
      <c r="AM92" s="446">
        <f>SUMIF($F$6:$AI$6,"C.Nhật",$F92:$AI93)/8*2</f>
        <v>0</v>
      </c>
      <c r="AN92" s="435">
        <f>SUM(AK92:AM93)</f>
        <v>27</v>
      </c>
      <c r="AO92" s="481">
        <v>0</v>
      </c>
      <c r="AP92" s="483"/>
      <c r="AQ92" s="483"/>
      <c r="AR92" s="483"/>
      <c r="AS92" s="485"/>
      <c r="AT92" s="398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471"/>
      <c r="B93" s="471"/>
      <c r="C93" s="473"/>
      <c r="D93" s="475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445"/>
      <c r="AL93" s="445"/>
      <c r="AM93" s="447"/>
      <c r="AN93" s="436"/>
      <c r="AO93" s="482"/>
      <c r="AP93" s="484"/>
      <c r="AQ93" s="484"/>
      <c r="AR93" s="484"/>
      <c r="AS93" s="486"/>
      <c r="AT93" s="398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470">
        <v>9</v>
      </c>
      <c r="B94" s="470" t="s">
        <v>207</v>
      </c>
      <c r="C94" s="472" t="s">
        <v>204</v>
      </c>
      <c r="D94" s="474" t="str">
        <f>VLOOKUP(B94,DS,3,0)</f>
        <v>Kế toán</v>
      </c>
      <c r="E94" s="58" t="s">
        <v>32</v>
      </c>
      <c r="F94" s="153">
        <v>8</v>
      </c>
      <c r="G94" s="153">
        <v>8</v>
      </c>
      <c r="H94" s="153">
        <v>8</v>
      </c>
      <c r="I94" s="153">
        <v>8</v>
      </c>
      <c r="J94" s="153">
        <v>8</v>
      </c>
      <c r="K94" s="153">
        <v>8</v>
      </c>
      <c r="L94" s="153"/>
      <c r="M94" s="153">
        <v>8</v>
      </c>
      <c r="N94" s="153">
        <v>8</v>
      </c>
      <c r="O94" s="153">
        <v>8</v>
      </c>
      <c r="P94" s="153">
        <v>8</v>
      </c>
      <c r="Q94" s="153">
        <v>8</v>
      </c>
      <c r="R94" s="153">
        <v>8</v>
      </c>
      <c r="S94" s="153"/>
      <c r="T94" s="153">
        <v>8</v>
      </c>
      <c r="U94" s="153">
        <v>8</v>
      </c>
      <c r="V94" s="153">
        <v>8</v>
      </c>
      <c r="W94" s="153">
        <v>8</v>
      </c>
      <c r="X94" s="153">
        <v>8</v>
      </c>
      <c r="Y94" s="153">
        <v>8</v>
      </c>
      <c r="Z94" s="153"/>
      <c r="AA94" s="153">
        <v>8</v>
      </c>
      <c r="AB94" s="153">
        <v>8</v>
      </c>
      <c r="AC94" s="153">
        <v>8</v>
      </c>
      <c r="AD94" s="153">
        <v>8</v>
      </c>
      <c r="AE94" s="153">
        <v>8</v>
      </c>
      <c r="AF94" s="153">
        <v>8</v>
      </c>
      <c r="AG94" s="153"/>
      <c r="AH94" s="153">
        <v>8</v>
      </c>
      <c r="AI94" s="153">
        <v>8</v>
      </c>
      <c r="AJ94" s="153">
        <v>8</v>
      </c>
      <c r="AK94" s="444">
        <f>((SUM(F94:AJ94))/8)-(SUMIF($F$6:$AJ$6,"C.Nhật",F94:AJ94)/8)</f>
        <v>27</v>
      </c>
      <c r="AL94" s="444">
        <f>SUM(F95:AI95)/8*1.5</f>
        <v>0</v>
      </c>
      <c r="AM94" s="446">
        <f>SUMIF($F$6:$AI$6,"C.Nhật",$F94:$AI95)/8*2</f>
        <v>0</v>
      </c>
      <c r="AN94" s="435">
        <f>SUM(AK94:AM95)</f>
        <v>27</v>
      </c>
      <c r="AO94" s="481">
        <v>0</v>
      </c>
      <c r="AP94" s="483"/>
      <c r="AQ94" s="483"/>
      <c r="AR94" s="483"/>
      <c r="AS94" s="485"/>
      <c r="AT94" s="398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471"/>
      <c r="B95" s="471"/>
      <c r="C95" s="473"/>
      <c r="D95" s="475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445"/>
      <c r="AL95" s="445"/>
      <c r="AM95" s="447"/>
      <c r="AN95" s="436"/>
      <c r="AO95" s="482"/>
      <c r="AP95" s="484"/>
      <c r="AQ95" s="484"/>
      <c r="AR95" s="484"/>
      <c r="AS95" s="486"/>
      <c r="AT95" s="398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P94:AP95"/>
    <mergeCell ref="AQ94:AQ95"/>
    <mergeCell ref="AR94:AR95"/>
    <mergeCell ref="AS94:AS95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O94:AO95"/>
    <mergeCell ref="AM92:AM93"/>
    <mergeCell ref="AN92:AN93"/>
    <mergeCell ref="AO92:AO93"/>
    <mergeCell ref="AP92:AP93"/>
    <mergeCell ref="AQ92:AQ93"/>
    <mergeCell ref="AR92:AR93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S88:AS89"/>
    <mergeCell ref="AM88:AM89"/>
    <mergeCell ref="AN88:AN89"/>
    <mergeCell ref="AO88:AO89"/>
    <mergeCell ref="AP88:AP89"/>
    <mergeCell ref="AQ88:AQ89"/>
    <mergeCell ref="AR88:AR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O86:AO87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N75:AN76"/>
    <mergeCell ref="AO75:AO76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E75:E76"/>
    <mergeCell ref="AK75:AM75"/>
    <mergeCell ref="AP78:AP79"/>
    <mergeCell ref="AQ78:AQ79"/>
    <mergeCell ref="AO47:AO48"/>
    <mergeCell ref="AP47:AP48"/>
    <mergeCell ref="AQ47:AQ48"/>
    <mergeCell ref="AR47:AR48"/>
    <mergeCell ref="AS47:AS48"/>
    <mergeCell ref="AM71:AS71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L45:AL46"/>
    <mergeCell ref="AM45:AM46"/>
    <mergeCell ref="AN45:AN46"/>
    <mergeCell ref="AO45:AO46"/>
    <mergeCell ref="AP45:AP46"/>
    <mergeCell ref="AQ45:AQ46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R36:AR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3:AJ104 F5:AJ6 F50:AJ69 F106:AJ119 AS37 F9:AJ12 F14:AJ48 F78:AJ95">
    <cfRule type="expression" dxfId="337" priority="156" stopIfTrue="1">
      <formula>IF(WEEKDAY(F$5)=1,TRUE,FALSE)</formula>
    </cfRule>
  </conditionalFormatting>
  <conditionalFormatting sqref="F5:AJ6 F9:AJ12 F75:AJ76">
    <cfRule type="expression" dxfId="336" priority="155" stopIfTrue="1">
      <formula>IF(WEEKDAY(F$5)=1,TRUE,FALSE)</formula>
    </cfRule>
  </conditionalFormatting>
  <conditionalFormatting sqref="K39:P39">
    <cfRule type="expression" dxfId="335" priority="154" stopIfTrue="1">
      <formula>IF(WEEKDAY(K$5)=1,TRUE,FALSE)</formula>
    </cfRule>
  </conditionalFormatting>
  <conditionalFormatting sqref="K41:P41">
    <cfRule type="expression" dxfId="334" priority="153" stopIfTrue="1">
      <formula>IF(WEEKDAY(K$5)=1,TRUE,FALSE)</formula>
    </cfRule>
  </conditionalFormatting>
  <conditionalFormatting sqref="K43:P43">
    <cfRule type="expression" dxfId="333" priority="152" stopIfTrue="1">
      <formula>IF(WEEKDAY(K$5)=1,TRUE,FALSE)</formula>
    </cfRule>
  </conditionalFormatting>
  <conditionalFormatting sqref="K45:P45">
    <cfRule type="expression" dxfId="332" priority="151" stopIfTrue="1">
      <formula>IF(WEEKDAY(K$5)=1,TRUE,FALSE)</formula>
    </cfRule>
  </conditionalFormatting>
  <conditionalFormatting sqref="K47:P47">
    <cfRule type="expression" dxfId="331" priority="150" stopIfTrue="1">
      <formula>IF(WEEKDAY(K$5)=1,TRUE,FALSE)</formula>
    </cfRule>
  </conditionalFormatting>
  <conditionalFormatting sqref="R47:W47">
    <cfRule type="expression" dxfId="330" priority="149" stopIfTrue="1">
      <formula>IF(WEEKDAY(R$5)=1,TRUE,FALSE)</formula>
    </cfRule>
  </conditionalFormatting>
  <conditionalFormatting sqref="R45:W45">
    <cfRule type="expression" dxfId="329" priority="148" stopIfTrue="1">
      <formula>IF(WEEKDAY(R$5)=1,TRUE,FALSE)</formula>
    </cfRule>
  </conditionalFormatting>
  <conditionalFormatting sqref="R43:W43">
    <cfRule type="expression" dxfId="328" priority="147" stopIfTrue="1">
      <formula>IF(WEEKDAY(R$5)=1,TRUE,FALSE)</formula>
    </cfRule>
  </conditionalFormatting>
  <conditionalFormatting sqref="R41:W41">
    <cfRule type="expression" dxfId="327" priority="146" stopIfTrue="1">
      <formula>IF(WEEKDAY(R$5)=1,TRUE,FALSE)</formula>
    </cfRule>
  </conditionalFormatting>
  <conditionalFormatting sqref="R39:W39">
    <cfRule type="expression" dxfId="326" priority="145" stopIfTrue="1">
      <formula>IF(WEEKDAY(R$5)=1,TRUE,FALSE)</formula>
    </cfRule>
  </conditionalFormatting>
  <conditionalFormatting sqref="Y39:AD39">
    <cfRule type="expression" dxfId="325" priority="144" stopIfTrue="1">
      <formula>IF(WEEKDAY(Y$5)=1,TRUE,FALSE)</formula>
    </cfRule>
  </conditionalFormatting>
  <conditionalFormatting sqref="Y41:AD41">
    <cfRule type="expression" dxfId="324" priority="143" stopIfTrue="1">
      <formula>IF(WEEKDAY(Y$5)=1,TRUE,FALSE)</formula>
    </cfRule>
  </conditionalFormatting>
  <conditionalFormatting sqref="Y43:AD43">
    <cfRule type="expression" dxfId="323" priority="142" stopIfTrue="1">
      <formula>IF(WEEKDAY(Y$5)=1,TRUE,FALSE)</formula>
    </cfRule>
  </conditionalFormatting>
  <conditionalFormatting sqref="Y45:AD45">
    <cfRule type="expression" dxfId="322" priority="141" stopIfTrue="1">
      <formula>IF(WEEKDAY(Y$5)=1,TRUE,FALSE)</formula>
    </cfRule>
  </conditionalFormatting>
  <conditionalFormatting sqref="Y47:AD47">
    <cfRule type="expression" dxfId="321" priority="140" stopIfTrue="1">
      <formula>IF(WEEKDAY(Y$5)=1,TRUE,FALSE)</formula>
    </cfRule>
  </conditionalFormatting>
  <conditionalFormatting sqref="F14:I14">
    <cfRule type="expression" dxfId="320" priority="139" stopIfTrue="1">
      <formula>IF(WEEKDAY(F$5)=1,TRUE,FALSE)</formula>
    </cfRule>
  </conditionalFormatting>
  <conditionalFormatting sqref="F16:I16">
    <cfRule type="expression" dxfId="319" priority="138" stopIfTrue="1">
      <formula>IF(WEEKDAY(F$5)=1,TRUE,FALSE)</formula>
    </cfRule>
  </conditionalFormatting>
  <conditionalFormatting sqref="F18:I18">
    <cfRule type="expression" dxfId="318" priority="137" stopIfTrue="1">
      <formula>IF(WEEKDAY(F$5)=1,TRUE,FALSE)</formula>
    </cfRule>
  </conditionalFormatting>
  <conditionalFormatting sqref="F20:I20">
    <cfRule type="expression" dxfId="317" priority="136" stopIfTrue="1">
      <formula>IF(WEEKDAY(F$5)=1,TRUE,FALSE)</formula>
    </cfRule>
  </conditionalFormatting>
  <conditionalFormatting sqref="F22:I22">
    <cfRule type="expression" dxfId="316" priority="135" stopIfTrue="1">
      <formula>IF(WEEKDAY(F$5)=1,TRUE,FALSE)</formula>
    </cfRule>
  </conditionalFormatting>
  <conditionalFormatting sqref="F24:I24">
    <cfRule type="expression" dxfId="315" priority="134" stopIfTrue="1">
      <formula>IF(WEEKDAY(F$5)=1,TRUE,FALSE)</formula>
    </cfRule>
  </conditionalFormatting>
  <conditionalFormatting sqref="F26:I26">
    <cfRule type="expression" dxfId="314" priority="133" stopIfTrue="1">
      <formula>IF(WEEKDAY(F$5)=1,TRUE,FALSE)</formula>
    </cfRule>
  </conditionalFormatting>
  <conditionalFormatting sqref="F28:I28">
    <cfRule type="expression" dxfId="313" priority="132" stopIfTrue="1">
      <formula>IF(WEEKDAY(F$5)=1,TRUE,FALSE)</formula>
    </cfRule>
  </conditionalFormatting>
  <conditionalFormatting sqref="F30:I30">
    <cfRule type="expression" dxfId="312" priority="131" stopIfTrue="1">
      <formula>IF(WEEKDAY(F$5)=1,TRUE,FALSE)</formula>
    </cfRule>
  </conditionalFormatting>
  <conditionalFormatting sqref="F32:I32">
    <cfRule type="expression" dxfId="311" priority="130" stopIfTrue="1">
      <formula>IF(WEEKDAY(F$5)=1,TRUE,FALSE)</formula>
    </cfRule>
  </conditionalFormatting>
  <conditionalFormatting sqref="F39:I39">
    <cfRule type="expression" dxfId="310" priority="129" stopIfTrue="1">
      <formula>IF(WEEKDAY(F$5)=1,TRUE,FALSE)</formula>
    </cfRule>
  </conditionalFormatting>
  <conditionalFormatting sqref="F41:I41">
    <cfRule type="expression" dxfId="309" priority="128" stopIfTrue="1">
      <formula>IF(WEEKDAY(F$5)=1,TRUE,FALSE)</formula>
    </cfRule>
  </conditionalFormatting>
  <conditionalFormatting sqref="F43:I43">
    <cfRule type="expression" dxfId="308" priority="127" stopIfTrue="1">
      <formula>IF(WEEKDAY(F$5)=1,TRUE,FALSE)</formula>
    </cfRule>
  </conditionalFormatting>
  <conditionalFormatting sqref="F45:I45">
    <cfRule type="expression" dxfId="307" priority="126" stopIfTrue="1">
      <formula>IF(WEEKDAY(F$5)=1,TRUE,FALSE)</formula>
    </cfRule>
  </conditionalFormatting>
  <conditionalFormatting sqref="F47:I47">
    <cfRule type="expression" dxfId="306" priority="125" stopIfTrue="1">
      <formula>IF(WEEKDAY(F$5)=1,TRUE,FALSE)</formula>
    </cfRule>
  </conditionalFormatting>
  <conditionalFormatting sqref="F78:I78">
    <cfRule type="expression" dxfId="305" priority="124" stopIfTrue="1">
      <formula>IF(WEEKDAY(F$5)=1,TRUE,FALSE)</formula>
    </cfRule>
  </conditionalFormatting>
  <conditionalFormatting sqref="F80:I80">
    <cfRule type="expression" dxfId="304" priority="123" stopIfTrue="1">
      <formula>IF(WEEKDAY(F$5)=1,TRUE,FALSE)</formula>
    </cfRule>
  </conditionalFormatting>
  <conditionalFormatting sqref="F82:I82">
    <cfRule type="expression" dxfId="303" priority="122" stopIfTrue="1">
      <formula>IF(WEEKDAY(F$5)=1,TRUE,FALSE)</formula>
    </cfRule>
  </conditionalFormatting>
  <conditionalFormatting sqref="F84:I84">
    <cfRule type="expression" dxfId="302" priority="121" stopIfTrue="1">
      <formula>IF(WEEKDAY(F$5)=1,TRUE,FALSE)</formula>
    </cfRule>
  </conditionalFormatting>
  <conditionalFormatting sqref="F86:I86">
    <cfRule type="expression" dxfId="301" priority="120" stopIfTrue="1">
      <formula>IF(WEEKDAY(F$5)=1,TRUE,FALSE)</formula>
    </cfRule>
  </conditionalFormatting>
  <conditionalFormatting sqref="F88:I88">
    <cfRule type="expression" dxfId="300" priority="119" stopIfTrue="1">
      <formula>IF(WEEKDAY(F$5)=1,TRUE,FALSE)</formula>
    </cfRule>
  </conditionalFormatting>
  <conditionalFormatting sqref="F90:I90">
    <cfRule type="expression" dxfId="299" priority="118" stopIfTrue="1">
      <formula>IF(WEEKDAY(F$5)=1,TRUE,FALSE)</formula>
    </cfRule>
  </conditionalFormatting>
  <conditionalFormatting sqref="F92:I92">
    <cfRule type="expression" dxfId="298" priority="117" stopIfTrue="1">
      <formula>IF(WEEKDAY(F$5)=1,TRUE,FALSE)</formula>
    </cfRule>
  </conditionalFormatting>
  <conditionalFormatting sqref="F94:I94">
    <cfRule type="expression" dxfId="297" priority="116" stopIfTrue="1">
      <formula>IF(WEEKDAY(F$5)=1,TRUE,FALSE)</formula>
    </cfRule>
  </conditionalFormatting>
  <conditionalFormatting sqref="AF14:AJ14">
    <cfRule type="expression" dxfId="296" priority="115" stopIfTrue="1">
      <formula>IF(WEEKDAY(AF$5)=1,TRUE,FALSE)</formula>
    </cfRule>
  </conditionalFormatting>
  <conditionalFormatting sqref="AF16:AJ16">
    <cfRule type="expression" dxfId="295" priority="114" stopIfTrue="1">
      <formula>IF(WEEKDAY(AF$5)=1,TRUE,FALSE)</formula>
    </cfRule>
  </conditionalFormatting>
  <conditionalFormatting sqref="AF18:AJ18">
    <cfRule type="expression" dxfId="294" priority="113" stopIfTrue="1">
      <formula>IF(WEEKDAY(AF$5)=1,TRUE,FALSE)</formula>
    </cfRule>
  </conditionalFormatting>
  <conditionalFormatting sqref="AF20:AJ20">
    <cfRule type="expression" dxfId="293" priority="112" stopIfTrue="1">
      <formula>IF(WEEKDAY(AF$5)=1,TRUE,FALSE)</formula>
    </cfRule>
  </conditionalFormatting>
  <conditionalFormatting sqref="AF22:AJ22">
    <cfRule type="expression" dxfId="292" priority="111" stopIfTrue="1">
      <formula>IF(WEEKDAY(AF$5)=1,TRUE,FALSE)</formula>
    </cfRule>
  </conditionalFormatting>
  <conditionalFormatting sqref="AF24:AJ24">
    <cfRule type="expression" dxfId="291" priority="110" stopIfTrue="1">
      <formula>IF(WEEKDAY(AF$5)=1,TRUE,FALSE)</formula>
    </cfRule>
  </conditionalFormatting>
  <conditionalFormatting sqref="AF26:AJ26">
    <cfRule type="expression" dxfId="290" priority="109" stopIfTrue="1">
      <formula>IF(WEEKDAY(AF$5)=1,TRUE,FALSE)</formula>
    </cfRule>
  </conditionalFormatting>
  <conditionalFormatting sqref="AF28:AJ28">
    <cfRule type="expression" dxfId="289" priority="108" stopIfTrue="1">
      <formula>IF(WEEKDAY(AF$5)=1,TRUE,FALSE)</formula>
    </cfRule>
  </conditionalFormatting>
  <conditionalFormatting sqref="AF30:AJ30">
    <cfRule type="expression" dxfId="288" priority="107" stopIfTrue="1">
      <formula>IF(WEEKDAY(AF$5)=1,TRUE,FALSE)</formula>
    </cfRule>
  </conditionalFormatting>
  <conditionalFormatting sqref="AF32:AJ32">
    <cfRule type="expression" dxfId="287" priority="106" stopIfTrue="1">
      <formula>IF(WEEKDAY(AF$5)=1,TRUE,FALSE)</formula>
    </cfRule>
  </conditionalFormatting>
  <conditionalFormatting sqref="AF39:AJ39">
    <cfRule type="expression" dxfId="286" priority="105" stopIfTrue="1">
      <formula>IF(WEEKDAY(AF$5)=1,TRUE,FALSE)</formula>
    </cfRule>
  </conditionalFormatting>
  <conditionalFormatting sqref="AF43:AJ43">
    <cfRule type="expression" dxfId="285" priority="104" stopIfTrue="1">
      <formula>IF(WEEKDAY(AF$5)=1,TRUE,FALSE)</formula>
    </cfRule>
  </conditionalFormatting>
  <conditionalFormatting sqref="AF45:AJ45">
    <cfRule type="expression" dxfId="284" priority="103" stopIfTrue="1">
      <formula>IF(WEEKDAY(AF$5)=1,TRUE,FALSE)</formula>
    </cfRule>
  </conditionalFormatting>
  <conditionalFormatting sqref="AF47:AJ47">
    <cfRule type="expression" dxfId="283" priority="102" stopIfTrue="1">
      <formula>IF(WEEKDAY(AF$5)=1,TRUE,FALSE)</formula>
    </cfRule>
  </conditionalFormatting>
  <conditionalFormatting sqref="K41:P41">
    <cfRule type="expression" dxfId="282" priority="101" stopIfTrue="1">
      <formula>IF(WEEKDAY(K$5)=1,TRUE,FALSE)</formula>
    </cfRule>
  </conditionalFormatting>
  <conditionalFormatting sqref="R41:W41">
    <cfRule type="expression" dxfId="281" priority="100" stopIfTrue="1">
      <formula>IF(WEEKDAY(R$5)=1,TRUE,FALSE)</formula>
    </cfRule>
  </conditionalFormatting>
  <conditionalFormatting sqref="Y41:AD41">
    <cfRule type="expression" dxfId="280" priority="99" stopIfTrue="1">
      <formula>IF(WEEKDAY(Y$5)=1,TRUE,FALSE)</formula>
    </cfRule>
  </conditionalFormatting>
  <conditionalFormatting sqref="F41:I41">
    <cfRule type="expression" dxfId="279" priority="98" stopIfTrue="1">
      <formula>IF(WEEKDAY(F$5)=1,TRUE,FALSE)</formula>
    </cfRule>
  </conditionalFormatting>
  <conditionalFormatting sqref="AF41:AJ41">
    <cfRule type="expression" dxfId="278" priority="97" stopIfTrue="1">
      <formula>IF(WEEKDAY(AF$5)=1,TRUE,FALSE)</formula>
    </cfRule>
  </conditionalFormatting>
  <conditionalFormatting sqref="I34">
    <cfRule type="expression" dxfId="277" priority="96" stopIfTrue="1">
      <formula>IF(WEEKDAY(I$5)=1,TRUE,FALSE)</formula>
    </cfRule>
  </conditionalFormatting>
  <conditionalFormatting sqref="AF34:AJ34">
    <cfRule type="expression" dxfId="276" priority="95" stopIfTrue="1">
      <formula>IF(WEEKDAY(AF$5)=1,TRUE,FALSE)</formula>
    </cfRule>
  </conditionalFormatting>
  <conditionalFormatting sqref="I34">
    <cfRule type="expression" dxfId="275" priority="94" stopIfTrue="1">
      <formula>IF(WEEKDAY(I$5)=1,TRUE,FALSE)</formula>
    </cfRule>
  </conditionalFormatting>
  <conditionalFormatting sqref="AF34:AJ34">
    <cfRule type="expression" dxfId="274" priority="93" stopIfTrue="1">
      <formula>IF(WEEKDAY(AF$5)=1,TRUE,FALSE)</formula>
    </cfRule>
  </conditionalFormatting>
  <conditionalFormatting sqref="I34">
    <cfRule type="expression" dxfId="273" priority="92" stopIfTrue="1">
      <formula>IF(WEEKDAY(I$5)=1,TRUE,FALSE)</formula>
    </cfRule>
  </conditionalFormatting>
  <conditionalFormatting sqref="AF34:AJ34">
    <cfRule type="expression" dxfId="272" priority="91" stopIfTrue="1">
      <formula>IF(WEEKDAY(AF$5)=1,TRUE,FALSE)</formula>
    </cfRule>
  </conditionalFormatting>
  <conditionalFormatting sqref="F34:H34">
    <cfRule type="expression" dxfId="271" priority="90" stopIfTrue="1">
      <formula>IF(WEEKDAY(F$5)=1,TRUE,FALSE)</formula>
    </cfRule>
  </conditionalFormatting>
  <conditionalFormatting sqref="F34:H34">
    <cfRule type="expression" dxfId="270" priority="89" stopIfTrue="1">
      <formula>IF(WEEKDAY(F$5)=1,TRUE,FALSE)</formula>
    </cfRule>
  </conditionalFormatting>
  <conditionalFormatting sqref="J34:L34 N34:P34 R34:T34 V34:X34 Z34:AB34 AD34:AF34 AH34:AJ34">
    <cfRule type="expression" dxfId="269" priority="88" stopIfTrue="1">
      <formula>IF(WEEKDAY(J$5)=1,TRUE,FALSE)</formula>
    </cfRule>
  </conditionalFormatting>
  <conditionalFormatting sqref="J34:L34 N34:P34 R34:T34 V34:X34 Z34:AB34 AD34:AF34 AH34:AJ34">
    <cfRule type="expression" dxfId="268" priority="87" stopIfTrue="1">
      <formula>IF(WEEKDAY(J$5)=1,TRUE,FALSE)</formula>
    </cfRule>
  </conditionalFormatting>
  <conditionalFormatting sqref="I36">
    <cfRule type="expression" dxfId="267" priority="86" stopIfTrue="1">
      <formula>IF(WEEKDAY(I$5)=1,TRUE,FALSE)</formula>
    </cfRule>
  </conditionalFormatting>
  <conditionalFormatting sqref="AF36:AJ36">
    <cfRule type="expression" dxfId="266" priority="85" stopIfTrue="1">
      <formula>IF(WEEKDAY(AF$5)=1,TRUE,FALSE)</formula>
    </cfRule>
  </conditionalFormatting>
  <conditionalFormatting sqref="I36">
    <cfRule type="expression" dxfId="265" priority="84" stopIfTrue="1">
      <formula>IF(WEEKDAY(I$5)=1,TRUE,FALSE)</formula>
    </cfRule>
  </conditionalFormatting>
  <conditionalFormatting sqref="AF36:AJ36">
    <cfRule type="expression" dxfId="264" priority="83" stopIfTrue="1">
      <formula>IF(WEEKDAY(AF$5)=1,TRUE,FALSE)</formula>
    </cfRule>
  </conditionalFormatting>
  <conditionalFormatting sqref="I36">
    <cfRule type="expression" dxfId="263" priority="82" stopIfTrue="1">
      <formula>IF(WEEKDAY(I$5)=1,TRUE,FALSE)</formula>
    </cfRule>
  </conditionalFormatting>
  <conditionalFormatting sqref="AF36:AJ36">
    <cfRule type="expression" dxfId="262" priority="81" stopIfTrue="1">
      <formula>IF(WEEKDAY(AF$5)=1,TRUE,FALSE)</formula>
    </cfRule>
  </conditionalFormatting>
  <conditionalFormatting sqref="F36:H36">
    <cfRule type="expression" dxfId="261" priority="80" stopIfTrue="1">
      <formula>IF(WEEKDAY(F$5)=1,TRUE,FALSE)</formula>
    </cfRule>
  </conditionalFormatting>
  <conditionalFormatting sqref="F36:H36">
    <cfRule type="expression" dxfId="260" priority="79" stopIfTrue="1">
      <formula>IF(WEEKDAY(F$5)=1,TRUE,FALSE)</formula>
    </cfRule>
  </conditionalFormatting>
  <conditionalFormatting sqref="J36:L36 N36:P36 R36:T36 V36:X36 Z36:AB36 AD36:AF36 AH36:AJ36">
    <cfRule type="expression" dxfId="259" priority="78" stopIfTrue="1">
      <formula>IF(WEEKDAY(J$5)=1,TRUE,FALSE)</formula>
    </cfRule>
  </conditionalFormatting>
  <conditionalFormatting sqref="J36:L36 N36:P36 R36:T36 V36:X36 Z36:AB36 AD36:AF36 AH36:AJ36">
    <cfRule type="expression" dxfId="258" priority="77" stopIfTrue="1">
      <formula>IF(WEEKDAY(J$5)=1,TRUE,FALSE)</formula>
    </cfRule>
  </conditionalFormatting>
  <conditionalFormatting sqref="F16:I16">
    <cfRule type="expression" dxfId="257" priority="76" stopIfTrue="1">
      <formula>IF(WEEKDAY(F$5)=1,TRUE,FALSE)</formula>
    </cfRule>
  </conditionalFormatting>
  <conditionalFormatting sqref="AF16:AJ16">
    <cfRule type="expression" dxfId="256" priority="75" stopIfTrue="1">
      <formula>IF(WEEKDAY(AF$5)=1,TRUE,FALSE)</formula>
    </cfRule>
  </conditionalFormatting>
  <conditionalFormatting sqref="F18:I18">
    <cfRule type="expression" dxfId="255" priority="74" stopIfTrue="1">
      <formula>IF(WEEKDAY(F$5)=1,TRUE,FALSE)</formula>
    </cfRule>
  </conditionalFormatting>
  <conditionalFormatting sqref="AF18:AJ18">
    <cfRule type="expression" dxfId="254" priority="73" stopIfTrue="1">
      <formula>IF(WEEKDAY(AF$5)=1,TRUE,FALSE)</formula>
    </cfRule>
  </conditionalFormatting>
  <conditionalFormatting sqref="F20:I20">
    <cfRule type="expression" dxfId="253" priority="72" stopIfTrue="1">
      <formula>IF(WEEKDAY(F$5)=1,TRUE,FALSE)</formula>
    </cfRule>
  </conditionalFormatting>
  <conditionalFormatting sqref="AF20:AJ20">
    <cfRule type="expression" dxfId="252" priority="71" stopIfTrue="1">
      <formula>IF(WEEKDAY(AF$5)=1,TRUE,FALSE)</formula>
    </cfRule>
  </conditionalFormatting>
  <conditionalFormatting sqref="F22:I22">
    <cfRule type="expression" dxfId="251" priority="70" stopIfTrue="1">
      <formula>IF(WEEKDAY(F$5)=1,TRUE,FALSE)</formula>
    </cfRule>
  </conditionalFormatting>
  <conditionalFormatting sqref="AF22:AJ22">
    <cfRule type="expression" dxfId="250" priority="69" stopIfTrue="1">
      <formula>IF(WEEKDAY(AF$5)=1,TRUE,FALSE)</formula>
    </cfRule>
  </conditionalFormatting>
  <conditionalFormatting sqref="F24:I24">
    <cfRule type="expression" dxfId="249" priority="68" stopIfTrue="1">
      <formula>IF(WEEKDAY(F$5)=1,TRUE,FALSE)</formula>
    </cfRule>
  </conditionalFormatting>
  <conditionalFormatting sqref="AF24:AJ24">
    <cfRule type="expression" dxfId="248" priority="67" stopIfTrue="1">
      <formula>IF(WEEKDAY(AF$5)=1,TRUE,FALSE)</formula>
    </cfRule>
  </conditionalFormatting>
  <conditionalFormatting sqref="F26:I26">
    <cfRule type="expression" dxfId="247" priority="66" stopIfTrue="1">
      <formula>IF(WEEKDAY(F$5)=1,TRUE,FALSE)</formula>
    </cfRule>
  </conditionalFormatting>
  <conditionalFormatting sqref="AF26:AJ26">
    <cfRule type="expression" dxfId="246" priority="65" stopIfTrue="1">
      <formula>IF(WEEKDAY(AF$5)=1,TRUE,FALSE)</formula>
    </cfRule>
  </conditionalFormatting>
  <conditionalFormatting sqref="F28:I28">
    <cfRule type="expression" dxfId="245" priority="64" stopIfTrue="1">
      <formula>IF(WEEKDAY(F$5)=1,TRUE,FALSE)</formula>
    </cfRule>
  </conditionalFormatting>
  <conditionalFormatting sqref="AF28:AJ28">
    <cfRule type="expression" dxfId="244" priority="63" stopIfTrue="1">
      <formula>IF(WEEKDAY(AF$5)=1,TRUE,FALSE)</formula>
    </cfRule>
  </conditionalFormatting>
  <conditionalFormatting sqref="F30:I30">
    <cfRule type="expression" dxfId="243" priority="62" stopIfTrue="1">
      <formula>IF(WEEKDAY(F$5)=1,TRUE,FALSE)</formula>
    </cfRule>
  </conditionalFormatting>
  <conditionalFormatting sqref="AF30:AJ30">
    <cfRule type="expression" dxfId="242" priority="61" stopIfTrue="1">
      <formula>IF(WEEKDAY(AF$5)=1,TRUE,FALSE)</formula>
    </cfRule>
  </conditionalFormatting>
  <conditionalFormatting sqref="F32:I32">
    <cfRule type="expression" dxfId="241" priority="60" stopIfTrue="1">
      <formula>IF(WEEKDAY(F$5)=1,TRUE,FALSE)</formula>
    </cfRule>
  </conditionalFormatting>
  <conditionalFormatting sqref="AF32:AJ32">
    <cfRule type="expression" dxfId="240" priority="59" stopIfTrue="1">
      <formula>IF(WEEKDAY(AF$5)=1,TRUE,FALSE)</formula>
    </cfRule>
  </conditionalFormatting>
  <conditionalFormatting sqref="F34:I34">
    <cfRule type="expression" dxfId="239" priority="58" stopIfTrue="1">
      <formula>IF(WEEKDAY(F$5)=1,TRUE,FALSE)</formula>
    </cfRule>
  </conditionalFormatting>
  <conditionalFormatting sqref="AF34:AJ34">
    <cfRule type="expression" dxfId="238" priority="57" stopIfTrue="1">
      <formula>IF(WEEKDAY(AF$5)=1,TRUE,FALSE)</formula>
    </cfRule>
  </conditionalFormatting>
  <conditionalFormatting sqref="F36:I36">
    <cfRule type="expression" dxfId="237" priority="56" stopIfTrue="1">
      <formula>IF(WEEKDAY(F$5)=1,TRUE,FALSE)</formula>
    </cfRule>
  </conditionalFormatting>
  <conditionalFormatting sqref="AF36:AJ36">
    <cfRule type="expression" dxfId="236" priority="55" stopIfTrue="1">
      <formula>IF(WEEKDAY(AF$5)=1,TRUE,FALSE)</formula>
    </cfRule>
  </conditionalFormatting>
  <conditionalFormatting sqref="I37">
    <cfRule type="expression" dxfId="235" priority="54" stopIfTrue="1">
      <formula>IF(WEEKDAY(I$5)=1,TRUE,FALSE)</formula>
    </cfRule>
  </conditionalFormatting>
  <conditionalFormatting sqref="AF37:AJ37">
    <cfRule type="expression" dxfId="234" priority="53" stopIfTrue="1">
      <formula>IF(WEEKDAY(AF$5)=1,TRUE,FALSE)</formula>
    </cfRule>
  </conditionalFormatting>
  <conditionalFormatting sqref="I37">
    <cfRule type="expression" dxfId="233" priority="52" stopIfTrue="1">
      <formula>IF(WEEKDAY(I$5)=1,TRUE,FALSE)</formula>
    </cfRule>
  </conditionalFormatting>
  <conditionalFormatting sqref="AF37:AJ37">
    <cfRule type="expression" dxfId="232" priority="51" stopIfTrue="1">
      <formula>IF(WEEKDAY(AF$5)=1,TRUE,FALSE)</formula>
    </cfRule>
  </conditionalFormatting>
  <conditionalFormatting sqref="I37">
    <cfRule type="expression" dxfId="231" priority="50" stopIfTrue="1">
      <formula>IF(WEEKDAY(I$5)=1,TRUE,FALSE)</formula>
    </cfRule>
  </conditionalFormatting>
  <conditionalFormatting sqref="AF37:AJ37">
    <cfRule type="expression" dxfId="230" priority="49" stopIfTrue="1">
      <formula>IF(WEEKDAY(AF$5)=1,TRUE,FALSE)</formula>
    </cfRule>
  </conditionalFormatting>
  <conditionalFormatting sqref="F37:H37 AS37">
    <cfRule type="expression" dxfId="229" priority="48" stopIfTrue="1">
      <formula>IF(WEEKDAY(F$5)=1,TRUE,FALSE)</formula>
    </cfRule>
  </conditionalFormatting>
  <conditionalFormatting sqref="F37:H37 AS37">
    <cfRule type="expression" dxfId="228" priority="47" stopIfTrue="1">
      <formula>IF(WEEKDAY(F$5)=1,TRUE,FALSE)</formula>
    </cfRule>
  </conditionalFormatting>
  <conditionalFormatting sqref="J37:L37 N37:P37 R37:T37 V37:X37 Z37:AB37 AD37:AF37 AH37:AJ37">
    <cfRule type="expression" dxfId="227" priority="46" stopIfTrue="1">
      <formula>IF(WEEKDAY(J$5)=1,TRUE,FALSE)</formula>
    </cfRule>
  </conditionalFormatting>
  <conditionalFormatting sqref="J37:L37 N37:P37 R37:T37 V37:X37 Z37:AB37 AD37:AF37 AH37:AJ37">
    <cfRule type="expression" dxfId="226" priority="45" stopIfTrue="1">
      <formula>IF(WEEKDAY(J$5)=1,TRUE,FALSE)</formula>
    </cfRule>
  </conditionalFormatting>
  <conditionalFormatting sqref="F37:I37 AS37">
    <cfRule type="expression" dxfId="225" priority="44" stopIfTrue="1">
      <formula>IF(WEEKDAY(F$5)=1,TRUE,FALSE)</formula>
    </cfRule>
  </conditionalFormatting>
  <conditionalFormatting sqref="AF37:AJ37">
    <cfRule type="expression" dxfId="224" priority="43" stopIfTrue="1">
      <formula>IF(WEEKDAY(AF$5)=1,TRUE,FALSE)</formula>
    </cfRule>
  </conditionalFormatting>
  <conditionalFormatting sqref="F80:I80">
    <cfRule type="expression" dxfId="223" priority="42" stopIfTrue="1">
      <formula>IF(WEEKDAY(F$5)=1,TRUE,FALSE)</formula>
    </cfRule>
  </conditionalFormatting>
  <conditionalFormatting sqref="F82:I82">
    <cfRule type="expression" dxfId="222" priority="41" stopIfTrue="1">
      <formula>IF(WEEKDAY(F$5)=1,TRUE,FALSE)</formula>
    </cfRule>
  </conditionalFormatting>
  <conditionalFormatting sqref="F84:I84">
    <cfRule type="expression" dxfId="221" priority="40" stopIfTrue="1">
      <formula>IF(WEEKDAY(F$5)=1,TRUE,FALSE)</formula>
    </cfRule>
  </conditionalFormatting>
  <conditionalFormatting sqref="F86:I86">
    <cfRule type="expression" dxfId="220" priority="39" stopIfTrue="1">
      <formula>IF(WEEKDAY(F$5)=1,TRUE,FALSE)</formula>
    </cfRule>
  </conditionalFormatting>
  <conditionalFormatting sqref="F88:I88">
    <cfRule type="expression" dxfId="219" priority="38" stopIfTrue="1">
      <formula>IF(WEEKDAY(F$5)=1,TRUE,FALSE)</formula>
    </cfRule>
  </conditionalFormatting>
  <conditionalFormatting sqref="F90:I90">
    <cfRule type="expression" dxfId="218" priority="37" stopIfTrue="1">
      <formula>IF(WEEKDAY(F$5)=1,TRUE,FALSE)</formula>
    </cfRule>
  </conditionalFormatting>
  <conditionalFormatting sqref="F92:I92">
    <cfRule type="expression" dxfId="217" priority="36" stopIfTrue="1">
      <formula>IF(WEEKDAY(F$5)=1,TRUE,FALSE)</formula>
    </cfRule>
  </conditionalFormatting>
  <conditionalFormatting sqref="F94:I94">
    <cfRule type="expression" dxfId="216" priority="35" stopIfTrue="1">
      <formula>IF(WEEKDAY(F$5)=1,TRUE,FALSE)</formula>
    </cfRule>
  </conditionalFormatting>
  <conditionalFormatting sqref="F14:AJ14">
    <cfRule type="expression" dxfId="215" priority="34" stopIfTrue="1">
      <formula>IF(WEEKDAY(F$5)=1,TRUE,FALSE)</formula>
    </cfRule>
  </conditionalFormatting>
  <conditionalFormatting sqref="F16:AJ16">
    <cfRule type="expression" dxfId="214" priority="33" stopIfTrue="1">
      <formula>IF(WEEKDAY(F$5)=1,TRUE,FALSE)</formula>
    </cfRule>
  </conditionalFormatting>
  <conditionalFormatting sqref="F18:AJ18">
    <cfRule type="expression" dxfId="213" priority="32" stopIfTrue="1">
      <formula>IF(WEEKDAY(F$5)=1,TRUE,FALSE)</formula>
    </cfRule>
  </conditionalFormatting>
  <conditionalFormatting sqref="F20:AJ20">
    <cfRule type="expression" dxfId="212" priority="31" stopIfTrue="1">
      <formula>IF(WEEKDAY(F$5)=1,TRUE,FALSE)</formula>
    </cfRule>
  </conditionalFormatting>
  <conditionalFormatting sqref="F22:AJ22">
    <cfRule type="expression" dxfId="211" priority="30" stopIfTrue="1">
      <formula>IF(WEEKDAY(F$5)=1,TRUE,FALSE)</formula>
    </cfRule>
  </conditionalFormatting>
  <conditionalFormatting sqref="F24:AJ24">
    <cfRule type="expression" dxfId="210" priority="29" stopIfTrue="1">
      <formula>IF(WEEKDAY(F$5)=1,TRUE,FALSE)</formula>
    </cfRule>
  </conditionalFormatting>
  <conditionalFormatting sqref="F26:AJ26">
    <cfRule type="expression" dxfId="209" priority="28" stopIfTrue="1">
      <formula>IF(WEEKDAY(F$5)=1,TRUE,FALSE)</formula>
    </cfRule>
  </conditionalFormatting>
  <conditionalFormatting sqref="F28:AJ28">
    <cfRule type="expression" dxfId="208" priority="27" stopIfTrue="1">
      <formula>IF(WEEKDAY(F$5)=1,TRUE,FALSE)</formula>
    </cfRule>
  </conditionalFormatting>
  <conditionalFormatting sqref="F30:AJ30">
    <cfRule type="expression" dxfId="207" priority="26" stopIfTrue="1">
      <formula>IF(WEEKDAY(F$5)=1,TRUE,FALSE)</formula>
    </cfRule>
  </conditionalFormatting>
  <conditionalFormatting sqref="F32:AJ32">
    <cfRule type="expression" dxfId="206" priority="25" stopIfTrue="1">
      <formula>IF(WEEKDAY(F$5)=1,TRUE,FALSE)</formula>
    </cfRule>
  </conditionalFormatting>
  <conditionalFormatting sqref="F34:AJ34">
    <cfRule type="expression" dxfId="205" priority="24" stopIfTrue="1">
      <formula>IF(WEEKDAY(F$5)=1,TRUE,FALSE)</formula>
    </cfRule>
  </conditionalFormatting>
  <conditionalFormatting sqref="F36:AJ36">
    <cfRule type="expression" dxfId="204" priority="23" stopIfTrue="1">
      <formula>IF(WEEKDAY(F$5)=1,TRUE,FALSE)</formula>
    </cfRule>
  </conditionalFormatting>
  <conditionalFormatting sqref="F39:AJ39">
    <cfRule type="expression" dxfId="203" priority="22" stopIfTrue="1">
      <formula>IF(WEEKDAY(F$5)=1,TRUE,FALSE)</formula>
    </cfRule>
  </conditionalFormatting>
  <conditionalFormatting sqref="F41:AJ41">
    <cfRule type="expression" dxfId="202" priority="21" stopIfTrue="1">
      <formula>IF(WEEKDAY(F$5)=1,TRUE,FALSE)</formula>
    </cfRule>
  </conditionalFormatting>
  <conditionalFormatting sqref="F43:AJ43">
    <cfRule type="expression" dxfId="201" priority="20" stopIfTrue="1">
      <formula>IF(WEEKDAY(F$5)=1,TRUE,FALSE)</formula>
    </cfRule>
  </conditionalFormatting>
  <conditionalFormatting sqref="F45:AJ45">
    <cfRule type="expression" dxfId="200" priority="19" stopIfTrue="1">
      <formula>IF(WEEKDAY(F$5)=1,TRUE,FALSE)</formula>
    </cfRule>
  </conditionalFormatting>
  <conditionalFormatting sqref="F47:AJ47">
    <cfRule type="expression" dxfId="199" priority="18" stopIfTrue="1">
      <formula>IF(WEEKDAY(F$5)=1,TRUE,FALSE)</formula>
    </cfRule>
  </conditionalFormatting>
  <conditionalFormatting sqref="F78:AJ78">
    <cfRule type="expression" dxfId="198" priority="17" stopIfTrue="1">
      <formula>IF(WEEKDAY(F$5)=1,TRUE,FALSE)</formula>
    </cfRule>
  </conditionalFormatting>
  <conditionalFormatting sqref="F80:I80">
    <cfRule type="expression" dxfId="197" priority="16" stopIfTrue="1">
      <formula>IF(WEEKDAY(F$5)=1,TRUE,FALSE)</formula>
    </cfRule>
  </conditionalFormatting>
  <conditionalFormatting sqref="F80:AJ80">
    <cfRule type="expression" dxfId="196" priority="15" stopIfTrue="1">
      <formula>IF(WEEKDAY(F$5)=1,TRUE,FALSE)</formula>
    </cfRule>
  </conditionalFormatting>
  <conditionalFormatting sqref="F82:I82">
    <cfRule type="expression" dxfId="195" priority="14" stopIfTrue="1">
      <formula>IF(WEEKDAY(F$5)=1,TRUE,FALSE)</formula>
    </cfRule>
  </conditionalFormatting>
  <conditionalFormatting sqref="F82:AJ82">
    <cfRule type="expression" dxfId="194" priority="13" stopIfTrue="1">
      <formula>IF(WEEKDAY(F$5)=1,TRUE,FALSE)</formula>
    </cfRule>
  </conditionalFormatting>
  <conditionalFormatting sqref="F84:I84">
    <cfRule type="expression" dxfId="193" priority="12" stopIfTrue="1">
      <formula>IF(WEEKDAY(F$5)=1,TRUE,FALSE)</formula>
    </cfRule>
  </conditionalFormatting>
  <conditionalFormatting sqref="F84:AJ84">
    <cfRule type="expression" dxfId="192" priority="11" stopIfTrue="1">
      <formula>IF(WEEKDAY(F$5)=1,TRUE,FALSE)</formula>
    </cfRule>
  </conditionalFormatting>
  <conditionalFormatting sqref="F86:I86">
    <cfRule type="expression" dxfId="191" priority="10" stopIfTrue="1">
      <formula>IF(WEEKDAY(F$5)=1,TRUE,FALSE)</formula>
    </cfRule>
  </conditionalFormatting>
  <conditionalFormatting sqref="F86:AJ86">
    <cfRule type="expression" dxfId="190" priority="9" stopIfTrue="1">
      <formula>IF(WEEKDAY(F$5)=1,TRUE,FALSE)</formula>
    </cfRule>
  </conditionalFormatting>
  <conditionalFormatting sqref="F88:I88">
    <cfRule type="expression" dxfId="189" priority="8" stopIfTrue="1">
      <formula>IF(WEEKDAY(F$5)=1,TRUE,FALSE)</formula>
    </cfRule>
  </conditionalFormatting>
  <conditionalFormatting sqref="F88:AJ88">
    <cfRule type="expression" dxfId="188" priority="7" stopIfTrue="1">
      <formula>IF(WEEKDAY(F$5)=1,TRUE,FALSE)</formula>
    </cfRule>
  </conditionalFormatting>
  <conditionalFormatting sqref="F90:I90">
    <cfRule type="expression" dxfId="187" priority="6" stopIfTrue="1">
      <formula>IF(WEEKDAY(F$5)=1,TRUE,FALSE)</formula>
    </cfRule>
  </conditionalFormatting>
  <conditionalFormatting sqref="F90:AJ90">
    <cfRule type="expression" dxfId="186" priority="5" stopIfTrue="1">
      <formula>IF(WEEKDAY(F$5)=1,TRUE,FALSE)</formula>
    </cfRule>
  </conditionalFormatting>
  <conditionalFormatting sqref="F92:I92">
    <cfRule type="expression" dxfId="185" priority="4" stopIfTrue="1">
      <formula>IF(WEEKDAY(F$5)=1,TRUE,FALSE)</formula>
    </cfRule>
  </conditionalFormatting>
  <conditionalFormatting sqref="F92:AJ92">
    <cfRule type="expression" dxfId="184" priority="3" stopIfTrue="1">
      <formula>IF(WEEKDAY(F$5)=1,TRUE,FALSE)</formula>
    </cfRule>
  </conditionalFormatting>
  <conditionalFormatting sqref="F94:I94">
    <cfRule type="expression" dxfId="183" priority="2" stopIfTrue="1">
      <formula>IF(WEEKDAY(F$5)=1,TRUE,FALSE)</formula>
    </cfRule>
  </conditionalFormatting>
  <conditionalFormatting sqref="F94:AJ94">
    <cfRule type="expression" dxfId="182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opLeftCell="D40" zoomScaleNormal="70" workbookViewId="0">
      <selection activeCell="P4" sqref="P4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04"/>
      <c r="C1" s="404"/>
      <c r="D1" s="493" t="str">
        <f>"BẢNG THANH TOÁN LƯƠNG THÁNG"&amp;" "&amp;TEXT($E$4,"mm")&amp;" / "&amp;TEXT($E$4,"yyyy")</f>
        <v>BẢNG THANH TOÁN LƯƠNG THÁNG 05 / 2017</v>
      </c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4"/>
      <c r="R1" s="495" t="s">
        <v>179</v>
      </c>
      <c r="S1" s="496"/>
      <c r="T1" s="497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04"/>
      <c r="C2" s="404"/>
      <c r="D2" s="404"/>
      <c r="E2" s="71"/>
      <c r="F2" s="404"/>
      <c r="G2" s="404"/>
      <c r="H2" s="404"/>
      <c r="I2" s="404"/>
      <c r="J2" s="72"/>
      <c r="K2" s="404"/>
      <c r="L2" s="404"/>
      <c r="M2" s="404"/>
      <c r="N2" s="404"/>
      <c r="O2" s="404"/>
      <c r="P2" s="404"/>
      <c r="Q2" s="404"/>
      <c r="R2" s="404"/>
      <c r="S2" s="404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04"/>
      <c r="C3" s="404"/>
      <c r="D3" s="404"/>
      <c r="E3" s="71"/>
      <c r="F3" s="404"/>
      <c r="G3" s="404"/>
      <c r="H3" s="404"/>
      <c r="I3" s="404"/>
      <c r="J3" s="72"/>
      <c r="K3" s="404"/>
      <c r="L3" s="404"/>
      <c r="M3" s="404"/>
      <c r="N3" s="404"/>
      <c r="O3" s="404"/>
      <c r="P3" s="404"/>
      <c r="Q3" s="404"/>
      <c r="R3" s="404"/>
      <c r="S3" s="404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- 05'!E4</f>
        <v>42856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98" t="s">
        <v>19</v>
      </c>
      <c r="B5" s="498" t="s">
        <v>20</v>
      </c>
      <c r="C5" s="425" t="s">
        <v>1</v>
      </c>
      <c r="D5" s="425" t="s">
        <v>2</v>
      </c>
      <c r="E5" s="418" t="s">
        <v>56</v>
      </c>
      <c r="F5" s="501" t="s">
        <v>26</v>
      </c>
      <c r="G5" s="502"/>
      <c r="H5" s="502"/>
      <c r="I5" s="502"/>
      <c r="J5" s="502"/>
      <c r="K5" s="503"/>
      <c r="L5" s="500" t="s">
        <v>57</v>
      </c>
      <c r="M5" s="500" t="s">
        <v>5</v>
      </c>
      <c r="N5" s="425" t="s">
        <v>6</v>
      </c>
      <c r="O5" s="425"/>
      <c r="P5" s="425"/>
      <c r="Q5" s="500" t="s">
        <v>7</v>
      </c>
      <c r="R5" s="500" t="s">
        <v>8</v>
      </c>
      <c r="S5" s="500" t="s">
        <v>9</v>
      </c>
      <c r="T5" s="419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99"/>
      <c r="B6" s="499"/>
      <c r="C6" s="425"/>
      <c r="D6" s="425"/>
      <c r="E6" s="418"/>
      <c r="F6" s="501" t="s">
        <v>59</v>
      </c>
      <c r="G6" s="503"/>
      <c r="H6" s="501" t="s">
        <v>189</v>
      </c>
      <c r="I6" s="502"/>
      <c r="J6" s="519" t="s">
        <v>27</v>
      </c>
      <c r="K6" s="500" t="s">
        <v>4</v>
      </c>
      <c r="L6" s="504"/>
      <c r="M6" s="504"/>
      <c r="N6" s="506" t="s">
        <v>12</v>
      </c>
      <c r="O6" s="500" t="s">
        <v>13</v>
      </c>
      <c r="P6" s="500" t="s">
        <v>34</v>
      </c>
      <c r="Q6" s="504"/>
      <c r="R6" s="504"/>
      <c r="S6" s="504"/>
      <c r="T6" s="420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99"/>
      <c r="B7" s="499"/>
      <c r="C7" s="500"/>
      <c r="D7" s="500"/>
      <c r="E7" s="418"/>
      <c r="F7" s="402" t="s">
        <v>40</v>
      </c>
      <c r="G7" s="397" t="s">
        <v>18</v>
      </c>
      <c r="H7" s="402" t="s">
        <v>40</v>
      </c>
      <c r="I7" s="401" t="s">
        <v>18</v>
      </c>
      <c r="J7" s="520"/>
      <c r="K7" s="504"/>
      <c r="L7" s="505"/>
      <c r="M7" s="505"/>
      <c r="N7" s="507"/>
      <c r="O7" s="504"/>
      <c r="P7" s="504"/>
      <c r="Q7" s="504"/>
      <c r="R7" s="504"/>
      <c r="S7" s="504"/>
      <c r="T7" s="420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- 05'!$B$8:$AS$67,36,0)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- 05'!$B$8:$AS$67,36,0)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- 05'!$B$8:$AS$67,36,0)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- 05'!$B$8:$AS$67,36,0)</f>
        <v>27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27</v>
      </c>
      <c r="K13" s="36">
        <f t="shared" si="5"/>
        <v>3552000</v>
      </c>
      <c r="L13" s="80">
        <f t="shared" ref="L13:L30" si="6">+F13*15000</f>
        <v>405000</v>
      </c>
      <c r="M13" s="37">
        <f t="shared" ref="M13:M30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3584040</v>
      </c>
      <c r="R13" s="36">
        <f t="shared" ref="R13:R30" si="12">VLOOKUP(B13,DS,23,0)</f>
        <v>0</v>
      </c>
      <c r="S13" s="38">
        <f t="shared" ref="S13:S30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- 05'!$B$8:$AS$67,36,0)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- 05'!$B$8:$AS$67,36,0)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- 05'!$B$8:$AS$67,36,0)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- 05'!$B$8:$AS$67,36,0)</f>
        <v>27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- 05'!$B$8:$AS$67,36,0)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- 05'!$B$8:$AS$67,36,0)</f>
        <v>27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27</v>
      </c>
      <c r="K19" s="309">
        <f t="shared" si="5"/>
        <v>3552000</v>
      </c>
      <c r="L19" s="305">
        <f t="shared" si="6"/>
        <v>405000</v>
      </c>
      <c r="M19" s="310">
        <f t="shared" si="7"/>
        <v>3957000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3584040</v>
      </c>
      <c r="R19" s="309">
        <f t="shared" si="12"/>
        <v>0</v>
      </c>
      <c r="S19" s="311">
        <f t="shared" si="13"/>
        <v>3584040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- 05'!$B$8:$AS$67,36,0)</f>
        <v>27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- 05'!$B$8:$AS$67,36,0)</f>
        <v>27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si="1"/>
        <v>Công nhân</v>
      </c>
      <c r="E22" s="80">
        <f t="shared" si="2"/>
        <v>3552000</v>
      </c>
      <c r="F22" s="82">
        <f>VLOOKUP(B22,'CC - 05'!$B$8:$AS$67,36,0)</f>
        <v>27</v>
      </c>
      <c r="G22" s="198">
        <f t="shared" si="3"/>
        <v>3552000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27</v>
      </c>
      <c r="K22" s="36">
        <f t="shared" si="5"/>
        <v>3552000</v>
      </c>
      <c r="L22" s="80">
        <f t="shared" si="6"/>
        <v>405000</v>
      </c>
      <c r="M22" s="37">
        <f t="shared" si="7"/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3584040</v>
      </c>
      <c r="R22" s="36">
        <f t="shared" si="12"/>
        <v>0</v>
      </c>
      <c r="S22" s="38">
        <f t="shared" si="13"/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- 05'!$B$8:$AS$67,36,0)</f>
        <v>27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211</v>
      </c>
      <c r="C24" s="79" t="str">
        <f t="shared" si="0"/>
        <v>Võ Văn Hữu Phước</v>
      </c>
      <c r="D24" s="103" t="str">
        <f t="shared" si="1"/>
        <v>Công nhân</v>
      </c>
      <c r="E24" s="80">
        <f t="shared" si="2"/>
        <v>3552000</v>
      </c>
      <c r="F24" s="82">
        <f>VLOOKUP(B24,'CC - 05'!$B$8:$AS$67,36,0)</f>
        <v>27</v>
      </c>
      <c r="G24" s="198">
        <f t="shared" si="3"/>
        <v>3552000</v>
      </c>
      <c r="H24" s="82">
        <f>(VLOOKUP(B24,'CC - 04'!$B$8:$AS$70,37,0)+VLOOKUP(B24,'CC - 04'!$B$8:$AS$70,38,0))</f>
        <v>0</v>
      </c>
      <c r="I24" s="198">
        <f t="shared" si="4"/>
        <v>0</v>
      </c>
      <c r="J24" s="199">
        <f t="shared" si="5"/>
        <v>27</v>
      </c>
      <c r="K24" s="36">
        <f t="shared" si="5"/>
        <v>3552000</v>
      </c>
      <c r="L24" s="80">
        <f t="shared" si="6"/>
        <v>405000</v>
      </c>
      <c r="M24" s="37">
        <f t="shared" si="7"/>
        <v>3957000</v>
      </c>
      <c r="N24" s="37">
        <v>284160</v>
      </c>
      <c r="O24" s="37">
        <v>53280</v>
      </c>
      <c r="P24" s="37">
        <v>35520</v>
      </c>
      <c r="Q24" s="36">
        <f t="shared" ref="Q24:Q25" si="15">M24-SUM(N24:P24)</f>
        <v>3584040</v>
      </c>
      <c r="R24" s="36">
        <f t="shared" si="12"/>
        <v>0</v>
      </c>
      <c r="S24" s="38">
        <f t="shared" si="13"/>
        <v>3584040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210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- 05'!$B$8:$AS$67,36,0)</f>
        <v>27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27</v>
      </c>
      <c r="K25" s="36">
        <f t="shared" si="5"/>
        <v>3552000</v>
      </c>
      <c r="L25" s="80">
        <f t="shared" si="6"/>
        <v>405000</v>
      </c>
      <c r="M25" s="37">
        <f t="shared" si="7"/>
        <v>3957000</v>
      </c>
      <c r="N25" s="37">
        <v>284160</v>
      </c>
      <c r="O25" s="37">
        <v>53280</v>
      </c>
      <c r="P25" s="37">
        <v>35520</v>
      </c>
      <c r="Q25" s="36">
        <f t="shared" si="15"/>
        <v>3584040</v>
      </c>
      <c r="R25" s="36">
        <f t="shared" si="12"/>
        <v>0</v>
      </c>
      <c r="S25" s="38">
        <f t="shared" si="13"/>
        <v>3584040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563" t="s">
        <v>188</v>
      </c>
      <c r="C26" s="564"/>
      <c r="D26" s="274"/>
      <c r="E26" s="274"/>
      <c r="F26" s="82">
        <f>VLOOKUP(B26,'CC - 05'!$B$8:$AS$67,36,0)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113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- 05'!$B$8:$AS$67,36,0)</f>
        <v>27</v>
      </c>
      <c r="G27" s="198">
        <f t="shared" si="3"/>
        <v>3776000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3776000</v>
      </c>
      <c r="L27" s="80">
        <f t="shared" si="6"/>
        <v>405000</v>
      </c>
      <c r="M27" s="37">
        <f t="shared" si="7"/>
        <v>4181000</v>
      </c>
      <c r="N27" s="37">
        <f t="shared" ref="N27:N30" si="16">IF(VLOOKUP(B27,DS,10,0)="x",E27*$N$4,0)</f>
        <v>302080</v>
      </c>
      <c r="O27" s="37">
        <f t="shared" ref="O27:O30" si="17">IF(VLOOKUP(B27,DS,10,0)="x",E27*$O$4,0)</f>
        <v>56640</v>
      </c>
      <c r="P27" s="37">
        <f t="shared" ref="P27:P30" si="18">IF(VLOOKUP(B27,DS,10,0)="x",E27*$P$4,0)</f>
        <v>37760</v>
      </c>
      <c r="Q27" s="36">
        <f t="shared" si="11"/>
        <v>3784520</v>
      </c>
      <c r="R27" s="36">
        <f t="shared" si="12"/>
        <v>0</v>
      </c>
      <c r="S27" s="38">
        <f t="shared" si="13"/>
        <v>3784520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118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- 05'!$B$8:$AS$67,36,0)</f>
        <v>27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16"/>
        <v>284160</v>
      </c>
      <c r="O28" s="37">
        <f t="shared" si="17"/>
        <v>53280</v>
      </c>
      <c r="P28" s="37">
        <f t="shared" si="18"/>
        <v>35520</v>
      </c>
      <c r="Q28" s="36">
        <f t="shared" ref="Q28:Q30" si="19">M28-SUM(N28:P28)</f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119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- 05'!$B$8:$AS$67,36,0)</f>
        <v>27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27</v>
      </c>
      <c r="K29" s="36">
        <f t="shared" si="5"/>
        <v>3552000</v>
      </c>
      <c r="L29" s="80">
        <f t="shared" si="6"/>
        <v>405000</v>
      </c>
      <c r="M29" s="37">
        <f t="shared" si="7"/>
        <v>3957000</v>
      </c>
      <c r="N29" s="37">
        <f t="shared" si="16"/>
        <v>284160</v>
      </c>
      <c r="O29" s="37">
        <f t="shared" si="17"/>
        <v>53280</v>
      </c>
      <c r="P29" s="37">
        <f t="shared" si="18"/>
        <v>35520</v>
      </c>
      <c r="Q29" s="36">
        <f t="shared" si="19"/>
        <v>3584040</v>
      </c>
      <c r="R29" s="36">
        <f t="shared" si="12"/>
        <v>0</v>
      </c>
      <c r="S29" s="38">
        <f t="shared" si="13"/>
        <v>3584040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122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- 05'!$B$8:$AS$67,36,0)</f>
        <v>27</v>
      </c>
      <c r="G30" s="198">
        <f t="shared" si="3"/>
        <v>3552000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27</v>
      </c>
      <c r="K30" s="36">
        <f t="shared" si="5"/>
        <v>3552000</v>
      </c>
      <c r="L30" s="80">
        <f t="shared" si="6"/>
        <v>405000</v>
      </c>
      <c r="M30" s="37">
        <f t="shared" si="7"/>
        <v>3957000</v>
      </c>
      <c r="N30" s="37">
        <f t="shared" si="16"/>
        <v>284160</v>
      </c>
      <c r="O30" s="37">
        <f t="shared" si="17"/>
        <v>53280</v>
      </c>
      <c r="P30" s="37">
        <f t="shared" si="18"/>
        <v>35520</v>
      </c>
      <c r="Q30" s="36">
        <f t="shared" si="19"/>
        <v>3584040</v>
      </c>
      <c r="R30" s="36">
        <f t="shared" si="12"/>
        <v>0</v>
      </c>
      <c r="S30" s="38">
        <f t="shared" si="13"/>
        <v>3584040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513" t="s">
        <v>25</v>
      </c>
      <c r="B31" s="513"/>
      <c r="C31" s="513"/>
      <c r="D31" s="513"/>
      <c r="E31" s="125">
        <f>SUM(E10:E30)</f>
        <v>69000000</v>
      </c>
      <c r="F31" s="125"/>
      <c r="G31" s="125">
        <f>SUM(G10:G30)</f>
        <v>69000000</v>
      </c>
      <c r="H31" s="125"/>
      <c r="I31" s="125">
        <f>SUM(I10:I30)</f>
        <v>0</v>
      </c>
      <c r="J31" s="25"/>
      <c r="K31" s="25">
        <f>SUM(K10:K30)</f>
        <v>69000000</v>
      </c>
      <c r="L31" s="25">
        <f t="shared" ref="L31:S31" si="20">SUM(L10:L30)</f>
        <v>7695000</v>
      </c>
      <c r="M31" s="25">
        <f t="shared" si="20"/>
        <v>76695000</v>
      </c>
      <c r="N31" s="25">
        <f t="shared" si="20"/>
        <v>5520000</v>
      </c>
      <c r="O31" s="25">
        <f t="shared" si="20"/>
        <v>1035000</v>
      </c>
      <c r="P31" s="25">
        <f t="shared" si="20"/>
        <v>690000</v>
      </c>
      <c r="Q31" s="25">
        <f t="shared" si="20"/>
        <v>69450000</v>
      </c>
      <c r="R31" s="25">
        <f t="shared" si="20"/>
        <v>0</v>
      </c>
      <c r="S31" s="25">
        <f t="shared" si="20"/>
        <v>69450000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31   tháng   05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403"/>
      <c r="C44" s="403"/>
      <c r="D44" s="514" t="str">
        <f>D1</f>
        <v>BẢNG THANH TOÁN LƯƠNG THÁNG 05 / 2017</v>
      </c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5"/>
      <c r="R44" s="516" t="s">
        <v>112</v>
      </c>
      <c r="S44" s="517"/>
      <c r="T44" s="518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403"/>
      <c r="C45" s="403"/>
      <c r="D45" s="403"/>
      <c r="E45" s="181"/>
      <c r="F45" s="403"/>
      <c r="G45" s="403"/>
      <c r="H45" s="403"/>
      <c r="I45" s="403"/>
      <c r="J45" s="182"/>
      <c r="K45" s="403"/>
      <c r="L45" s="403"/>
      <c r="M45" s="403"/>
      <c r="N45" s="403"/>
      <c r="O45" s="403"/>
      <c r="P45" s="403"/>
      <c r="Q45" s="403"/>
      <c r="R45" s="403"/>
      <c r="S45" s="403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403"/>
      <c r="C46" s="403"/>
      <c r="D46" s="403"/>
      <c r="E46" s="181"/>
      <c r="F46" s="403"/>
      <c r="G46" s="403"/>
      <c r="H46" s="403"/>
      <c r="I46" s="403"/>
      <c r="J46" s="182"/>
      <c r="K46" s="403"/>
      <c r="L46" s="403"/>
      <c r="M46" s="403"/>
      <c r="N46" s="403"/>
      <c r="O46" s="403"/>
      <c r="P46" s="403"/>
      <c r="Q46" s="403"/>
      <c r="R46" s="403"/>
      <c r="S46" s="403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508" t="s">
        <v>19</v>
      </c>
      <c r="B48" s="508" t="s">
        <v>20</v>
      </c>
      <c r="C48" s="510" t="s">
        <v>1</v>
      </c>
      <c r="D48" s="510" t="s">
        <v>2</v>
      </c>
      <c r="E48" s="512" t="s">
        <v>56</v>
      </c>
      <c r="F48" s="526" t="s">
        <v>26</v>
      </c>
      <c r="G48" s="532"/>
      <c r="H48" s="532"/>
      <c r="I48" s="532"/>
      <c r="J48" s="532"/>
      <c r="K48" s="527"/>
      <c r="L48" s="500" t="s">
        <v>57</v>
      </c>
      <c r="M48" s="500" t="s">
        <v>5</v>
      </c>
      <c r="N48" s="510" t="s">
        <v>6</v>
      </c>
      <c r="O48" s="510"/>
      <c r="P48" s="510"/>
      <c r="Q48" s="511" t="s">
        <v>7</v>
      </c>
      <c r="R48" s="511" t="s">
        <v>8</v>
      </c>
      <c r="S48" s="511" t="s">
        <v>9</v>
      </c>
      <c r="T48" s="524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509"/>
      <c r="B49" s="509"/>
      <c r="C49" s="510"/>
      <c r="D49" s="510"/>
      <c r="E49" s="512"/>
      <c r="F49" s="526" t="s">
        <v>59</v>
      </c>
      <c r="G49" s="527"/>
      <c r="H49" s="501" t="s">
        <v>189</v>
      </c>
      <c r="I49" s="502"/>
      <c r="J49" s="528" t="s">
        <v>27</v>
      </c>
      <c r="K49" s="511" t="s">
        <v>4</v>
      </c>
      <c r="L49" s="504"/>
      <c r="M49" s="504"/>
      <c r="N49" s="530" t="s">
        <v>12</v>
      </c>
      <c r="O49" s="511" t="s">
        <v>13</v>
      </c>
      <c r="P49" s="511" t="s">
        <v>34</v>
      </c>
      <c r="Q49" s="523"/>
      <c r="R49" s="523"/>
      <c r="S49" s="523"/>
      <c r="T49" s="525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509"/>
      <c r="B50" s="509"/>
      <c r="C50" s="511"/>
      <c r="D50" s="511"/>
      <c r="E50" s="512"/>
      <c r="F50" s="400" t="s">
        <v>40</v>
      </c>
      <c r="G50" s="401" t="s">
        <v>18</v>
      </c>
      <c r="H50" s="402" t="s">
        <v>40</v>
      </c>
      <c r="I50" s="401" t="s">
        <v>18</v>
      </c>
      <c r="J50" s="529"/>
      <c r="K50" s="523"/>
      <c r="L50" s="505"/>
      <c r="M50" s="505"/>
      <c r="N50" s="531"/>
      <c r="O50" s="523"/>
      <c r="P50" s="523"/>
      <c r="Q50" s="523"/>
      <c r="R50" s="523"/>
      <c r="S50" s="523"/>
      <c r="T50" s="525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21">VLOOKUP(B52,DS,2,0)</f>
        <v>Nguyễn Thiện Duy</v>
      </c>
      <c r="D52" s="196" t="str">
        <f t="shared" ref="D52:D60" si="22">VLOOKUP(B52,DS,3,0)</f>
        <v>Giám đốc</v>
      </c>
      <c r="E52" s="197">
        <f>VLOOKUP(B52,TH!$B$11:$E$56,4,0)</f>
        <v>10851000</v>
      </c>
      <c r="F52" s="82">
        <f>VLOOKUP($B52,'CC - 05'!$B$9:$AR$95,36,0)</f>
        <v>21</v>
      </c>
      <c r="G52" s="198">
        <f t="shared" ref="G52:G60" si="23">ROUND(E52/$U$2*F52,0)</f>
        <v>8439667</v>
      </c>
      <c r="H52" s="82">
        <f>(VLOOKUP($B52,'CC - 02'!$B$9:$AN$97,37,0)+(VLOOKUP($B52,'CC - 02'!$B$9:$AN$97,38,0)))</f>
        <v>0</v>
      </c>
      <c r="I52" s="198">
        <f t="shared" ref="I52:I60" si="24">ROUND(E52/$U$2*H52,0)</f>
        <v>0</v>
      </c>
      <c r="J52" s="199">
        <f t="shared" ref="J52:K60" si="25">F52+H52</f>
        <v>21</v>
      </c>
      <c r="K52" s="36">
        <f t="shared" si="25"/>
        <v>8439667</v>
      </c>
      <c r="L52" s="80">
        <f>+F52*15000</f>
        <v>315000</v>
      </c>
      <c r="M52" s="200">
        <f t="shared" ref="M52:M60" si="26">K52+SUM(L52:L52)</f>
        <v>8754667</v>
      </c>
      <c r="N52" s="37">
        <f t="shared" ref="N52:N58" si="27">IF(VLOOKUP(B52,DS,10,0)="x",E52*$N$4,0)</f>
        <v>868080</v>
      </c>
      <c r="O52" s="37">
        <f t="shared" ref="O52:O58" si="28">IF(VLOOKUP(B52,DS,10,0)="x",E52*$O$4,0)</f>
        <v>162765</v>
      </c>
      <c r="P52" s="37">
        <f t="shared" ref="P52:P58" si="29">IF(VLOOKUP(B52,DS,10,0)="x",E52*$P$4,0)</f>
        <v>108510</v>
      </c>
      <c r="Q52" s="198">
        <f t="shared" ref="Q52:Q58" si="30">M52-SUM(N52:P52)</f>
        <v>7615312</v>
      </c>
      <c r="R52" s="198">
        <f t="shared" ref="R52:R60" si="31">VLOOKUP(B52,DS,23,0)</f>
        <v>0</v>
      </c>
      <c r="S52" s="201">
        <f>Q52-R52</f>
        <v>7615312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21"/>
        <v>Nguyễn Văn Sẽ</v>
      </c>
      <c r="D53" s="196" t="str">
        <f t="shared" si="22"/>
        <v>Kỹ Thuật</v>
      </c>
      <c r="E53" s="197">
        <f>VLOOKUP(B53,TH!$B$11:$E$56,4,0)</f>
        <v>4895000</v>
      </c>
      <c r="F53" s="82">
        <f>VLOOKUP($B53,'CC - 05'!$B$9:$AR$95,36,0)</f>
        <v>27</v>
      </c>
      <c r="G53" s="198">
        <f t="shared" si="23"/>
        <v>4895000</v>
      </c>
      <c r="H53" s="82">
        <f>(VLOOKUP($B53,'CC - 02'!$B$9:$AN$97,37,0)+(VLOOKUP($B53,'CC - 02'!$B$9:$AN$97,38,0)))</f>
        <v>0</v>
      </c>
      <c r="I53" s="198">
        <f t="shared" si="24"/>
        <v>0</v>
      </c>
      <c r="J53" s="199">
        <f t="shared" si="25"/>
        <v>27</v>
      </c>
      <c r="K53" s="36">
        <f t="shared" si="25"/>
        <v>4895000</v>
      </c>
      <c r="L53" s="80">
        <f t="shared" ref="L53:L60" si="32">+F53*15000</f>
        <v>405000</v>
      </c>
      <c r="M53" s="200">
        <f t="shared" si="26"/>
        <v>5300000</v>
      </c>
      <c r="N53" s="37">
        <f t="shared" si="27"/>
        <v>391600</v>
      </c>
      <c r="O53" s="37">
        <f t="shared" si="28"/>
        <v>73425</v>
      </c>
      <c r="P53" s="37">
        <f t="shared" si="29"/>
        <v>48950</v>
      </c>
      <c r="Q53" s="198">
        <f t="shared" si="30"/>
        <v>4786025</v>
      </c>
      <c r="R53" s="198">
        <f t="shared" si="31"/>
        <v>0</v>
      </c>
      <c r="S53" s="201">
        <f t="shared" ref="S53:S60" si="33">Q53-R53</f>
        <v>4786025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21"/>
        <v>Võ Uyên Phương</v>
      </c>
      <c r="D54" s="196" t="str">
        <f t="shared" si="22"/>
        <v>Kế toán</v>
      </c>
      <c r="E54" s="197">
        <f>VLOOKUP(B54,TH!$B$11:$E$56,4,0)</f>
        <v>4895000</v>
      </c>
      <c r="F54" s="82">
        <f>VLOOKUP($B54,'CC - 05'!$B$9:$AR$95,36,0)</f>
        <v>27</v>
      </c>
      <c r="G54" s="198">
        <f t="shared" si="23"/>
        <v>4895000</v>
      </c>
      <c r="H54" s="82">
        <f>(VLOOKUP($B54,'CC - 02'!$B$9:$AN$97,37,0)+(VLOOKUP($B54,'CC - 02'!$B$9:$AN$97,38,0)))</f>
        <v>0</v>
      </c>
      <c r="I54" s="198">
        <f t="shared" si="24"/>
        <v>0</v>
      </c>
      <c r="J54" s="199">
        <f t="shared" si="25"/>
        <v>27</v>
      </c>
      <c r="K54" s="36">
        <f t="shared" si="25"/>
        <v>4895000</v>
      </c>
      <c r="L54" s="80">
        <f t="shared" si="32"/>
        <v>405000</v>
      </c>
      <c r="M54" s="200">
        <f t="shared" si="26"/>
        <v>5300000</v>
      </c>
      <c r="N54" s="37">
        <f t="shared" si="27"/>
        <v>391600</v>
      </c>
      <c r="O54" s="37">
        <f t="shared" si="28"/>
        <v>73425</v>
      </c>
      <c r="P54" s="37">
        <f t="shared" si="29"/>
        <v>48950</v>
      </c>
      <c r="Q54" s="198">
        <f t="shared" si="30"/>
        <v>4786025</v>
      </c>
      <c r="R54" s="198">
        <f t="shared" si="31"/>
        <v>0</v>
      </c>
      <c r="S54" s="201">
        <f t="shared" si="33"/>
        <v>4786025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21"/>
        <v>Lê Nguyễn Huy Cường</v>
      </c>
      <c r="D55" s="196" t="str">
        <f t="shared" si="22"/>
        <v>XNK</v>
      </c>
      <c r="E55" s="197">
        <f>VLOOKUP(B55,TH!$B$11:$E$56,4,0)</f>
        <v>4336000</v>
      </c>
      <c r="F55" s="82">
        <f>VLOOKUP($B55,'CC - 05'!$B$9:$AR$95,36,0)</f>
        <v>27</v>
      </c>
      <c r="G55" s="198">
        <f t="shared" si="23"/>
        <v>4336000</v>
      </c>
      <c r="H55" s="82">
        <f>(VLOOKUP($B55,'CC - 02'!$B$9:$AN$97,37,0)+(VLOOKUP($B55,'CC - 02'!$B$9:$AN$97,38,0)))</f>
        <v>0</v>
      </c>
      <c r="I55" s="198">
        <f t="shared" si="24"/>
        <v>0</v>
      </c>
      <c r="J55" s="199">
        <f t="shared" si="25"/>
        <v>27</v>
      </c>
      <c r="K55" s="36">
        <f t="shared" si="25"/>
        <v>4336000</v>
      </c>
      <c r="L55" s="80">
        <f t="shared" si="32"/>
        <v>405000</v>
      </c>
      <c r="M55" s="200">
        <f t="shared" si="26"/>
        <v>4741000</v>
      </c>
      <c r="N55" s="37">
        <f t="shared" si="27"/>
        <v>346880</v>
      </c>
      <c r="O55" s="37">
        <f t="shared" si="28"/>
        <v>65040</v>
      </c>
      <c r="P55" s="37">
        <f t="shared" si="29"/>
        <v>43360</v>
      </c>
      <c r="Q55" s="198">
        <f t="shared" si="30"/>
        <v>4285720</v>
      </c>
      <c r="R55" s="198">
        <f t="shared" si="31"/>
        <v>0</v>
      </c>
      <c r="S55" s="201">
        <f t="shared" si="33"/>
        <v>4285720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21"/>
        <v>Nguyễn Văn Bé Tư</v>
      </c>
      <c r="D56" s="196" t="str">
        <f t="shared" si="22"/>
        <v>Tài xế</v>
      </c>
      <c r="E56" s="197">
        <f>VLOOKUP(B56,TH!$B$11:$E$56,4,0)</f>
        <v>3776000</v>
      </c>
      <c r="F56" s="82">
        <f>VLOOKUP($B56,'CC - 05'!$B$9:$AR$95,36,0)</f>
        <v>27</v>
      </c>
      <c r="G56" s="198">
        <f t="shared" si="23"/>
        <v>3776000</v>
      </c>
      <c r="H56" s="82">
        <f>(VLOOKUP($B56,'CC - 02'!$B$9:$AN$97,37,0)+(VLOOKUP($B56,'CC - 02'!$B$9:$AN$97,38,0)))</f>
        <v>0</v>
      </c>
      <c r="I56" s="198">
        <f t="shared" si="24"/>
        <v>0</v>
      </c>
      <c r="J56" s="199">
        <f t="shared" si="25"/>
        <v>27</v>
      </c>
      <c r="K56" s="36">
        <f t="shared" si="25"/>
        <v>3776000</v>
      </c>
      <c r="L56" s="80">
        <f t="shared" si="32"/>
        <v>405000</v>
      </c>
      <c r="M56" s="200">
        <f t="shared" si="26"/>
        <v>4181000</v>
      </c>
      <c r="N56" s="37">
        <f t="shared" si="27"/>
        <v>302080</v>
      </c>
      <c r="O56" s="37">
        <f t="shared" si="28"/>
        <v>56640</v>
      </c>
      <c r="P56" s="37">
        <f t="shared" si="29"/>
        <v>37760</v>
      </c>
      <c r="Q56" s="198">
        <f t="shared" si="30"/>
        <v>3784520</v>
      </c>
      <c r="R56" s="198">
        <f t="shared" si="31"/>
        <v>0</v>
      </c>
      <c r="S56" s="201">
        <f t="shared" si="33"/>
        <v>3784520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21"/>
        <v>Dương Thanh Tuấn</v>
      </c>
      <c r="D57" s="196" t="str">
        <f t="shared" si="22"/>
        <v>Nhân sự</v>
      </c>
      <c r="E57" s="197">
        <f>VLOOKUP(B57,TH!$B$11:$E$56,4,0)</f>
        <v>4056000</v>
      </c>
      <c r="F57" s="82">
        <f>VLOOKUP($B57,'CC - 05'!$B$9:$AR$95,36,0)</f>
        <v>27</v>
      </c>
      <c r="G57" s="198">
        <f t="shared" si="23"/>
        <v>4056000</v>
      </c>
      <c r="H57" s="82">
        <f>(VLOOKUP($B57,'CC - 02'!$B$9:$AN$97,37,0)+(VLOOKUP($B57,'CC - 02'!$B$9:$AN$97,38,0)))</f>
        <v>0</v>
      </c>
      <c r="I57" s="198">
        <f t="shared" si="24"/>
        <v>0</v>
      </c>
      <c r="J57" s="199">
        <f t="shared" si="25"/>
        <v>27</v>
      </c>
      <c r="K57" s="36">
        <f t="shared" si="25"/>
        <v>4056000</v>
      </c>
      <c r="L57" s="80">
        <f t="shared" si="32"/>
        <v>405000</v>
      </c>
      <c r="M57" s="200">
        <f t="shared" si="26"/>
        <v>4461000</v>
      </c>
      <c r="N57" s="37">
        <f t="shared" si="27"/>
        <v>324480</v>
      </c>
      <c r="O57" s="37">
        <f t="shared" si="28"/>
        <v>60840</v>
      </c>
      <c r="P57" s="37">
        <f t="shared" si="29"/>
        <v>40560</v>
      </c>
      <c r="Q57" s="198">
        <f t="shared" si="30"/>
        <v>4035120</v>
      </c>
      <c r="R57" s="198">
        <f t="shared" si="31"/>
        <v>0</v>
      </c>
      <c r="S57" s="201">
        <f t="shared" si="33"/>
        <v>4035120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21"/>
        <v>Nguyễn Thiện Duyệt</v>
      </c>
      <c r="D58" s="196" t="str">
        <f t="shared" si="22"/>
        <v>XNK</v>
      </c>
      <c r="E58" s="197">
        <f>VLOOKUP(B58,TH!$B$11:$E$56,4,0)</f>
        <v>4840000</v>
      </c>
      <c r="F58" s="82">
        <f>VLOOKUP($B58,'CC - 05'!$B$9:$AR$95,36,0)</f>
        <v>27</v>
      </c>
      <c r="G58" s="198">
        <f t="shared" si="23"/>
        <v>4840000</v>
      </c>
      <c r="H58" s="82">
        <f>(VLOOKUP($B58,'CC - 02'!$B$9:$AN$97,37,0)+(VLOOKUP($B58,'CC - 02'!$B$9:$AN$97,38,0)))</f>
        <v>0</v>
      </c>
      <c r="I58" s="198">
        <f t="shared" si="24"/>
        <v>0</v>
      </c>
      <c r="J58" s="199">
        <f t="shared" si="25"/>
        <v>27</v>
      </c>
      <c r="K58" s="36">
        <f t="shared" si="25"/>
        <v>4840000</v>
      </c>
      <c r="L58" s="80">
        <f t="shared" si="32"/>
        <v>405000</v>
      </c>
      <c r="M58" s="200">
        <f t="shared" si="26"/>
        <v>5245000</v>
      </c>
      <c r="N58" s="37">
        <f t="shared" si="27"/>
        <v>387200</v>
      </c>
      <c r="O58" s="37">
        <f t="shared" si="28"/>
        <v>72600</v>
      </c>
      <c r="P58" s="37">
        <f t="shared" si="29"/>
        <v>48400</v>
      </c>
      <c r="Q58" s="198">
        <f t="shared" si="30"/>
        <v>4736800</v>
      </c>
      <c r="R58" s="198">
        <f t="shared" si="31"/>
        <v>0</v>
      </c>
      <c r="S58" s="201">
        <f t="shared" si="33"/>
        <v>4736800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208</v>
      </c>
      <c r="C59" s="195" t="s">
        <v>203</v>
      </c>
      <c r="D59" s="196" t="str">
        <f t="shared" si="22"/>
        <v>Kế toán</v>
      </c>
      <c r="E59" s="197">
        <f>VLOOKUP(B59,TH!$B$11:$E$56,4,0)</f>
        <v>4362000</v>
      </c>
      <c r="F59" s="82">
        <f>VLOOKUP($B59,'CC - 05'!$B$9:$AR$95,36,0)</f>
        <v>27</v>
      </c>
      <c r="G59" s="198">
        <f t="shared" si="23"/>
        <v>4362000</v>
      </c>
      <c r="H59" s="82">
        <f>(VLOOKUP($B59,'CC - 03'!$B$9:$AN$94,37,0)+(VLOOKUP($B59,'CC - 03'!$B$9:$AN$94,38,0)))</f>
        <v>0</v>
      </c>
      <c r="I59" s="198">
        <f t="shared" si="24"/>
        <v>0</v>
      </c>
      <c r="J59" s="199">
        <f t="shared" si="25"/>
        <v>27</v>
      </c>
      <c r="K59" s="36">
        <f t="shared" si="25"/>
        <v>4362000</v>
      </c>
      <c r="L59" s="80">
        <f t="shared" si="32"/>
        <v>405000</v>
      </c>
      <c r="M59" s="200">
        <f t="shared" si="26"/>
        <v>4767000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:Q60" si="34">M59-SUM(N59:P59)</f>
        <v>4308990</v>
      </c>
      <c r="R59" s="198">
        <f t="shared" si="31"/>
        <v>0</v>
      </c>
      <c r="S59" s="201">
        <f t="shared" si="33"/>
        <v>4308990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207</v>
      </c>
      <c r="C60" s="195" t="s">
        <v>204</v>
      </c>
      <c r="D60" s="196" t="str">
        <f t="shared" si="22"/>
        <v>Kế toán</v>
      </c>
      <c r="E60" s="197">
        <f>VLOOKUP(B60,TH!$B$11:$E$56,4,0)</f>
        <v>4362000</v>
      </c>
      <c r="F60" s="82">
        <f>VLOOKUP($B60,'CC - 05'!$B$9:$AR$95,36,0)</f>
        <v>27</v>
      </c>
      <c r="G60" s="198">
        <f t="shared" si="23"/>
        <v>4362000</v>
      </c>
      <c r="H60" s="82">
        <f>(VLOOKUP($B60,'CC - 03'!$B$9:$AN$94,37,0)+(VLOOKUP($B60,'CC - 03'!$B$9:$AN$94,38,0)))</f>
        <v>0</v>
      </c>
      <c r="I60" s="198">
        <f t="shared" si="24"/>
        <v>0</v>
      </c>
      <c r="J60" s="199">
        <f t="shared" si="25"/>
        <v>27</v>
      </c>
      <c r="K60" s="36">
        <f t="shared" si="25"/>
        <v>4362000</v>
      </c>
      <c r="L60" s="80">
        <f t="shared" si="32"/>
        <v>405000</v>
      </c>
      <c r="M60" s="200">
        <f t="shared" si="26"/>
        <v>4767000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si="34"/>
        <v>4308990</v>
      </c>
      <c r="R60" s="198">
        <f t="shared" si="31"/>
        <v>0</v>
      </c>
      <c r="S60" s="201">
        <f t="shared" si="33"/>
        <v>4308990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521" t="s">
        <v>25</v>
      </c>
      <c r="B61" s="522"/>
      <c r="C61" s="522"/>
      <c r="D61" s="522"/>
      <c r="E61" s="205">
        <f>SUM(E52:E60)</f>
        <v>46373000</v>
      </c>
      <c r="F61" s="205"/>
      <c r="G61" s="205">
        <f t="shared" ref="G61:S61" si="35">SUM(G52:G60)</f>
        <v>43961667</v>
      </c>
      <c r="H61" s="205">
        <f t="shared" si="35"/>
        <v>0</v>
      </c>
      <c r="I61" s="205">
        <f t="shared" si="35"/>
        <v>0</v>
      </c>
      <c r="J61" s="205">
        <f t="shared" si="35"/>
        <v>237</v>
      </c>
      <c r="K61" s="206">
        <f t="shared" si="35"/>
        <v>43961667</v>
      </c>
      <c r="L61" s="206">
        <f t="shared" si="35"/>
        <v>3555000</v>
      </c>
      <c r="M61" s="206">
        <f t="shared" si="35"/>
        <v>47516667</v>
      </c>
      <c r="N61" s="206">
        <f t="shared" si="35"/>
        <v>3709840</v>
      </c>
      <c r="O61" s="206">
        <f t="shared" si="35"/>
        <v>695595</v>
      </c>
      <c r="P61" s="206">
        <f t="shared" si="35"/>
        <v>463730</v>
      </c>
      <c r="Q61" s="206">
        <f t="shared" si="35"/>
        <v>42647502</v>
      </c>
      <c r="R61" s="206">
        <f t="shared" si="35"/>
        <v>0</v>
      </c>
      <c r="S61" s="206">
        <f t="shared" si="35"/>
        <v>42647502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31   tháng   05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  <mergeCell ref="B48:B50"/>
    <mergeCell ref="C48:C50"/>
    <mergeCell ref="D48:D50"/>
    <mergeCell ref="E48:E50"/>
    <mergeCell ref="F48:K48"/>
    <mergeCell ref="B26:C26"/>
    <mergeCell ref="A31:D31"/>
    <mergeCell ref="D44:Q44"/>
    <mergeCell ref="F6:G6"/>
    <mergeCell ref="H6:I6"/>
    <mergeCell ref="J6:J7"/>
    <mergeCell ref="K6:K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D91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H81" sqref="AH81:AI81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406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06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450" t="s">
        <v>180</v>
      </c>
      <c r="AN1" s="451"/>
      <c r="AO1" s="451"/>
      <c r="AP1" s="451"/>
      <c r="AQ1" s="451"/>
      <c r="AR1" s="451"/>
      <c r="AS1" s="452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42887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453" t="s">
        <v>28</v>
      </c>
      <c r="B5" s="453" t="s">
        <v>3</v>
      </c>
      <c r="C5" s="453" t="s">
        <v>1</v>
      </c>
      <c r="D5" s="455" t="s">
        <v>29</v>
      </c>
      <c r="E5" s="453" t="s">
        <v>30</v>
      </c>
      <c r="F5" s="105">
        <f>+E4</f>
        <v>42887</v>
      </c>
      <c r="G5" s="105">
        <f t="shared" ref="G5:AG5" si="0">F5+1</f>
        <v>42888</v>
      </c>
      <c r="H5" s="105">
        <f t="shared" si="0"/>
        <v>42889</v>
      </c>
      <c r="I5" s="105">
        <f t="shared" si="0"/>
        <v>42890</v>
      </c>
      <c r="J5" s="105">
        <f t="shared" si="0"/>
        <v>42891</v>
      </c>
      <c r="K5" s="105">
        <f t="shared" si="0"/>
        <v>42892</v>
      </c>
      <c r="L5" s="105">
        <f t="shared" si="0"/>
        <v>42893</v>
      </c>
      <c r="M5" s="105">
        <f t="shared" si="0"/>
        <v>42894</v>
      </c>
      <c r="N5" s="105">
        <f t="shared" si="0"/>
        <v>42895</v>
      </c>
      <c r="O5" s="105">
        <f t="shared" si="0"/>
        <v>42896</v>
      </c>
      <c r="P5" s="105">
        <f t="shared" si="0"/>
        <v>42897</v>
      </c>
      <c r="Q5" s="105">
        <f t="shared" si="0"/>
        <v>42898</v>
      </c>
      <c r="R5" s="105">
        <f t="shared" si="0"/>
        <v>42899</v>
      </c>
      <c r="S5" s="105">
        <f t="shared" si="0"/>
        <v>42900</v>
      </c>
      <c r="T5" s="105">
        <f t="shared" si="0"/>
        <v>42901</v>
      </c>
      <c r="U5" s="105">
        <f t="shared" si="0"/>
        <v>42902</v>
      </c>
      <c r="V5" s="105">
        <f t="shared" si="0"/>
        <v>42903</v>
      </c>
      <c r="W5" s="105">
        <f t="shared" si="0"/>
        <v>42904</v>
      </c>
      <c r="X5" s="105">
        <f t="shared" si="0"/>
        <v>42905</v>
      </c>
      <c r="Y5" s="105">
        <f t="shared" si="0"/>
        <v>42906</v>
      </c>
      <c r="Z5" s="105">
        <f t="shared" si="0"/>
        <v>42907</v>
      </c>
      <c r="AA5" s="105">
        <f t="shared" si="0"/>
        <v>42908</v>
      </c>
      <c r="AB5" s="105">
        <f t="shared" si="0"/>
        <v>42909</v>
      </c>
      <c r="AC5" s="105">
        <f t="shared" si="0"/>
        <v>42910</v>
      </c>
      <c r="AD5" s="105">
        <f t="shared" si="0"/>
        <v>42911</v>
      </c>
      <c r="AE5" s="105">
        <f t="shared" si="0"/>
        <v>42912</v>
      </c>
      <c r="AF5" s="105">
        <f t="shared" si="0"/>
        <v>42913</v>
      </c>
      <c r="AG5" s="105">
        <f t="shared" si="0"/>
        <v>42914</v>
      </c>
      <c r="AH5" s="105">
        <f>AG5+1</f>
        <v>42915</v>
      </c>
      <c r="AI5" s="105">
        <f>AH5+1</f>
        <v>42916</v>
      </c>
      <c r="AJ5" s="105">
        <f>AI5+1</f>
        <v>42917</v>
      </c>
      <c r="AK5" s="456" t="s">
        <v>15</v>
      </c>
      <c r="AL5" s="457"/>
      <c r="AM5" s="458"/>
      <c r="AN5" s="459" t="s">
        <v>45</v>
      </c>
      <c r="AO5" s="459" t="s">
        <v>41</v>
      </c>
      <c r="AP5" s="459" t="s">
        <v>42</v>
      </c>
      <c r="AQ5" s="459" t="s">
        <v>43</v>
      </c>
      <c r="AR5" s="459" t="s">
        <v>44</v>
      </c>
      <c r="AS5" s="455" t="s">
        <v>0</v>
      </c>
      <c r="AT5" s="46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454"/>
      <c r="B6" s="454"/>
      <c r="C6" s="454"/>
      <c r="D6" s="454"/>
      <c r="E6" s="454"/>
      <c r="F6" s="263" t="str">
        <f>CHOOSE(WEEKDAY(F5),"C.Nhật","T.Hai","T.Ba","T.Tư","T.Năm","T.Sáu","T.Bảy")</f>
        <v>T.Năm</v>
      </c>
      <c r="G6" s="263" t="str">
        <f t="shared" ref="G6:AJ6" si="1">CHOOSE(WEEKDAY(G5),"C.Nhật","T.Hai","T.Ba","T.Tư","T.Năm","T.Sáu","T.Bảy")</f>
        <v>T.Sáu</v>
      </c>
      <c r="H6" s="263" t="str">
        <f t="shared" si="1"/>
        <v>T.Bảy</v>
      </c>
      <c r="I6" s="263" t="str">
        <f t="shared" si="1"/>
        <v>C.Nhật</v>
      </c>
      <c r="J6" s="263" t="str">
        <f t="shared" si="1"/>
        <v>T.Hai</v>
      </c>
      <c r="K6" s="263" t="str">
        <f t="shared" si="1"/>
        <v>T.Ba</v>
      </c>
      <c r="L6" s="263" t="str">
        <f t="shared" si="1"/>
        <v>T.Tư</v>
      </c>
      <c r="M6" s="263" t="str">
        <f t="shared" si="1"/>
        <v>T.Năm</v>
      </c>
      <c r="N6" s="263" t="str">
        <f t="shared" si="1"/>
        <v>T.Sáu</v>
      </c>
      <c r="O6" s="263" t="str">
        <f t="shared" si="1"/>
        <v>T.Bảy</v>
      </c>
      <c r="P6" s="263" t="str">
        <f t="shared" si="1"/>
        <v>C.Nhật</v>
      </c>
      <c r="Q6" s="263" t="str">
        <f t="shared" si="1"/>
        <v>T.Hai</v>
      </c>
      <c r="R6" s="263" t="str">
        <f t="shared" si="1"/>
        <v>T.Ba</v>
      </c>
      <c r="S6" s="263" t="str">
        <f t="shared" si="1"/>
        <v>T.Tư</v>
      </c>
      <c r="T6" s="263" t="str">
        <f t="shared" si="1"/>
        <v>T.Năm</v>
      </c>
      <c r="U6" s="263" t="str">
        <f t="shared" si="1"/>
        <v>T.Sáu</v>
      </c>
      <c r="V6" s="263" t="str">
        <f t="shared" si="1"/>
        <v>T.Bảy</v>
      </c>
      <c r="W6" s="263" t="str">
        <f t="shared" si="1"/>
        <v>C.Nhật</v>
      </c>
      <c r="X6" s="263" t="str">
        <f t="shared" si="1"/>
        <v>T.Hai</v>
      </c>
      <c r="Y6" s="263" t="str">
        <f t="shared" si="1"/>
        <v>T.Ba</v>
      </c>
      <c r="Z6" s="263" t="str">
        <f t="shared" si="1"/>
        <v>T.Tư</v>
      </c>
      <c r="AA6" s="263" t="str">
        <f t="shared" si="1"/>
        <v>T.Năm</v>
      </c>
      <c r="AB6" s="263" t="str">
        <f t="shared" si="1"/>
        <v>T.Sáu</v>
      </c>
      <c r="AC6" s="263" t="str">
        <f t="shared" si="1"/>
        <v>T.Bảy</v>
      </c>
      <c r="AD6" s="263" t="str">
        <f t="shared" si="1"/>
        <v>C.Nhật</v>
      </c>
      <c r="AE6" s="263" t="str">
        <f t="shared" si="1"/>
        <v>T.Hai</v>
      </c>
      <c r="AF6" s="263" t="str">
        <f t="shared" si="1"/>
        <v>T.Ba</v>
      </c>
      <c r="AG6" s="263" t="str">
        <f t="shared" si="1"/>
        <v>T.Tư</v>
      </c>
      <c r="AH6" s="263" t="str">
        <f t="shared" si="1"/>
        <v>T.Năm</v>
      </c>
      <c r="AI6" s="263" t="str">
        <f t="shared" si="1"/>
        <v>T.Sáu</v>
      </c>
      <c r="AJ6" s="263" t="str">
        <f t="shared" si="1"/>
        <v>T.Bảy</v>
      </c>
      <c r="AK6" s="264" t="s">
        <v>16</v>
      </c>
      <c r="AL6" s="264" t="s">
        <v>31</v>
      </c>
      <c r="AM6" s="265" t="s">
        <v>17</v>
      </c>
      <c r="AN6" s="460"/>
      <c r="AO6" s="460"/>
      <c r="AP6" s="460"/>
      <c r="AQ6" s="460"/>
      <c r="AR6" s="460"/>
      <c r="AS6" s="454"/>
      <c r="AT6" s="46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40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183</v>
      </c>
      <c r="B8" s="270" t="s">
        <v>184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533">
        <v>1</v>
      </c>
      <c r="B9" s="533" t="s">
        <v>61</v>
      </c>
      <c r="C9" s="472" t="str">
        <f>VLOOKUP(B9,DS,2,0)</f>
        <v>Mai Út Hiền</v>
      </c>
      <c r="D9" s="474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0</v>
      </c>
      <c r="J9" s="153">
        <v>8</v>
      </c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0</v>
      </c>
      <c r="Q9" s="153">
        <v>8</v>
      </c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0</v>
      </c>
      <c r="X9" s="153">
        <v>8</v>
      </c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0</v>
      </c>
      <c r="AE9" s="153">
        <v>8</v>
      </c>
      <c r="AF9" s="153">
        <v>8</v>
      </c>
      <c r="AG9" s="153">
        <v>8</v>
      </c>
      <c r="AH9" s="153">
        <v>8</v>
      </c>
      <c r="AI9" s="153">
        <v>8</v>
      </c>
      <c r="AJ9" s="153">
        <v>0</v>
      </c>
      <c r="AK9" s="444">
        <f>((SUM(F9:AJ9))/8)-(SUMIF($F$6:$AJ$6,"C.Nhật",F9:AJ9)/8)</f>
        <v>26</v>
      </c>
      <c r="AL9" s="444">
        <f>SUM(F10:AI10)/8*1.5</f>
        <v>0</v>
      </c>
      <c r="AM9" s="446">
        <f>SUMIF($F$6:$AI$6,"C.Nhật",$F9:$AI10)/8*2</f>
        <v>0</v>
      </c>
      <c r="AN9" s="435">
        <f>SUM(AK9:AM10)</f>
        <v>26</v>
      </c>
      <c r="AO9" s="448">
        <v>0</v>
      </c>
      <c r="AP9" s="435"/>
      <c r="AQ9" s="435"/>
      <c r="AR9" s="435"/>
      <c r="AS9" s="437"/>
      <c r="AT9" s="40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534"/>
      <c r="B10" s="534"/>
      <c r="C10" s="473"/>
      <c r="D10" s="475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445"/>
      <c r="AL10" s="445"/>
      <c r="AM10" s="447"/>
      <c r="AN10" s="436"/>
      <c r="AO10" s="449"/>
      <c r="AP10" s="436"/>
      <c r="AQ10" s="436"/>
      <c r="AR10" s="436"/>
      <c r="AS10" s="438"/>
      <c r="AT10" s="40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533">
        <f>A9+1</f>
        <v>2</v>
      </c>
      <c r="B11" s="533" t="s">
        <v>62</v>
      </c>
      <c r="C11" s="472" t="str">
        <f>VLOOKUP(B11,DS,2,0)</f>
        <v>Nguyễn Thị Xuân Thảo</v>
      </c>
      <c r="D11" s="474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0</v>
      </c>
      <c r="J11" s="153">
        <v>8</v>
      </c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0</v>
      </c>
      <c r="Q11" s="153">
        <v>8</v>
      </c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0</v>
      </c>
      <c r="X11" s="153">
        <v>8</v>
      </c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0</v>
      </c>
      <c r="AE11" s="153">
        <v>8</v>
      </c>
      <c r="AF11" s="153">
        <v>8</v>
      </c>
      <c r="AG11" s="153">
        <v>8</v>
      </c>
      <c r="AH11" s="153">
        <v>8</v>
      </c>
      <c r="AI11" s="153">
        <v>8</v>
      </c>
      <c r="AJ11" s="153">
        <v>0</v>
      </c>
      <c r="AK11" s="444">
        <f>((SUM(F11:AJ11))/8)-(SUMIF($F$6:$AJ$6,"C.Nhật",F11:AJ11)/8)</f>
        <v>26</v>
      </c>
      <c r="AL11" s="444">
        <f>SUM(F12:AI12)/8*1.5</f>
        <v>0</v>
      </c>
      <c r="AM11" s="446">
        <f>SUMIF($F$6:$AI$6,"C.Nhật",$F11:$AI12)/8*2</f>
        <v>0</v>
      </c>
      <c r="AN11" s="435">
        <f>SUM(AK11:AM12)</f>
        <v>26</v>
      </c>
      <c r="AO11" s="448">
        <v>0</v>
      </c>
      <c r="AP11" s="435"/>
      <c r="AQ11" s="435"/>
      <c r="AR11" s="435"/>
      <c r="AS11" s="437"/>
      <c r="AT11" s="40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534"/>
      <c r="B12" s="534"/>
      <c r="C12" s="473"/>
      <c r="D12" s="475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445"/>
      <c r="AL12" s="445"/>
      <c r="AM12" s="447"/>
      <c r="AN12" s="436"/>
      <c r="AO12" s="449"/>
      <c r="AP12" s="436"/>
      <c r="AQ12" s="436"/>
      <c r="AR12" s="436"/>
      <c r="AS12" s="438"/>
      <c r="AT12" s="40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185</v>
      </c>
      <c r="B13" s="270" t="s">
        <v>186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533">
        <v>3</v>
      </c>
      <c r="B14" s="533" t="s">
        <v>85</v>
      </c>
      <c r="C14" s="472" t="str">
        <f>VLOOKUP(B14,DS,2,0)</f>
        <v>Huỳnh Thị Hường</v>
      </c>
      <c r="D14" s="474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0</v>
      </c>
      <c r="J14" s="153">
        <v>8</v>
      </c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0</v>
      </c>
      <c r="Q14" s="153">
        <v>8</v>
      </c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0</v>
      </c>
      <c r="X14" s="153">
        <v>8</v>
      </c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0</v>
      </c>
      <c r="AE14" s="153">
        <v>8</v>
      </c>
      <c r="AF14" s="153">
        <v>8</v>
      </c>
      <c r="AG14" s="153">
        <v>8</v>
      </c>
      <c r="AH14" s="153">
        <v>8</v>
      </c>
      <c r="AI14" s="153">
        <v>8</v>
      </c>
      <c r="AJ14" s="153">
        <v>0</v>
      </c>
      <c r="AK14" s="444">
        <f>((SUM(F14:AJ14))/8)-(SUMIF($F$6:$AJ$6,"C.Nhật",F14:AJ14)/8)</f>
        <v>26</v>
      </c>
      <c r="AL14" s="444">
        <f>SUM(F15:AI15)/8*1.5</f>
        <v>0</v>
      </c>
      <c r="AM14" s="446">
        <f>SUMIF($F$6:$AI$6,"C.Nhật",$F14:$AI15)/8*2</f>
        <v>0</v>
      </c>
      <c r="AN14" s="435">
        <f>SUM(AK14:AM15)</f>
        <v>26</v>
      </c>
      <c r="AO14" s="448">
        <v>0</v>
      </c>
      <c r="AP14" s="435"/>
      <c r="AQ14" s="435"/>
      <c r="AR14" s="435"/>
      <c r="AS14" s="437"/>
      <c r="AT14" s="40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534"/>
      <c r="B15" s="534"/>
      <c r="C15" s="473"/>
      <c r="D15" s="475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445"/>
      <c r="AL15" s="445"/>
      <c r="AM15" s="447"/>
      <c r="AN15" s="436"/>
      <c r="AO15" s="449"/>
      <c r="AP15" s="436"/>
      <c r="AQ15" s="436"/>
      <c r="AR15" s="436"/>
      <c r="AS15" s="438"/>
      <c r="AT15" s="40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533">
        <f>A14+1</f>
        <v>4</v>
      </c>
      <c r="B16" s="533" t="s">
        <v>86</v>
      </c>
      <c r="C16" s="472" t="str">
        <f>VLOOKUP(B16,DS,2,0)</f>
        <v>Nguyễn Thị Rong</v>
      </c>
      <c r="D16" s="474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0</v>
      </c>
      <c r="J16" s="153">
        <v>8</v>
      </c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0</v>
      </c>
      <c r="Q16" s="153">
        <v>8</v>
      </c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0</v>
      </c>
      <c r="X16" s="153">
        <v>8</v>
      </c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0</v>
      </c>
      <c r="AE16" s="153">
        <v>8</v>
      </c>
      <c r="AF16" s="153">
        <v>8</v>
      </c>
      <c r="AG16" s="153">
        <v>8</v>
      </c>
      <c r="AH16" s="153">
        <v>8</v>
      </c>
      <c r="AI16" s="153">
        <v>8</v>
      </c>
      <c r="AJ16" s="153">
        <v>0</v>
      </c>
      <c r="AK16" s="444">
        <f>((SUM(F16:AJ16))/8)-(SUMIF($F$6:$AJ$6,"C.Nhật",F16:AJ16)/8)</f>
        <v>26</v>
      </c>
      <c r="AL16" s="444">
        <f>SUM(F17:AI17)/8*1.5</f>
        <v>0</v>
      </c>
      <c r="AM16" s="446">
        <f>SUMIF($F$6:$AI$6,"C.Nhật",$F16:$AI17)/8*2</f>
        <v>0</v>
      </c>
      <c r="AN16" s="435">
        <f>SUM(AK16:AM17)</f>
        <v>26</v>
      </c>
      <c r="AO16" s="448">
        <v>0</v>
      </c>
      <c r="AP16" s="435"/>
      <c r="AQ16" s="435"/>
      <c r="AR16" s="435"/>
      <c r="AS16" s="437"/>
      <c r="AT16" s="40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534"/>
      <c r="B17" s="534"/>
      <c r="C17" s="473"/>
      <c r="D17" s="475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445"/>
      <c r="AL17" s="445"/>
      <c r="AM17" s="447"/>
      <c r="AN17" s="436"/>
      <c r="AO17" s="449"/>
      <c r="AP17" s="436"/>
      <c r="AQ17" s="436"/>
      <c r="AR17" s="436"/>
      <c r="AS17" s="438"/>
      <c r="AT17" s="40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533">
        <f t="shared" ref="A18" si="2">A16+1</f>
        <v>5</v>
      </c>
      <c r="B18" s="533" t="s">
        <v>87</v>
      </c>
      <c r="C18" s="472" t="str">
        <f>VLOOKUP(B18,DS,2,0)</f>
        <v>Sơn Thị Nil</v>
      </c>
      <c r="D18" s="474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0</v>
      </c>
      <c r="J18" s="153">
        <v>8</v>
      </c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0</v>
      </c>
      <c r="Q18" s="153">
        <v>8</v>
      </c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0</v>
      </c>
      <c r="X18" s="153">
        <v>8</v>
      </c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0</v>
      </c>
      <c r="AE18" s="153">
        <v>8</v>
      </c>
      <c r="AF18" s="153">
        <v>8</v>
      </c>
      <c r="AG18" s="153">
        <v>8</v>
      </c>
      <c r="AH18" s="153">
        <v>8</v>
      </c>
      <c r="AI18" s="153">
        <v>8</v>
      </c>
      <c r="AJ18" s="153">
        <v>0</v>
      </c>
      <c r="AK18" s="444">
        <f>((SUM(F18:AJ18))/8)-(SUMIF($F$6:$AJ$6,"C.Nhật",F18:AJ18)/8)</f>
        <v>26</v>
      </c>
      <c r="AL18" s="444">
        <f>SUM(F19:AI19)/8*1.5</f>
        <v>0</v>
      </c>
      <c r="AM18" s="446">
        <f>SUMIF($F$6:$AI$6,"C.Nhật",$F18:$AI19)/8*2</f>
        <v>0</v>
      </c>
      <c r="AN18" s="435">
        <f>SUM(AK18:AM19)</f>
        <v>26</v>
      </c>
      <c r="AO18" s="448">
        <v>0</v>
      </c>
      <c r="AP18" s="435"/>
      <c r="AQ18" s="435"/>
      <c r="AR18" s="435"/>
      <c r="AS18" s="437"/>
      <c r="AT18" s="40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534"/>
      <c r="B19" s="534"/>
      <c r="C19" s="473"/>
      <c r="D19" s="475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445"/>
      <c r="AL19" s="445"/>
      <c r="AM19" s="447"/>
      <c r="AN19" s="436"/>
      <c r="AO19" s="449"/>
      <c r="AP19" s="436"/>
      <c r="AQ19" s="436"/>
      <c r="AR19" s="436"/>
      <c r="AS19" s="438"/>
      <c r="AT19" s="40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533">
        <f t="shared" ref="A20" si="3">A18+1</f>
        <v>6</v>
      </c>
      <c r="B20" s="533" t="s">
        <v>91</v>
      </c>
      <c r="C20" s="472" t="str">
        <f>VLOOKUP(B20,DS,2,0)</f>
        <v>Nguyễn Thị Lựu</v>
      </c>
      <c r="D20" s="474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0</v>
      </c>
      <c r="J20" s="153">
        <v>8</v>
      </c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0</v>
      </c>
      <c r="Q20" s="153">
        <v>8</v>
      </c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0</v>
      </c>
      <c r="X20" s="153">
        <v>8</v>
      </c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0</v>
      </c>
      <c r="AE20" s="153">
        <v>8</v>
      </c>
      <c r="AF20" s="153">
        <v>8</v>
      </c>
      <c r="AG20" s="153">
        <v>8</v>
      </c>
      <c r="AH20" s="153">
        <v>8</v>
      </c>
      <c r="AI20" s="153">
        <v>8</v>
      </c>
      <c r="AJ20" s="153">
        <v>0</v>
      </c>
      <c r="AK20" s="444">
        <f>((SUM(F20:AJ20))/8)-(SUMIF($F$6:$AJ$6,"C.Nhật",F20:AJ20)/8)</f>
        <v>26</v>
      </c>
      <c r="AL20" s="444">
        <f>SUM(F21:AI21)/8*1.5</f>
        <v>0</v>
      </c>
      <c r="AM20" s="446">
        <f>SUMIF($F$6:$AI$6,"C.Nhật",$F20:$AI21)/8*2</f>
        <v>0</v>
      </c>
      <c r="AN20" s="435">
        <f>SUM(AK20:AM21)</f>
        <v>26</v>
      </c>
      <c r="AO20" s="448">
        <v>0</v>
      </c>
      <c r="AP20" s="435"/>
      <c r="AQ20" s="435"/>
      <c r="AR20" s="435"/>
      <c r="AS20" s="437"/>
      <c r="AT20" s="40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534"/>
      <c r="B21" s="534"/>
      <c r="C21" s="473"/>
      <c r="D21" s="475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445"/>
      <c r="AL21" s="445"/>
      <c r="AM21" s="447"/>
      <c r="AN21" s="436"/>
      <c r="AO21" s="449"/>
      <c r="AP21" s="436"/>
      <c r="AQ21" s="436"/>
      <c r="AR21" s="436"/>
      <c r="AS21" s="438"/>
      <c r="AT21" s="40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533">
        <f t="shared" ref="A22" si="4">A20+1</f>
        <v>7</v>
      </c>
      <c r="B22" s="533" t="s">
        <v>94</v>
      </c>
      <c r="C22" s="472" t="str">
        <f>VLOOKUP(B22,DS,2,0)</f>
        <v>Trà Thị Soi</v>
      </c>
      <c r="D22" s="474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0</v>
      </c>
      <c r="J22" s="153">
        <v>8</v>
      </c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0</v>
      </c>
      <c r="Q22" s="153">
        <v>8</v>
      </c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0</v>
      </c>
      <c r="X22" s="153">
        <v>8</v>
      </c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0</v>
      </c>
      <c r="AE22" s="153">
        <v>8</v>
      </c>
      <c r="AF22" s="153">
        <v>8</v>
      </c>
      <c r="AG22" s="153">
        <v>8</v>
      </c>
      <c r="AH22" s="153">
        <v>8</v>
      </c>
      <c r="AI22" s="153">
        <v>8</v>
      </c>
      <c r="AJ22" s="153">
        <v>0</v>
      </c>
      <c r="AK22" s="444">
        <f>((SUM(F22:AJ22))/8)-(SUMIF($F$6:$AJ$6,"C.Nhật",F22:AJ22)/8)</f>
        <v>26</v>
      </c>
      <c r="AL22" s="444">
        <f>SUM(F23:AI23)/8*1.5</f>
        <v>0</v>
      </c>
      <c r="AM22" s="446">
        <f>SUMIF($F$6:$AI$6,"C.Nhật",$F22:$AI23)/8*2</f>
        <v>0</v>
      </c>
      <c r="AN22" s="435">
        <f>SUM(AK22:AM23)</f>
        <v>26</v>
      </c>
      <c r="AO22" s="448">
        <v>0</v>
      </c>
      <c r="AP22" s="435"/>
      <c r="AQ22" s="435"/>
      <c r="AR22" s="435"/>
      <c r="AS22" s="437"/>
      <c r="AT22" s="40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534"/>
      <c r="B23" s="534"/>
      <c r="C23" s="473"/>
      <c r="D23" s="475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445"/>
      <c r="AL23" s="445"/>
      <c r="AM23" s="447"/>
      <c r="AN23" s="436"/>
      <c r="AO23" s="449"/>
      <c r="AP23" s="436"/>
      <c r="AQ23" s="436"/>
      <c r="AR23" s="436"/>
      <c r="AS23" s="438"/>
      <c r="AT23" s="40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533">
        <f t="shared" ref="A24" si="5">A22+1</f>
        <v>8</v>
      </c>
      <c r="B24" s="533" t="s">
        <v>101</v>
      </c>
      <c r="C24" s="472" t="str">
        <f>VLOOKUP(B24,DS,2,0)</f>
        <v>Trần Thị Bích Phượng</v>
      </c>
      <c r="D24" s="474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0</v>
      </c>
      <c r="J24" s="153">
        <v>8</v>
      </c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0</v>
      </c>
      <c r="Q24" s="153">
        <v>8</v>
      </c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0</v>
      </c>
      <c r="X24" s="153">
        <v>8</v>
      </c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0</v>
      </c>
      <c r="AE24" s="153">
        <v>8</v>
      </c>
      <c r="AF24" s="153">
        <v>8</v>
      </c>
      <c r="AG24" s="153">
        <v>8</v>
      </c>
      <c r="AH24" s="153">
        <v>8</v>
      </c>
      <c r="AI24" s="153">
        <v>8</v>
      </c>
      <c r="AJ24" s="153">
        <v>0</v>
      </c>
      <c r="AK24" s="444">
        <f>((SUM(F24:AJ24))/8)-(SUMIF($F$6:$AJ$6,"C.Nhật",F24:AJ24)/8)</f>
        <v>26</v>
      </c>
      <c r="AL24" s="444">
        <f>SUM(F25:AI25)/8*1.5</f>
        <v>0</v>
      </c>
      <c r="AM24" s="446">
        <f>SUMIF($F$6:$AI$6,"C.Nhật",$F24:$AI25)/8*2</f>
        <v>0</v>
      </c>
      <c r="AN24" s="435">
        <f>SUM(AK24:AM25)</f>
        <v>26</v>
      </c>
      <c r="AO24" s="448">
        <v>0</v>
      </c>
      <c r="AP24" s="435"/>
      <c r="AQ24" s="435"/>
      <c r="AR24" s="435"/>
      <c r="AS24" s="437"/>
      <c r="AT24" s="40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534"/>
      <c r="B25" s="534"/>
      <c r="C25" s="473"/>
      <c r="D25" s="475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445"/>
      <c r="AL25" s="445"/>
      <c r="AM25" s="447"/>
      <c r="AN25" s="436"/>
      <c r="AO25" s="449"/>
      <c r="AP25" s="436"/>
      <c r="AQ25" s="436"/>
      <c r="AR25" s="436"/>
      <c r="AS25" s="438"/>
      <c r="AT25" s="40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533">
        <f t="shared" ref="A26" si="6">A24+1</f>
        <v>9</v>
      </c>
      <c r="B26" s="533" t="s">
        <v>102</v>
      </c>
      <c r="C26" s="472" t="str">
        <f>VLOOKUP(B26,DS,2,0)</f>
        <v>Sơn Thị Trường Sa</v>
      </c>
      <c r="D26" s="474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0</v>
      </c>
      <c r="J26" s="153">
        <v>8</v>
      </c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0</v>
      </c>
      <c r="Q26" s="153">
        <v>8</v>
      </c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0</v>
      </c>
      <c r="X26" s="153">
        <v>8</v>
      </c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0</v>
      </c>
      <c r="AE26" s="153">
        <v>8</v>
      </c>
      <c r="AF26" s="153">
        <v>8</v>
      </c>
      <c r="AG26" s="153">
        <v>8</v>
      </c>
      <c r="AH26" s="153">
        <v>8</v>
      </c>
      <c r="AI26" s="153">
        <v>8</v>
      </c>
      <c r="AJ26" s="153">
        <v>0</v>
      </c>
      <c r="AK26" s="444">
        <f>((SUM(F26:AJ26))/8)-(SUMIF($F$6:$AJ$6,"C.Nhật",F26:AJ26)/8)</f>
        <v>26</v>
      </c>
      <c r="AL26" s="444">
        <f>SUM(F27:AI27)/8*1.5</f>
        <v>0</v>
      </c>
      <c r="AM26" s="446">
        <f>SUMIF($F$6:$AI$6,"C.Nhật",$F26:$AI27)/8*2</f>
        <v>0</v>
      </c>
      <c r="AN26" s="435">
        <f>SUM(AK26:AM27)</f>
        <v>26</v>
      </c>
      <c r="AO26" s="448">
        <v>0</v>
      </c>
      <c r="AP26" s="435"/>
      <c r="AQ26" s="435"/>
      <c r="AR26" s="435"/>
      <c r="AS26" s="437"/>
      <c r="AT26" s="40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534"/>
      <c r="B27" s="534"/>
      <c r="C27" s="473"/>
      <c r="D27" s="475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445"/>
      <c r="AL27" s="445"/>
      <c r="AM27" s="447"/>
      <c r="AN27" s="436"/>
      <c r="AO27" s="449"/>
      <c r="AP27" s="436"/>
      <c r="AQ27" s="436"/>
      <c r="AR27" s="436"/>
      <c r="AS27" s="438"/>
      <c r="AT27" s="40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533">
        <f t="shared" ref="A28" si="7">A26+1</f>
        <v>10</v>
      </c>
      <c r="B28" s="533" t="s">
        <v>103</v>
      </c>
      <c r="C28" s="472" t="str">
        <f>VLOOKUP(B28,DS,2,0)</f>
        <v>Lý Thị Sà Kha</v>
      </c>
      <c r="D28" s="474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0</v>
      </c>
      <c r="J28" s="153">
        <v>8</v>
      </c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0</v>
      </c>
      <c r="Q28" s="153">
        <v>8</v>
      </c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0</v>
      </c>
      <c r="X28" s="153">
        <v>8</v>
      </c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0</v>
      </c>
      <c r="AE28" s="153">
        <v>8</v>
      </c>
      <c r="AF28" s="153">
        <v>8</v>
      </c>
      <c r="AG28" s="153">
        <v>8</v>
      </c>
      <c r="AH28" s="153">
        <v>8</v>
      </c>
      <c r="AI28" s="153">
        <v>8</v>
      </c>
      <c r="AJ28" s="153">
        <v>0</v>
      </c>
      <c r="AK28" s="444">
        <f>((SUM(F28:AJ28))/8)-(SUMIF($F$6:$AJ$6,"C.Nhật",F28:AJ28)/8)</f>
        <v>26</v>
      </c>
      <c r="AL28" s="444">
        <f>SUM(F29:AI29)/8*1.5</f>
        <v>0</v>
      </c>
      <c r="AM28" s="446">
        <f>SUMIF($F$6:$AI$6,"C.Nhật",$F28:$AI29)/8*2</f>
        <v>0</v>
      </c>
      <c r="AN28" s="435">
        <f>SUM(AK28:AM29)</f>
        <v>26</v>
      </c>
      <c r="AO28" s="448">
        <v>0</v>
      </c>
      <c r="AP28" s="435"/>
      <c r="AQ28" s="435"/>
      <c r="AR28" s="435"/>
      <c r="AS28" s="437"/>
      <c r="AT28" s="40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534"/>
      <c r="B29" s="534"/>
      <c r="C29" s="473"/>
      <c r="D29" s="475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445"/>
      <c r="AL29" s="445"/>
      <c r="AM29" s="447"/>
      <c r="AN29" s="436"/>
      <c r="AO29" s="449"/>
      <c r="AP29" s="436"/>
      <c r="AQ29" s="436"/>
      <c r="AR29" s="436"/>
      <c r="AS29" s="438"/>
      <c r="AT29" s="40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533">
        <f t="shared" ref="A30" si="8">A28+1</f>
        <v>11</v>
      </c>
      <c r="B30" s="533" t="s">
        <v>104</v>
      </c>
      <c r="C30" s="472" t="str">
        <f>VLOOKUP(B30,DS,2,0)</f>
        <v xml:space="preserve"> Lâm Thị Mộng Thường</v>
      </c>
      <c r="D30" s="474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0</v>
      </c>
      <c r="J30" s="153">
        <v>8</v>
      </c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0</v>
      </c>
      <c r="Q30" s="153">
        <v>8</v>
      </c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0</v>
      </c>
      <c r="X30" s="153">
        <v>8</v>
      </c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0</v>
      </c>
      <c r="AE30" s="153">
        <v>8</v>
      </c>
      <c r="AF30" s="153">
        <v>8</v>
      </c>
      <c r="AG30" s="153">
        <v>8</v>
      </c>
      <c r="AH30" s="153">
        <v>8</v>
      </c>
      <c r="AI30" s="153">
        <v>8</v>
      </c>
      <c r="AJ30" s="153">
        <v>0</v>
      </c>
      <c r="AK30" s="444">
        <f>((SUM(F30:AJ30))/8)-(SUMIF($F$6:$AJ$6,"C.Nhật",F30:AJ30)/8)</f>
        <v>26</v>
      </c>
      <c r="AL30" s="444">
        <f>SUM(F31:AI31)/8*1.5</f>
        <v>0</v>
      </c>
      <c r="AM30" s="446">
        <f>SUMIF($F$6:$AI$6,"C.Nhật",$F30:$AI31)/8*2</f>
        <v>0</v>
      </c>
      <c r="AN30" s="435">
        <f>SUM(AK30:AM31)</f>
        <v>26</v>
      </c>
      <c r="AO30" s="448">
        <v>0</v>
      </c>
      <c r="AP30" s="435"/>
      <c r="AQ30" s="435"/>
      <c r="AR30" s="435"/>
      <c r="AS30" s="437"/>
      <c r="AT30" s="40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534"/>
      <c r="B31" s="534"/>
      <c r="C31" s="473"/>
      <c r="D31" s="475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445"/>
      <c r="AL31" s="445"/>
      <c r="AM31" s="447"/>
      <c r="AN31" s="436"/>
      <c r="AO31" s="449"/>
      <c r="AP31" s="436"/>
      <c r="AQ31" s="436"/>
      <c r="AR31" s="436"/>
      <c r="AS31" s="438"/>
      <c r="AT31" s="40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533">
        <f t="shared" ref="A32" si="9">A30+1</f>
        <v>12</v>
      </c>
      <c r="B32" s="535" t="s">
        <v>88</v>
      </c>
      <c r="C32" s="472" t="str">
        <f>VLOOKUP(B32,DS,2,0)</f>
        <v>Huỳnh Thị Bé Tha</v>
      </c>
      <c r="D32" s="474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0</v>
      </c>
      <c r="J32" s="153">
        <v>8</v>
      </c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0</v>
      </c>
      <c r="Q32" s="153">
        <v>8</v>
      </c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0</v>
      </c>
      <c r="X32" s="153">
        <v>8</v>
      </c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0</v>
      </c>
      <c r="AE32" s="153">
        <v>8</v>
      </c>
      <c r="AF32" s="153">
        <v>8</v>
      </c>
      <c r="AG32" s="153">
        <v>8</v>
      </c>
      <c r="AH32" s="153">
        <v>8</v>
      </c>
      <c r="AI32" s="153">
        <v>8</v>
      </c>
      <c r="AJ32" s="153">
        <v>0</v>
      </c>
      <c r="AK32" s="444">
        <f>((SUM(F32:AJ32))/8)-(SUMIF($F$6:$AJ$6,"C.Nhật",F32:AJ32)/8)</f>
        <v>26</v>
      </c>
      <c r="AL32" s="444">
        <f>SUM(F33:AI33)/8*1.5</f>
        <v>0</v>
      </c>
      <c r="AM32" s="446">
        <f>SUMIF($F$6:$AI$6,"C.Nhật",$F32:$AI33)/8*2</f>
        <v>0</v>
      </c>
      <c r="AN32" s="435">
        <f>SUM(AK32:AM33)</f>
        <v>26</v>
      </c>
      <c r="AO32" s="448">
        <v>0</v>
      </c>
      <c r="AP32" s="435"/>
      <c r="AQ32" s="435"/>
      <c r="AR32" s="435"/>
      <c r="AS32" s="437"/>
      <c r="AT32" s="40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534"/>
      <c r="B33" s="536"/>
      <c r="C33" s="473"/>
      <c r="D33" s="475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445"/>
      <c r="AL33" s="445"/>
      <c r="AM33" s="447"/>
      <c r="AN33" s="436"/>
      <c r="AO33" s="449"/>
      <c r="AP33" s="436"/>
      <c r="AQ33" s="436"/>
      <c r="AR33" s="436"/>
      <c r="AS33" s="438"/>
      <c r="AT33" s="40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533">
        <v>13</v>
      </c>
      <c r="B34" s="535" t="s">
        <v>210</v>
      </c>
      <c r="C34" s="472" t="str">
        <f>VLOOKUP(B34,DS,2,0)</f>
        <v>Nguyễn Thị Diễm</v>
      </c>
      <c r="D34" s="474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153">
        <v>0</v>
      </c>
      <c r="J34" s="153">
        <v>8</v>
      </c>
      <c r="K34" s="153">
        <v>8</v>
      </c>
      <c r="L34" s="153">
        <v>8</v>
      </c>
      <c r="M34" s="153">
        <v>8</v>
      </c>
      <c r="N34" s="153">
        <v>8</v>
      </c>
      <c r="O34" s="153">
        <v>8</v>
      </c>
      <c r="P34" s="153">
        <v>0</v>
      </c>
      <c r="Q34" s="153">
        <v>8</v>
      </c>
      <c r="R34" s="153">
        <v>8</v>
      </c>
      <c r="S34" s="153">
        <v>8</v>
      </c>
      <c r="T34" s="153">
        <v>8</v>
      </c>
      <c r="U34" s="153">
        <v>8</v>
      </c>
      <c r="V34" s="153">
        <v>8</v>
      </c>
      <c r="W34" s="153">
        <v>0</v>
      </c>
      <c r="X34" s="153">
        <v>8</v>
      </c>
      <c r="Y34" s="153">
        <v>8</v>
      </c>
      <c r="Z34" s="153">
        <v>8</v>
      </c>
      <c r="AA34" s="153">
        <v>8</v>
      </c>
      <c r="AB34" s="153">
        <v>8</v>
      </c>
      <c r="AC34" s="153">
        <v>8</v>
      </c>
      <c r="AD34" s="153">
        <v>0</v>
      </c>
      <c r="AE34" s="153">
        <v>8</v>
      </c>
      <c r="AF34" s="153">
        <v>8</v>
      </c>
      <c r="AG34" s="153">
        <v>8</v>
      </c>
      <c r="AH34" s="153">
        <v>8</v>
      </c>
      <c r="AI34" s="153">
        <v>8</v>
      </c>
      <c r="AJ34" s="153">
        <v>0</v>
      </c>
      <c r="AK34" s="444">
        <f>((SUM(F34:AJ34))/8)-(SUMIF($F$6:$AJ$6,"C.Nhật",F34:AJ34)/8)</f>
        <v>26</v>
      </c>
      <c r="AL34" s="444">
        <f>SUM(F35:AI35)/8*1.5</f>
        <v>0</v>
      </c>
      <c r="AM34" s="446">
        <f>SUMIF($F$6:$AI$6,"C.Nhật",$F34:$AI35)/8*2</f>
        <v>0</v>
      </c>
      <c r="AN34" s="435">
        <f>SUM(AK34:AM35)</f>
        <v>26</v>
      </c>
      <c r="AO34" s="376"/>
      <c r="AP34" s="375"/>
      <c r="AQ34" s="375"/>
      <c r="AR34" s="435"/>
      <c r="AS34" s="377"/>
      <c r="AT34" s="40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534"/>
      <c r="B35" s="536"/>
      <c r="C35" s="473"/>
      <c r="D35" s="475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445"/>
      <c r="AL35" s="445"/>
      <c r="AM35" s="447"/>
      <c r="AN35" s="436"/>
      <c r="AO35" s="376"/>
      <c r="AP35" s="375"/>
      <c r="AQ35" s="375"/>
      <c r="AR35" s="436"/>
      <c r="AS35" s="377"/>
      <c r="AT35" s="40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533">
        <v>14</v>
      </c>
      <c r="B36" s="565" t="s">
        <v>211</v>
      </c>
      <c r="C36" s="472" t="str">
        <f>VLOOKUP(B36,DS,2,0)</f>
        <v>Võ Văn Hữu Phước</v>
      </c>
      <c r="D36" s="474" t="str">
        <f>VLOOKUP(B36,DS,3,0)</f>
        <v>Công nhân</v>
      </c>
      <c r="E36" s="58" t="s">
        <v>32</v>
      </c>
      <c r="F36" s="153">
        <v>8</v>
      </c>
      <c r="G36" s="153">
        <v>8</v>
      </c>
      <c r="H36" s="153">
        <v>8</v>
      </c>
      <c r="I36" s="153">
        <v>0</v>
      </c>
      <c r="J36" s="153">
        <v>8</v>
      </c>
      <c r="K36" s="153">
        <v>8</v>
      </c>
      <c r="L36" s="153">
        <v>8</v>
      </c>
      <c r="M36" s="153">
        <v>8</v>
      </c>
      <c r="N36" s="153">
        <v>8</v>
      </c>
      <c r="O36" s="153">
        <v>8</v>
      </c>
      <c r="P36" s="153">
        <v>0</v>
      </c>
      <c r="Q36" s="153">
        <v>8</v>
      </c>
      <c r="R36" s="153">
        <v>8</v>
      </c>
      <c r="S36" s="153">
        <v>8</v>
      </c>
      <c r="T36" s="153">
        <v>8</v>
      </c>
      <c r="U36" s="153">
        <v>8</v>
      </c>
      <c r="V36" s="153">
        <v>8</v>
      </c>
      <c r="W36" s="153">
        <v>0</v>
      </c>
      <c r="X36" s="153">
        <v>8</v>
      </c>
      <c r="Y36" s="153">
        <v>8</v>
      </c>
      <c r="Z36" s="153">
        <v>8</v>
      </c>
      <c r="AA36" s="153">
        <v>8</v>
      </c>
      <c r="AB36" s="153">
        <v>8</v>
      </c>
      <c r="AC36" s="153">
        <v>8</v>
      </c>
      <c r="AD36" s="153">
        <v>0</v>
      </c>
      <c r="AE36" s="153">
        <v>8</v>
      </c>
      <c r="AF36" s="153">
        <v>8</v>
      </c>
      <c r="AG36" s="153">
        <v>8</v>
      </c>
      <c r="AH36" s="153">
        <v>8</v>
      </c>
      <c r="AI36" s="153">
        <v>8</v>
      </c>
      <c r="AJ36" s="153">
        <v>0</v>
      </c>
      <c r="AK36" s="444">
        <f>((SUM(F36:AJ36))/8)-(SUMIF($F$6:$AJ$6,"C.Nhật",F36:AJ36)/8)</f>
        <v>26</v>
      </c>
      <c r="AL36" s="444">
        <f>SUM(F37:AI37)/8*1.5</f>
        <v>0</v>
      </c>
      <c r="AM36" s="446">
        <f>SUMIF($F$6:$AI$6,"C.Nhật",$F36:$AI37)/8*2</f>
        <v>0</v>
      </c>
      <c r="AN36" s="435">
        <f>SUM(AK36:AM37)</f>
        <v>26</v>
      </c>
      <c r="AO36" s="376"/>
      <c r="AP36" s="375"/>
      <c r="AQ36" s="375"/>
      <c r="AR36" s="435"/>
      <c r="AS36" s="385"/>
      <c r="AT36" s="40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534"/>
      <c r="B37" s="566"/>
      <c r="C37" s="473"/>
      <c r="D37" s="475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445"/>
      <c r="AL37" s="445"/>
      <c r="AM37" s="447"/>
      <c r="AN37" s="436"/>
      <c r="AO37" s="376"/>
      <c r="AP37" s="375"/>
      <c r="AQ37" s="375"/>
      <c r="AR37" s="436"/>
      <c r="AS37" s="153"/>
      <c r="AT37" s="40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187</v>
      </c>
      <c r="B38" s="270" t="s">
        <v>188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533">
        <f>A36+1</f>
        <v>15</v>
      </c>
      <c r="B39" s="533" t="s">
        <v>113</v>
      </c>
      <c r="C39" s="472" t="str">
        <f>VLOOKUP(B39,DS,2,0)</f>
        <v>Nguyễn Văn Bé Hai</v>
      </c>
      <c r="D39" s="474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0</v>
      </c>
      <c r="J39" s="153">
        <v>8</v>
      </c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0</v>
      </c>
      <c r="Q39" s="153">
        <v>8</v>
      </c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0</v>
      </c>
      <c r="X39" s="153">
        <v>8</v>
      </c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0</v>
      </c>
      <c r="AE39" s="153">
        <v>8</v>
      </c>
      <c r="AF39" s="153">
        <v>8</v>
      </c>
      <c r="AG39" s="153">
        <v>8</v>
      </c>
      <c r="AH39" s="153">
        <v>8</v>
      </c>
      <c r="AI39" s="153">
        <v>8</v>
      </c>
      <c r="AJ39" s="153">
        <v>0</v>
      </c>
      <c r="AK39" s="444">
        <f>((SUM(F39:AJ39))/8)-(SUMIF($F$6:$AJ$6,"C.Nhật",F39:AJ39)/8)</f>
        <v>26</v>
      </c>
      <c r="AL39" s="444">
        <f>SUM(F40:AI40)/8*1.5</f>
        <v>0</v>
      </c>
      <c r="AM39" s="446">
        <f>SUMIF($F$6:$AI$6,"C.Nhật",$F39:$AI40)/8*2</f>
        <v>0</v>
      </c>
      <c r="AN39" s="435">
        <f>SUM(AK39:AM40)</f>
        <v>26</v>
      </c>
      <c r="AO39" s="448">
        <v>0</v>
      </c>
      <c r="AP39" s="435"/>
      <c r="AQ39" s="435"/>
      <c r="AR39" s="435"/>
      <c r="AS39" s="437"/>
      <c r="AT39" s="40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534"/>
      <c r="B40" s="534"/>
      <c r="C40" s="473"/>
      <c r="D40" s="475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445"/>
      <c r="AL40" s="445"/>
      <c r="AM40" s="447"/>
      <c r="AN40" s="436"/>
      <c r="AO40" s="449"/>
      <c r="AP40" s="436"/>
      <c r="AQ40" s="436"/>
      <c r="AR40" s="436"/>
      <c r="AS40" s="438"/>
      <c r="AT40" s="40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537">
        <f>A39+1</f>
        <v>16</v>
      </c>
      <c r="B41" s="537" t="s">
        <v>206</v>
      </c>
      <c r="C41" s="539" t="s">
        <v>205</v>
      </c>
      <c r="D41" s="541" t="str">
        <f>VLOOKUP(B41,DS,3,0)</f>
        <v>Công nhân</v>
      </c>
      <c r="E41" s="326" t="s">
        <v>32</v>
      </c>
      <c r="F41" s="153">
        <v>8</v>
      </c>
      <c r="G41" s="153">
        <v>8</v>
      </c>
      <c r="H41" s="153">
        <v>8</v>
      </c>
      <c r="I41" s="153">
        <v>0</v>
      </c>
      <c r="J41" s="153">
        <v>8</v>
      </c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0</v>
      </c>
      <c r="Q41" s="153">
        <v>8</v>
      </c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0</v>
      </c>
      <c r="X41" s="153">
        <v>8</v>
      </c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>
        <v>0</v>
      </c>
      <c r="AE41" s="153">
        <v>8</v>
      </c>
      <c r="AF41" s="153">
        <v>8</v>
      </c>
      <c r="AG41" s="153">
        <v>8</v>
      </c>
      <c r="AH41" s="153">
        <v>8</v>
      </c>
      <c r="AI41" s="153">
        <v>8</v>
      </c>
      <c r="AJ41" s="153">
        <v>0</v>
      </c>
      <c r="AK41" s="543">
        <f>((SUM(F41:AJ41))/8)-(SUMIF($F$6:$AJ$6,"C.Nhật",F41:AJ41)/8)</f>
        <v>26</v>
      </c>
      <c r="AL41" s="543">
        <f>SUM(F42:AI42)/8*1.5</f>
        <v>0</v>
      </c>
      <c r="AM41" s="545">
        <f>SUMIF($F$6:$AI$6,"C.Nhật",$F41:$AI42)/8*2</f>
        <v>0</v>
      </c>
      <c r="AN41" s="547">
        <f>SUM(AK41:AM42)</f>
        <v>26</v>
      </c>
      <c r="AO41" s="549">
        <v>0</v>
      </c>
      <c r="AP41" s="547"/>
      <c r="AQ41" s="547"/>
      <c r="AR41" s="547"/>
      <c r="AS41" s="551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538"/>
      <c r="B42" s="538"/>
      <c r="C42" s="540"/>
      <c r="D42" s="542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544"/>
      <c r="AL42" s="544"/>
      <c r="AM42" s="546"/>
      <c r="AN42" s="548"/>
      <c r="AO42" s="550"/>
      <c r="AP42" s="548"/>
      <c r="AQ42" s="548"/>
      <c r="AR42" s="548"/>
      <c r="AS42" s="552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533">
        <f>A41+1</f>
        <v>17</v>
      </c>
      <c r="B43" s="533" t="s">
        <v>118</v>
      </c>
      <c r="C43" s="472" t="str">
        <f>VLOOKUP(B43,DS,2,0)</f>
        <v>Trần Nhiên</v>
      </c>
      <c r="D43" s="474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0</v>
      </c>
      <c r="J43" s="153">
        <v>8</v>
      </c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0</v>
      </c>
      <c r="Q43" s="153">
        <v>8</v>
      </c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0</v>
      </c>
      <c r="X43" s="153">
        <v>8</v>
      </c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0</v>
      </c>
      <c r="AE43" s="153">
        <v>8</v>
      </c>
      <c r="AF43" s="153">
        <v>8</v>
      </c>
      <c r="AG43" s="153">
        <v>8</v>
      </c>
      <c r="AH43" s="153">
        <v>8</v>
      </c>
      <c r="AI43" s="153">
        <v>8</v>
      </c>
      <c r="AJ43" s="153">
        <v>0</v>
      </c>
      <c r="AK43" s="444">
        <f>((SUM(F43:AJ43))/8)-(SUMIF($F$6:$AJ$6,"C.Nhật",F43:AJ43)/8)</f>
        <v>26</v>
      </c>
      <c r="AL43" s="444">
        <f>SUM(F44:AI44)/8*1.5</f>
        <v>0</v>
      </c>
      <c r="AM43" s="446">
        <f>SUMIF($F$6:$AI$6,"C.Nhật",$F43:$AI44)/8*2</f>
        <v>0</v>
      </c>
      <c r="AN43" s="435">
        <f>SUM(AK43:AM44)</f>
        <v>26</v>
      </c>
      <c r="AO43" s="448">
        <v>0</v>
      </c>
      <c r="AP43" s="435"/>
      <c r="AQ43" s="435"/>
      <c r="AR43" s="435"/>
      <c r="AS43" s="437"/>
      <c r="AT43" s="40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534"/>
      <c r="B44" s="534"/>
      <c r="C44" s="473"/>
      <c r="D44" s="475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445"/>
      <c r="AL44" s="445"/>
      <c r="AM44" s="447"/>
      <c r="AN44" s="436"/>
      <c r="AO44" s="449"/>
      <c r="AP44" s="436"/>
      <c r="AQ44" s="436"/>
      <c r="AR44" s="436"/>
      <c r="AS44" s="438"/>
      <c r="AT44" s="40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533">
        <f>A43+1</f>
        <v>18</v>
      </c>
      <c r="B45" s="533" t="s">
        <v>119</v>
      </c>
      <c r="C45" s="472" t="str">
        <f>VLOOKUP(B45,DS,2,0)</f>
        <v>Thạch Giang</v>
      </c>
      <c r="D45" s="474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0</v>
      </c>
      <c r="J45" s="153">
        <v>8</v>
      </c>
      <c r="K45" s="153">
        <v>8</v>
      </c>
      <c r="L45" s="153">
        <v>8</v>
      </c>
      <c r="M45" s="153">
        <v>8</v>
      </c>
      <c r="N45" s="153">
        <v>8</v>
      </c>
      <c r="O45" s="153">
        <v>8</v>
      </c>
      <c r="P45" s="153">
        <v>0</v>
      </c>
      <c r="Q45" s="153">
        <v>8</v>
      </c>
      <c r="R45" s="153">
        <v>8</v>
      </c>
      <c r="S45" s="153">
        <v>8</v>
      </c>
      <c r="T45" s="153">
        <v>8</v>
      </c>
      <c r="U45" s="153">
        <v>8</v>
      </c>
      <c r="V45" s="153">
        <v>8</v>
      </c>
      <c r="W45" s="153">
        <v>0</v>
      </c>
      <c r="X45" s="153">
        <v>8</v>
      </c>
      <c r="Y45" s="153">
        <v>8</v>
      </c>
      <c r="Z45" s="153">
        <v>8</v>
      </c>
      <c r="AA45" s="153">
        <v>8</v>
      </c>
      <c r="AB45" s="153">
        <v>8</v>
      </c>
      <c r="AC45" s="153">
        <v>8</v>
      </c>
      <c r="AD45" s="153">
        <v>0</v>
      </c>
      <c r="AE45" s="153">
        <v>8</v>
      </c>
      <c r="AF45" s="153">
        <v>8</v>
      </c>
      <c r="AG45" s="153">
        <v>8</v>
      </c>
      <c r="AH45" s="153">
        <v>8</v>
      </c>
      <c r="AI45" s="153">
        <v>8</v>
      </c>
      <c r="AJ45" s="153">
        <v>0</v>
      </c>
      <c r="AK45" s="444">
        <f>((SUM(F45:AJ45))/8)-(SUMIF($F$6:$AJ$6,"C.Nhật",F45:AJ45)/8)</f>
        <v>26</v>
      </c>
      <c r="AL45" s="444">
        <f>SUM(F46:AI46)/8*1.5</f>
        <v>0</v>
      </c>
      <c r="AM45" s="446">
        <f>SUMIF($F$6:$AI$6,"C.Nhật",$F45:$AI46)/8*2</f>
        <v>0</v>
      </c>
      <c r="AN45" s="435">
        <f>SUM(AK45:AM46)</f>
        <v>26</v>
      </c>
      <c r="AO45" s="448">
        <v>0</v>
      </c>
      <c r="AP45" s="435"/>
      <c r="AQ45" s="435"/>
      <c r="AR45" s="435"/>
      <c r="AS45" s="437"/>
      <c r="AT45" s="40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534"/>
      <c r="B46" s="534"/>
      <c r="C46" s="473"/>
      <c r="D46" s="475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445"/>
      <c r="AL46" s="445"/>
      <c r="AM46" s="447"/>
      <c r="AN46" s="436"/>
      <c r="AO46" s="449"/>
      <c r="AP46" s="436"/>
      <c r="AQ46" s="436"/>
      <c r="AR46" s="436"/>
      <c r="AS46" s="438"/>
      <c r="AT46" s="40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533">
        <f>A45+1</f>
        <v>19</v>
      </c>
      <c r="B47" s="533" t="s">
        <v>122</v>
      </c>
      <c r="C47" s="472" t="str">
        <f>VLOOKUP(B47,DS,2,0)</f>
        <v>Lâm Chanh Đa Ra</v>
      </c>
      <c r="D47" s="474" t="str">
        <f>VLOOKUP(B47,DS,3,0)</f>
        <v>Công nhân</v>
      </c>
      <c r="E47" s="58" t="s">
        <v>32</v>
      </c>
      <c r="F47" s="153">
        <v>8</v>
      </c>
      <c r="G47" s="153">
        <v>8</v>
      </c>
      <c r="H47" s="153">
        <v>8</v>
      </c>
      <c r="I47" s="153">
        <v>0</v>
      </c>
      <c r="J47" s="153">
        <v>8</v>
      </c>
      <c r="K47" s="153">
        <v>8</v>
      </c>
      <c r="L47" s="153">
        <v>8</v>
      </c>
      <c r="M47" s="153">
        <v>8</v>
      </c>
      <c r="N47" s="153">
        <v>8</v>
      </c>
      <c r="O47" s="153">
        <v>8</v>
      </c>
      <c r="P47" s="153">
        <v>0</v>
      </c>
      <c r="Q47" s="153">
        <v>8</v>
      </c>
      <c r="R47" s="153">
        <v>8</v>
      </c>
      <c r="S47" s="153">
        <v>8</v>
      </c>
      <c r="T47" s="153">
        <v>8</v>
      </c>
      <c r="U47" s="153">
        <v>8</v>
      </c>
      <c r="V47" s="153">
        <v>8</v>
      </c>
      <c r="W47" s="153">
        <v>0</v>
      </c>
      <c r="X47" s="153">
        <v>8</v>
      </c>
      <c r="Y47" s="153">
        <v>8</v>
      </c>
      <c r="Z47" s="153">
        <v>8</v>
      </c>
      <c r="AA47" s="153">
        <v>8</v>
      </c>
      <c r="AB47" s="153">
        <v>8</v>
      </c>
      <c r="AC47" s="153">
        <v>8</v>
      </c>
      <c r="AD47" s="153">
        <v>0</v>
      </c>
      <c r="AE47" s="153">
        <v>8</v>
      </c>
      <c r="AF47" s="153">
        <v>8</v>
      </c>
      <c r="AG47" s="153">
        <v>8</v>
      </c>
      <c r="AH47" s="153">
        <v>8</v>
      </c>
      <c r="AI47" s="153">
        <v>8</v>
      </c>
      <c r="AJ47" s="153">
        <v>0</v>
      </c>
      <c r="AK47" s="444">
        <f>((SUM(F47:AJ47))/8)-(SUMIF($F$6:$AJ$6,"C.Nhật",F47:AJ47)/8)</f>
        <v>26</v>
      </c>
      <c r="AL47" s="444">
        <f>SUM(F48:AI48)/8*1.5</f>
        <v>0</v>
      </c>
      <c r="AM47" s="446">
        <f>SUMIF($F$6:$AI$6,"C.Nhật",$F47:$AI48)/8*2</f>
        <v>0</v>
      </c>
      <c r="AN47" s="435">
        <f>SUM(AK47:AM48)</f>
        <v>26</v>
      </c>
      <c r="AO47" s="448">
        <v>0</v>
      </c>
      <c r="AP47" s="435"/>
      <c r="AQ47" s="435"/>
      <c r="AR47" s="435"/>
      <c r="AS47" s="437"/>
      <c r="AT47" s="40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534"/>
      <c r="B48" s="534"/>
      <c r="C48" s="473"/>
      <c r="D48" s="475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445"/>
      <c r="AL48" s="445"/>
      <c r="AM48" s="447"/>
      <c r="AN48" s="436"/>
      <c r="AO48" s="449"/>
      <c r="AP48" s="436"/>
      <c r="AQ48" s="436"/>
      <c r="AR48" s="436"/>
      <c r="AS48" s="438"/>
      <c r="AT48" s="40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406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406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06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463" t="s">
        <v>112</v>
      </c>
      <c r="AN71" s="464"/>
      <c r="AO71" s="464"/>
      <c r="AP71" s="464"/>
      <c r="AQ71" s="464"/>
      <c r="AR71" s="464"/>
      <c r="AS71" s="465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42887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466" t="s">
        <v>28</v>
      </c>
      <c r="B75" s="466" t="s">
        <v>3</v>
      </c>
      <c r="C75" s="466" t="s">
        <v>1</v>
      </c>
      <c r="D75" s="468" t="s">
        <v>29</v>
      </c>
      <c r="E75" s="466" t="s">
        <v>30</v>
      </c>
      <c r="F75" s="148">
        <f>+E74</f>
        <v>42887</v>
      </c>
      <c r="G75" s="148">
        <f t="shared" ref="G75:AG75" si="10">F75+1</f>
        <v>42888</v>
      </c>
      <c r="H75" s="148">
        <f t="shared" si="10"/>
        <v>42889</v>
      </c>
      <c r="I75" s="148">
        <f t="shared" si="10"/>
        <v>42890</v>
      </c>
      <c r="J75" s="148">
        <f t="shared" si="10"/>
        <v>42891</v>
      </c>
      <c r="K75" s="148">
        <f t="shared" si="10"/>
        <v>42892</v>
      </c>
      <c r="L75" s="148">
        <f t="shared" si="10"/>
        <v>42893</v>
      </c>
      <c r="M75" s="148">
        <f t="shared" si="10"/>
        <v>42894</v>
      </c>
      <c r="N75" s="148">
        <f t="shared" si="10"/>
        <v>42895</v>
      </c>
      <c r="O75" s="148">
        <f t="shared" si="10"/>
        <v>42896</v>
      </c>
      <c r="P75" s="148">
        <f t="shared" si="10"/>
        <v>42897</v>
      </c>
      <c r="Q75" s="148">
        <f t="shared" si="10"/>
        <v>42898</v>
      </c>
      <c r="R75" s="148">
        <f t="shared" si="10"/>
        <v>42899</v>
      </c>
      <c r="S75" s="148">
        <f t="shared" si="10"/>
        <v>42900</v>
      </c>
      <c r="T75" s="148">
        <f t="shared" si="10"/>
        <v>42901</v>
      </c>
      <c r="U75" s="148">
        <f t="shared" si="10"/>
        <v>42902</v>
      </c>
      <c r="V75" s="148">
        <f t="shared" si="10"/>
        <v>42903</v>
      </c>
      <c r="W75" s="148">
        <f t="shared" si="10"/>
        <v>42904</v>
      </c>
      <c r="X75" s="148">
        <f t="shared" si="10"/>
        <v>42905</v>
      </c>
      <c r="Y75" s="148">
        <f t="shared" si="10"/>
        <v>42906</v>
      </c>
      <c r="Z75" s="148">
        <f t="shared" si="10"/>
        <v>42907</v>
      </c>
      <c r="AA75" s="148">
        <f t="shared" si="10"/>
        <v>42908</v>
      </c>
      <c r="AB75" s="148">
        <f t="shared" si="10"/>
        <v>42909</v>
      </c>
      <c r="AC75" s="148">
        <f t="shared" si="10"/>
        <v>42910</v>
      </c>
      <c r="AD75" s="148">
        <f t="shared" si="10"/>
        <v>42911</v>
      </c>
      <c r="AE75" s="148">
        <f t="shared" si="10"/>
        <v>42912</v>
      </c>
      <c r="AF75" s="148">
        <f t="shared" si="10"/>
        <v>42913</v>
      </c>
      <c r="AG75" s="148">
        <f t="shared" si="10"/>
        <v>42914</v>
      </c>
      <c r="AH75" s="148">
        <f>AG75+1</f>
        <v>42915</v>
      </c>
      <c r="AI75" s="148">
        <f>AH75+1</f>
        <v>42916</v>
      </c>
      <c r="AJ75" s="148">
        <f>AI75+1</f>
        <v>42917</v>
      </c>
      <c r="AK75" s="476" t="s">
        <v>15</v>
      </c>
      <c r="AL75" s="477"/>
      <c r="AM75" s="478"/>
      <c r="AN75" s="479" t="s">
        <v>45</v>
      </c>
      <c r="AO75" s="479" t="s">
        <v>41</v>
      </c>
      <c r="AP75" s="479" t="s">
        <v>42</v>
      </c>
      <c r="AQ75" s="479" t="s">
        <v>43</v>
      </c>
      <c r="AR75" s="479" t="s">
        <v>44</v>
      </c>
      <c r="AS75" s="468" t="s">
        <v>0</v>
      </c>
      <c r="AT75" s="469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467"/>
      <c r="B76" s="467"/>
      <c r="C76" s="467"/>
      <c r="D76" s="467"/>
      <c r="E76" s="467"/>
      <c r="F76" s="278" t="str">
        <f>CHOOSE(WEEKDAY(F75),"C.Nhật","T.Hai","T.Ba","T.Tư","T.Năm","T.Sáu","T.Bảy")</f>
        <v>T.Năm</v>
      </c>
      <c r="G76" s="278" t="str">
        <f t="shared" ref="G76:AI76" si="11">CHOOSE(WEEKDAY(G75),"C.Nhật","T.Hai","T.Ba","T.Tư","T.Năm","T.Sáu","T.Bảy")</f>
        <v>T.Sáu</v>
      </c>
      <c r="H76" s="278" t="str">
        <f t="shared" si="11"/>
        <v>T.Bảy</v>
      </c>
      <c r="I76" s="278" t="str">
        <f t="shared" si="11"/>
        <v>C.Nhật</v>
      </c>
      <c r="J76" s="278" t="str">
        <f t="shared" si="11"/>
        <v>T.Hai</v>
      </c>
      <c r="K76" s="150" t="str">
        <f t="shared" si="11"/>
        <v>T.Ba</v>
      </c>
      <c r="L76" s="150" t="str">
        <f t="shared" si="11"/>
        <v>T.Tư</v>
      </c>
      <c r="M76" s="150" t="str">
        <f t="shared" si="11"/>
        <v>T.Năm</v>
      </c>
      <c r="N76" s="150" t="str">
        <f t="shared" si="11"/>
        <v>T.Sáu</v>
      </c>
      <c r="O76" s="150" t="str">
        <f t="shared" si="11"/>
        <v>T.Bảy</v>
      </c>
      <c r="P76" s="150" t="str">
        <f t="shared" si="11"/>
        <v>C.Nhật</v>
      </c>
      <c r="Q76" s="150" t="str">
        <f t="shared" si="11"/>
        <v>T.Hai</v>
      </c>
      <c r="R76" s="150" t="str">
        <f t="shared" si="11"/>
        <v>T.Ba</v>
      </c>
      <c r="S76" s="150" t="str">
        <f t="shared" si="11"/>
        <v>T.Tư</v>
      </c>
      <c r="T76" s="150" t="str">
        <f t="shared" si="11"/>
        <v>T.Năm</v>
      </c>
      <c r="U76" s="150" t="str">
        <f t="shared" si="11"/>
        <v>T.Sáu</v>
      </c>
      <c r="V76" s="150" t="str">
        <f t="shared" si="11"/>
        <v>T.Bảy</v>
      </c>
      <c r="W76" s="150" t="str">
        <f t="shared" si="11"/>
        <v>C.Nhật</v>
      </c>
      <c r="X76" s="150" t="str">
        <f t="shared" si="11"/>
        <v>T.Hai</v>
      </c>
      <c r="Y76" s="150" t="str">
        <f t="shared" si="11"/>
        <v>T.Ba</v>
      </c>
      <c r="Z76" s="150" t="str">
        <f t="shared" si="11"/>
        <v>T.Tư</v>
      </c>
      <c r="AA76" s="150" t="str">
        <f t="shared" si="11"/>
        <v>T.Năm</v>
      </c>
      <c r="AB76" s="150" t="str">
        <f t="shared" si="11"/>
        <v>T.Sáu</v>
      </c>
      <c r="AC76" s="150" t="str">
        <f t="shared" si="11"/>
        <v>T.Bảy</v>
      </c>
      <c r="AD76" s="150" t="str">
        <f t="shared" si="11"/>
        <v>C.Nhật</v>
      </c>
      <c r="AE76" s="150" t="str">
        <f t="shared" si="11"/>
        <v>T.Hai</v>
      </c>
      <c r="AF76" s="150" t="str">
        <f t="shared" si="11"/>
        <v>T.Ba</v>
      </c>
      <c r="AG76" s="150" t="str">
        <f t="shared" si="11"/>
        <v>T.Tư</v>
      </c>
      <c r="AH76" s="150" t="str">
        <f t="shared" si="11"/>
        <v>T.Năm</v>
      </c>
      <c r="AI76" s="150" t="str">
        <f t="shared" si="11"/>
        <v>T.Sáu</v>
      </c>
      <c r="AJ76" s="150"/>
      <c r="AK76" s="151" t="s">
        <v>16</v>
      </c>
      <c r="AL76" s="151" t="s">
        <v>31</v>
      </c>
      <c r="AM76" s="152" t="s">
        <v>17</v>
      </c>
      <c r="AN76" s="480"/>
      <c r="AO76" s="480"/>
      <c r="AP76" s="480"/>
      <c r="AQ76" s="480"/>
      <c r="AR76" s="480"/>
      <c r="AS76" s="467"/>
      <c r="AT76" s="469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409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470">
        <v>1</v>
      </c>
      <c r="B78" s="470" t="s">
        <v>68</v>
      </c>
      <c r="C78" s="472" t="str">
        <f>VLOOKUP(B78,DS,2,0)</f>
        <v>Nguyễn Thiện Duy</v>
      </c>
      <c r="D78" s="474" t="str">
        <f>VLOOKUP(B78,DS,3,0)</f>
        <v>Giám đốc</v>
      </c>
      <c r="E78" s="58" t="s">
        <v>32</v>
      </c>
      <c r="F78" s="153">
        <v>8</v>
      </c>
      <c r="G78" s="153">
        <v>8</v>
      </c>
      <c r="H78" s="153"/>
      <c r="I78" s="153">
        <v>0</v>
      </c>
      <c r="J78" s="153">
        <v>8</v>
      </c>
      <c r="K78" s="153">
        <v>8</v>
      </c>
      <c r="L78" s="153">
        <v>8</v>
      </c>
      <c r="M78" s="153">
        <v>8</v>
      </c>
      <c r="N78" s="153">
        <v>8</v>
      </c>
      <c r="O78" s="153"/>
      <c r="P78" s="153">
        <v>0</v>
      </c>
      <c r="Q78" s="153">
        <v>8</v>
      </c>
      <c r="R78" s="153">
        <v>8</v>
      </c>
      <c r="S78" s="153">
        <v>8</v>
      </c>
      <c r="T78" s="153">
        <v>8</v>
      </c>
      <c r="U78" s="153">
        <v>8</v>
      </c>
      <c r="V78" s="153"/>
      <c r="W78" s="153">
        <v>0</v>
      </c>
      <c r="X78" s="153">
        <v>8</v>
      </c>
      <c r="Y78" s="153">
        <v>8</v>
      </c>
      <c r="Z78" s="153">
        <v>8</v>
      </c>
      <c r="AA78" s="153">
        <v>8</v>
      </c>
      <c r="AB78" s="153">
        <v>8</v>
      </c>
      <c r="AC78" s="153"/>
      <c r="AD78" s="153">
        <v>0</v>
      </c>
      <c r="AE78" s="153">
        <v>8</v>
      </c>
      <c r="AF78" s="153">
        <v>8</v>
      </c>
      <c r="AG78" s="153">
        <v>8</v>
      </c>
      <c r="AH78" s="153">
        <v>8</v>
      </c>
      <c r="AI78" s="153">
        <v>8</v>
      </c>
      <c r="AJ78" s="153">
        <v>0</v>
      </c>
      <c r="AK78" s="444">
        <f>((SUM(F78:AJ78))/8)-(SUMIF($F$6:$AJ$6,"C.Nhật",F78:AJ78)/8)</f>
        <v>22</v>
      </c>
      <c r="AL78" s="444">
        <f>SUM(F79:AI79)/8*1.5</f>
        <v>0</v>
      </c>
      <c r="AM78" s="446">
        <f>SUMIF($F$6:$AI$6,"C.Nhật",$F78:$AI79)/8*2</f>
        <v>0</v>
      </c>
      <c r="AN78" s="435">
        <f>SUM(AK78:AM79)</f>
        <v>22</v>
      </c>
      <c r="AO78" s="481">
        <v>0</v>
      </c>
      <c r="AP78" s="483"/>
      <c r="AQ78" s="483"/>
      <c r="AR78" s="483"/>
      <c r="AS78" s="485"/>
      <c r="AT78" s="409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471"/>
      <c r="B79" s="471"/>
      <c r="C79" s="473"/>
      <c r="D79" s="475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445"/>
      <c r="AL79" s="445"/>
      <c r="AM79" s="447"/>
      <c r="AN79" s="436"/>
      <c r="AO79" s="482"/>
      <c r="AP79" s="484"/>
      <c r="AQ79" s="484"/>
      <c r="AR79" s="484"/>
      <c r="AS79" s="486"/>
      <c r="AT79" s="409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470">
        <v>2</v>
      </c>
      <c r="B80" s="470" t="s">
        <v>70</v>
      </c>
      <c r="C80" s="472" t="str">
        <f>VLOOKUP(B80,DS,2,0)</f>
        <v>Nguyễn Văn Sẽ</v>
      </c>
      <c r="D80" s="474" t="str">
        <f>VLOOKUP(B80,DS,3,0)</f>
        <v>Kỹ Thuật</v>
      </c>
      <c r="E80" s="58" t="s">
        <v>32</v>
      </c>
      <c r="F80" s="153">
        <v>8</v>
      </c>
      <c r="G80" s="153">
        <v>8</v>
      </c>
      <c r="H80" s="153">
        <v>8</v>
      </c>
      <c r="I80" s="153">
        <v>0</v>
      </c>
      <c r="J80" s="153">
        <v>8</v>
      </c>
      <c r="K80" s="153">
        <v>8</v>
      </c>
      <c r="L80" s="153">
        <v>8</v>
      </c>
      <c r="M80" s="153">
        <v>8</v>
      </c>
      <c r="N80" s="153">
        <v>8</v>
      </c>
      <c r="O80" s="153">
        <v>8</v>
      </c>
      <c r="P80" s="153">
        <v>0</v>
      </c>
      <c r="Q80" s="153">
        <v>8</v>
      </c>
      <c r="R80" s="153">
        <v>8</v>
      </c>
      <c r="S80" s="153">
        <v>8</v>
      </c>
      <c r="T80" s="153">
        <v>8</v>
      </c>
      <c r="U80" s="153">
        <v>8</v>
      </c>
      <c r="V80" s="153">
        <v>8</v>
      </c>
      <c r="W80" s="153">
        <v>0</v>
      </c>
      <c r="X80" s="153">
        <v>8</v>
      </c>
      <c r="Y80" s="153">
        <v>8</v>
      </c>
      <c r="Z80" s="153">
        <v>8</v>
      </c>
      <c r="AA80" s="153">
        <v>8</v>
      </c>
      <c r="AB80" s="153">
        <v>8</v>
      </c>
      <c r="AC80" s="153">
        <v>8</v>
      </c>
      <c r="AD80" s="153">
        <v>0</v>
      </c>
      <c r="AE80" s="153">
        <v>8</v>
      </c>
      <c r="AF80" s="153">
        <v>8</v>
      </c>
      <c r="AG80" s="153">
        <v>8</v>
      </c>
      <c r="AH80" s="153">
        <v>8</v>
      </c>
      <c r="AI80" s="153">
        <v>8</v>
      </c>
      <c r="AJ80" s="153">
        <v>0</v>
      </c>
      <c r="AK80" s="444">
        <f>((SUM(F80:AJ80))/8)-(SUMIF($F$6:$AJ$6,"C.Nhật",F80:AJ80)/8)</f>
        <v>26</v>
      </c>
      <c r="AL80" s="444">
        <f>SUM(F81:AI81)/8*1.5</f>
        <v>0</v>
      </c>
      <c r="AM80" s="446">
        <f>SUMIF($F$6:$AI$6,"C.Nhật",$F80:$AI81)/8*2</f>
        <v>0</v>
      </c>
      <c r="AN80" s="435">
        <f>SUM(AK80:AM81)</f>
        <v>26</v>
      </c>
      <c r="AO80" s="481">
        <v>0</v>
      </c>
      <c r="AP80" s="483"/>
      <c r="AQ80" s="483"/>
      <c r="AR80" s="483"/>
      <c r="AS80" s="485"/>
      <c r="AT80" s="409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471"/>
      <c r="B81" s="471"/>
      <c r="C81" s="473"/>
      <c r="D81" s="475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445"/>
      <c r="AL81" s="445"/>
      <c r="AM81" s="447"/>
      <c r="AN81" s="436"/>
      <c r="AO81" s="482"/>
      <c r="AP81" s="484"/>
      <c r="AQ81" s="484"/>
      <c r="AR81" s="484"/>
      <c r="AS81" s="486"/>
      <c r="AT81" s="409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470">
        <v>3</v>
      </c>
      <c r="B82" s="470" t="s">
        <v>72</v>
      </c>
      <c r="C82" s="472" t="str">
        <f>VLOOKUP(B82,DS,2,0)</f>
        <v>Võ Uyên Phương</v>
      </c>
      <c r="D82" s="474" t="str">
        <f>VLOOKUP(B82,DS,3,0)</f>
        <v>Kế toán</v>
      </c>
      <c r="E82" s="58" t="s">
        <v>32</v>
      </c>
      <c r="F82" s="153">
        <v>8</v>
      </c>
      <c r="G82" s="153">
        <v>8</v>
      </c>
      <c r="H82" s="153">
        <v>8</v>
      </c>
      <c r="I82" s="153">
        <v>0</v>
      </c>
      <c r="J82" s="153">
        <v>8</v>
      </c>
      <c r="K82" s="153">
        <v>8</v>
      </c>
      <c r="L82" s="153">
        <v>8</v>
      </c>
      <c r="M82" s="153">
        <v>8</v>
      </c>
      <c r="N82" s="153">
        <v>8</v>
      </c>
      <c r="O82" s="153">
        <v>8</v>
      </c>
      <c r="P82" s="153">
        <v>0</v>
      </c>
      <c r="Q82" s="153">
        <v>8</v>
      </c>
      <c r="R82" s="153">
        <v>8</v>
      </c>
      <c r="S82" s="153">
        <v>8</v>
      </c>
      <c r="T82" s="153">
        <v>8</v>
      </c>
      <c r="U82" s="153">
        <v>8</v>
      </c>
      <c r="V82" s="153">
        <v>8</v>
      </c>
      <c r="W82" s="153">
        <v>0</v>
      </c>
      <c r="X82" s="153">
        <v>8</v>
      </c>
      <c r="Y82" s="153">
        <v>8</v>
      </c>
      <c r="Z82" s="153">
        <v>8</v>
      </c>
      <c r="AA82" s="153">
        <v>8</v>
      </c>
      <c r="AB82" s="153">
        <v>8</v>
      </c>
      <c r="AC82" s="153">
        <v>8</v>
      </c>
      <c r="AD82" s="153">
        <v>0</v>
      </c>
      <c r="AE82" s="153">
        <v>8</v>
      </c>
      <c r="AF82" s="153">
        <v>8</v>
      </c>
      <c r="AG82" s="153">
        <v>8</v>
      </c>
      <c r="AH82" s="153">
        <v>8</v>
      </c>
      <c r="AI82" s="153">
        <v>8</v>
      </c>
      <c r="AJ82" s="153">
        <v>0</v>
      </c>
      <c r="AK82" s="444">
        <f>((SUM(F82:AJ82))/8)-(SUMIF($F$6:$AJ$6,"C.Nhật",F82:AJ82)/8)</f>
        <v>26</v>
      </c>
      <c r="AL82" s="444">
        <f>SUM(F83:AI83)/8*1.5</f>
        <v>0</v>
      </c>
      <c r="AM82" s="446">
        <f>SUMIF($F$6:$AI$6,"C.Nhật",$F82:$AI83)/8*2</f>
        <v>0</v>
      </c>
      <c r="AN82" s="435">
        <f>SUM(AK82:AM83)</f>
        <v>26</v>
      </c>
      <c r="AO82" s="481">
        <v>0</v>
      </c>
      <c r="AP82" s="483"/>
      <c r="AQ82" s="483"/>
      <c r="AR82" s="483"/>
      <c r="AS82" s="485"/>
      <c r="AT82" s="409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471"/>
      <c r="B83" s="471"/>
      <c r="C83" s="473"/>
      <c r="D83" s="475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445"/>
      <c r="AL83" s="445"/>
      <c r="AM83" s="447"/>
      <c r="AN83" s="436"/>
      <c r="AO83" s="482"/>
      <c r="AP83" s="484"/>
      <c r="AQ83" s="484"/>
      <c r="AR83" s="484"/>
      <c r="AS83" s="486"/>
      <c r="AT83" s="409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470">
        <v>4</v>
      </c>
      <c r="B84" s="470" t="s">
        <v>75</v>
      </c>
      <c r="C84" s="472" t="str">
        <f>VLOOKUP(B84,DS,2,0)</f>
        <v>Lê Nguyễn Huy Cường</v>
      </c>
      <c r="D84" s="474" t="str">
        <f>VLOOKUP(B84,DS,3,0)</f>
        <v>XNK</v>
      </c>
      <c r="E84" s="58" t="s">
        <v>32</v>
      </c>
      <c r="F84" s="153">
        <v>8</v>
      </c>
      <c r="G84" s="153">
        <v>8</v>
      </c>
      <c r="H84" s="153">
        <v>8</v>
      </c>
      <c r="I84" s="153">
        <v>0</v>
      </c>
      <c r="J84" s="153">
        <v>8</v>
      </c>
      <c r="K84" s="153">
        <v>8</v>
      </c>
      <c r="L84" s="153">
        <v>8</v>
      </c>
      <c r="M84" s="153">
        <v>8</v>
      </c>
      <c r="N84" s="153">
        <v>8</v>
      </c>
      <c r="O84" s="153">
        <v>8</v>
      </c>
      <c r="P84" s="153">
        <v>0</v>
      </c>
      <c r="Q84" s="153">
        <v>8</v>
      </c>
      <c r="R84" s="153">
        <v>8</v>
      </c>
      <c r="S84" s="153">
        <v>8</v>
      </c>
      <c r="T84" s="153">
        <v>8</v>
      </c>
      <c r="U84" s="153">
        <v>8</v>
      </c>
      <c r="V84" s="153">
        <v>8</v>
      </c>
      <c r="W84" s="153">
        <v>0</v>
      </c>
      <c r="X84" s="153">
        <v>8</v>
      </c>
      <c r="Y84" s="153">
        <v>8</v>
      </c>
      <c r="Z84" s="153">
        <v>8</v>
      </c>
      <c r="AA84" s="153">
        <v>8</v>
      </c>
      <c r="AB84" s="153">
        <v>8</v>
      </c>
      <c r="AC84" s="153">
        <v>8</v>
      </c>
      <c r="AD84" s="153">
        <v>0</v>
      </c>
      <c r="AE84" s="153">
        <v>8</v>
      </c>
      <c r="AF84" s="153">
        <v>8</v>
      </c>
      <c r="AG84" s="153">
        <v>8</v>
      </c>
      <c r="AH84" s="153">
        <v>8</v>
      </c>
      <c r="AI84" s="153">
        <v>8</v>
      </c>
      <c r="AJ84" s="153">
        <v>0</v>
      </c>
      <c r="AK84" s="444">
        <f>((SUM(F84:AJ84))/8)-(SUMIF($F$6:$AJ$6,"C.Nhật",F84:AJ84)/8)</f>
        <v>26</v>
      </c>
      <c r="AL84" s="444">
        <f>SUM(F85:AI85)/8*1.5</f>
        <v>0</v>
      </c>
      <c r="AM84" s="446">
        <f>SUMIF($F$6:$AI$6,"C.Nhật",$F84:$AI85)/8*2</f>
        <v>0</v>
      </c>
      <c r="AN84" s="435">
        <f>SUM(AK84:AM85)</f>
        <v>26</v>
      </c>
      <c r="AO84" s="481">
        <v>0</v>
      </c>
      <c r="AP84" s="483"/>
      <c r="AQ84" s="483"/>
      <c r="AR84" s="483"/>
      <c r="AS84" s="485"/>
      <c r="AT84" s="409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471"/>
      <c r="B85" s="471"/>
      <c r="C85" s="473"/>
      <c r="D85" s="475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445"/>
      <c r="AL85" s="445"/>
      <c r="AM85" s="447"/>
      <c r="AN85" s="436"/>
      <c r="AO85" s="482"/>
      <c r="AP85" s="484"/>
      <c r="AQ85" s="484"/>
      <c r="AR85" s="484"/>
      <c r="AS85" s="486"/>
      <c r="AT85" s="409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470">
        <v>5</v>
      </c>
      <c r="B86" s="470" t="s">
        <v>77</v>
      </c>
      <c r="C86" s="472" t="str">
        <f>VLOOKUP(B86,DS,2,0)</f>
        <v>Nguyễn Văn Bé Tư</v>
      </c>
      <c r="D86" s="474" t="str">
        <f>VLOOKUP(B86,DS,3,0)</f>
        <v>Tài xế</v>
      </c>
      <c r="E86" s="58" t="s">
        <v>32</v>
      </c>
      <c r="F86" s="153">
        <v>8</v>
      </c>
      <c r="G86" s="153">
        <v>8</v>
      </c>
      <c r="H86" s="153">
        <v>8</v>
      </c>
      <c r="I86" s="153">
        <v>0</v>
      </c>
      <c r="J86" s="153">
        <v>8</v>
      </c>
      <c r="K86" s="153">
        <v>8</v>
      </c>
      <c r="L86" s="153">
        <v>8</v>
      </c>
      <c r="M86" s="153">
        <v>8</v>
      </c>
      <c r="N86" s="153">
        <v>8</v>
      </c>
      <c r="O86" s="153">
        <v>8</v>
      </c>
      <c r="P86" s="153">
        <v>0</v>
      </c>
      <c r="Q86" s="153">
        <v>8</v>
      </c>
      <c r="R86" s="153">
        <v>8</v>
      </c>
      <c r="S86" s="153">
        <v>8</v>
      </c>
      <c r="T86" s="153">
        <v>8</v>
      </c>
      <c r="U86" s="153">
        <v>8</v>
      </c>
      <c r="V86" s="153">
        <v>8</v>
      </c>
      <c r="W86" s="153">
        <v>0</v>
      </c>
      <c r="X86" s="153">
        <v>8</v>
      </c>
      <c r="Y86" s="153">
        <v>8</v>
      </c>
      <c r="Z86" s="153">
        <v>8</v>
      </c>
      <c r="AA86" s="153">
        <v>8</v>
      </c>
      <c r="AB86" s="153">
        <v>8</v>
      </c>
      <c r="AC86" s="153">
        <v>8</v>
      </c>
      <c r="AD86" s="153">
        <v>0</v>
      </c>
      <c r="AE86" s="153">
        <v>8</v>
      </c>
      <c r="AF86" s="153">
        <v>8</v>
      </c>
      <c r="AG86" s="153">
        <v>8</v>
      </c>
      <c r="AH86" s="153">
        <v>8</v>
      </c>
      <c r="AI86" s="153">
        <v>8</v>
      </c>
      <c r="AJ86" s="153">
        <v>0</v>
      </c>
      <c r="AK86" s="444">
        <f>((SUM(F86:AJ86))/8)-(SUMIF($F$6:$AJ$6,"C.Nhật",F86:AJ86)/8)</f>
        <v>26</v>
      </c>
      <c r="AL86" s="444">
        <f>SUM(F87:AI87)/8*1.5</f>
        <v>0</v>
      </c>
      <c r="AM86" s="446">
        <f>SUMIF($F$6:$AI$6,"C.Nhật",$F86:$AI87)/8*2</f>
        <v>0</v>
      </c>
      <c r="AN86" s="435">
        <f>SUM(AK86:AM87)</f>
        <v>26</v>
      </c>
      <c r="AO86" s="481">
        <v>0</v>
      </c>
      <c r="AP86" s="483"/>
      <c r="AQ86" s="483"/>
      <c r="AR86" s="483"/>
      <c r="AS86" s="485"/>
      <c r="AT86" s="409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471"/>
      <c r="B87" s="471"/>
      <c r="C87" s="473"/>
      <c r="D87" s="475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445"/>
      <c r="AL87" s="445"/>
      <c r="AM87" s="447"/>
      <c r="AN87" s="436"/>
      <c r="AO87" s="482"/>
      <c r="AP87" s="484"/>
      <c r="AQ87" s="484"/>
      <c r="AR87" s="484"/>
      <c r="AS87" s="486"/>
      <c r="AT87" s="409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470">
        <v>6</v>
      </c>
      <c r="B88" s="470" t="s">
        <v>78</v>
      </c>
      <c r="C88" s="472" t="str">
        <f>VLOOKUP(B88,DS,2,0)</f>
        <v>Dương Thanh Tuấn</v>
      </c>
      <c r="D88" s="474" t="str">
        <f>VLOOKUP(B88,DS,3,0)</f>
        <v>Nhân sự</v>
      </c>
      <c r="E88" s="58" t="s">
        <v>32</v>
      </c>
      <c r="F88" s="153">
        <v>8</v>
      </c>
      <c r="G88" s="153">
        <v>8</v>
      </c>
      <c r="H88" s="153">
        <v>8</v>
      </c>
      <c r="I88" s="153">
        <v>0</v>
      </c>
      <c r="J88" s="153">
        <v>8</v>
      </c>
      <c r="K88" s="153">
        <v>8</v>
      </c>
      <c r="L88" s="153">
        <v>8</v>
      </c>
      <c r="M88" s="153">
        <v>8</v>
      </c>
      <c r="N88" s="153">
        <v>8</v>
      </c>
      <c r="O88" s="153">
        <v>8</v>
      </c>
      <c r="P88" s="153">
        <v>0</v>
      </c>
      <c r="Q88" s="153">
        <v>8</v>
      </c>
      <c r="R88" s="153">
        <v>8</v>
      </c>
      <c r="S88" s="153">
        <v>8</v>
      </c>
      <c r="T88" s="153">
        <v>8</v>
      </c>
      <c r="U88" s="153">
        <v>8</v>
      </c>
      <c r="V88" s="153">
        <v>8</v>
      </c>
      <c r="W88" s="153">
        <v>0</v>
      </c>
      <c r="X88" s="153">
        <v>8</v>
      </c>
      <c r="Y88" s="153">
        <v>8</v>
      </c>
      <c r="Z88" s="153">
        <v>8</v>
      </c>
      <c r="AA88" s="153">
        <v>8</v>
      </c>
      <c r="AB88" s="153">
        <v>8</v>
      </c>
      <c r="AC88" s="153">
        <v>8</v>
      </c>
      <c r="AD88" s="153">
        <v>0</v>
      </c>
      <c r="AE88" s="153">
        <v>8</v>
      </c>
      <c r="AF88" s="153">
        <v>8</v>
      </c>
      <c r="AG88" s="153">
        <v>8</v>
      </c>
      <c r="AH88" s="153">
        <v>8</v>
      </c>
      <c r="AI88" s="153">
        <v>8</v>
      </c>
      <c r="AJ88" s="153">
        <v>0</v>
      </c>
      <c r="AK88" s="444">
        <f>((SUM(F88:AJ88))/8)-(SUMIF($F$6:$AJ$6,"C.Nhật",F88:AJ88)/8)</f>
        <v>26</v>
      </c>
      <c r="AL88" s="444">
        <f>SUM(F89:AI89)/8*1.5</f>
        <v>0</v>
      </c>
      <c r="AM88" s="446">
        <f>SUMIF($F$6:$AI$6,"C.Nhật",$F88:$AI89)/8*2</f>
        <v>0</v>
      </c>
      <c r="AN88" s="435">
        <f>SUM(AK88:AM89)</f>
        <v>26</v>
      </c>
      <c r="AO88" s="481">
        <v>0</v>
      </c>
      <c r="AP88" s="483"/>
      <c r="AQ88" s="483"/>
      <c r="AR88" s="483"/>
      <c r="AS88" s="485"/>
      <c r="AT88" s="409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471"/>
      <c r="B89" s="471"/>
      <c r="C89" s="473"/>
      <c r="D89" s="475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445"/>
      <c r="AL89" s="445"/>
      <c r="AM89" s="447"/>
      <c r="AN89" s="436"/>
      <c r="AO89" s="482"/>
      <c r="AP89" s="484"/>
      <c r="AQ89" s="484"/>
      <c r="AR89" s="484"/>
      <c r="AS89" s="486"/>
      <c r="AT89" s="409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470">
        <v>7</v>
      </c>
      <c r="B90" s="470" t="s">
        <v>81</v>
      </c>
      <c r="C90" s="472" t="str">
        <f>VLOOKUP(B90,DS,2,0)</f>
        <v>Nguyễn Thiện Duyệt</v>
      </c>
      <c r="D90" s="474" t="str">
        <f>VLOOKUP(B90,DS,3,0)</f>
        <v>XNK</v>
      </c>
      <c r="E90" s="58" t="s">
        <v>32</v>
      </c>
      <c r="F90" s="153">
        <v>8</v>
      </c>
      <c r="G90" s="153">
        <v>8</v>
      </c>
      <c r="H90" s="153">
        <v>8</v>
      </c>
      <c r="I90" s="153">
        <v>0</v>
      </c>
      <c r="J90" s="153">
        <v>8</v>
      </c>
      <c r="K90" s="153">
        <v>8</v>
      </c>
      <c r="L90" s="153">
        <v>8</v>
      </c>
      <c r="M90" s="153">
        <v>8</v>
      </c>
      <c r="N90" s="153">
        <v>8</v>
      </c>
      <c r="O90" s="153">
        <v>8</v>
      </c>
      <c r="P90" s="153">
        <v>0</v>
      </c>
      <c r="Q90" s="153">
        <v>8</v>
      </c>
      <c r="R90" s="153">
        <v>8</v>
      </c>
      <c r="S90" s="153">
        <v>8</v>
      </c>
      <c r="T90" s="153">
        <v>8</v>
      </c>
      <c r="U90" s="153">
        <v>8</v>
      </c>
      <c r="V90" s="153">
        <v>8</v>
      </c>
      <c r="W90" s="153">
        <v>0</v>
      </c>
      <c r="X90" s="153">
        <v>8</v>
      </c>
      <c r="Y90" s="153">
        <v>8</v>
      </c>
      <c r="Z90" s="153">
        <v>8</v>
      </c>
      <c r="AA90" s="153">
        <v>8</v>
      </c>
      <c r="AB90" s="153">
        <v>8</v>
      </c>
      <c r="AC90" s="153">
        <v>8</v>
      </c>
      <c r="AD90" s="153">
        <v>0</v>
      </c>
      <c r="AE90" s="153">
        <v>8</v>
      </c>
      <c r="AF90" s="153">
        <v>8</v>
      </c>
      <c r="AG90" s="153">
        <v>8</v>
      </c>
      <c r="AH90" s="153">
        <v>8</v>
      </c>
      <c r="AI90" s="153">
        <v>8</v>
      </c>
      <c r="AJ90" s="153">
        <v>0</v>
      </c>
      <c r="AK90" s="444">
        <f>((SUM(F90:AJ90))/8)-(SUMIF($F$6:$AJ$6,"C.Nhật",F90:AJ90)/8)</f>
        <v>26</v>
      </c>
      <c r="AL90" s="444">
        <f>SUM(F91:AI91)/8*1.5</f>
        <v>0</v>
      </c>
      <c r="AM90" s="446">
        <f>SUMIF($F$6:$AI$6,"C.Nhật",$F90:$AI91)/8*2</f>
        <v>0</v>
      </c>
      <c r="AN90" s="435">
        <f>SUM(AK90:AM91)</f>
        <v>26</v>
      </c>
      <c r="AO90" s="481">
        <v>0</v>
      </c>
      <c r="AP90" s="483"/>
      <c r="AQ90" s="483"/>
      <c r="AR90" s="483"/>
      <c r="AS90" s="485"/>
      <c r="AT90" s="409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471"/>
      <c r="B91" s="471"/>
      <c r="C91" s="473"/>
      <c r="D91" s="475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445"/>
      <c r="AL91" s="445"/>
      <c r="AM91" s="447"/>
      <c r="AN91" s="436"/>
      <c r="AO91" s="482"/>
      <c r="AP91" s="484"/>
      <c r="AQ91" s="484"/>
      <c r="AR91" s="484"/>
      <c r="AS91" s="486"/>
      <c r="AT91" s="409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470">
        <v>8</v>
      </c>
      <c r="B92" s="470" t="s">
        <v>208</v>
      </c>
      <c r="C92" s="472" t="s">
        <v>203</v>
      </c>
      <c r="D92" s="474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0</v>
      </c>
      <c r="J92" s="153">
        <v>8</v>
      </c>
      <c r="K92" s="153">
        <v>8</v>
      </c>
      <c r="L92" s="153">
        <v>8</v>
      </c>
      <c r="M92" s="153">
        <v>8</v>
      </c>
      <c r="N92" s="153">
        <v>8</v>
      </c>
      <c r="O92" s="153">
        <v>8</v>
      </c>
      <c r="P92" s="153">
        <v>0</v>
      </c>
      <c r="Q92" s="153">
        <v>8</v>
      </c>
      <c r="R92" s="153">
        <v>8</v>
      </c>
      <c r="S92" s="153">
        <v>8</v>
      </c>
      <c r="T92" s="153">
        <v>8</v>
      </c>
      <c r="U92" s="153">
        <v>8</v>
      </c>
      <c r="V92" s="153">
        <v>8</v>
      </c>
      <c r="W92" s="153">
        <v>0</v>
      </c>
      <c r="X92" s="153">
        <v>8</v>
      </c>
      <c r="Y92" s="153">
        <v>8</v>
      </c>
      <c r="Z92" s="153">
        <v>8</v>
      </c>
      <c r="AA92" s="153">
        <v>8</v>
      </c>
      <c r="AB92" s="153">
        <v>8</v>
      </c>
      <c r="AC92" s="153">
        <v>8</v>
      </c>
      <c r="AD92" s="153">
        <v>0</v>
      </c>
      <c r="AE92" s="153">
        <v>8</v>
      </c>
      <c r="AF92" s="153">
        <v>8</v>
      </c>
      <c r="AG92" s="153">
        <v>8</v>
      </c>
      <c r="AH92" s="153">
        <v>8</v>
      </c>
      <c r="AI92" s="153">
        <v>8</v>
      </c>
      <c r="AJ92" s="153">
        <v>0</v>
      </c>
      <c r="AK92" s="444">
        <f>((SUM(F92:AJ92))/8)-(SUMIF($F$6:$AJ$6,"C.Nhật",F92:AJ92)/8)</f>
        <v>26</v>
      </c>
      <c r="AL92" s="444">
        <f>SUM(F93:AI93)/8*1.5</f>
        <v>0</v>
      </c>
      <c r="AM92" s="446">
        <f>SUMIF($F$6:$AI$6,"C.Nhật",$F92:$AI93)/8*2</f>
        <v>0</v>
      </c>
      <c r="AN92" s="435">
        <f>SUM(AK92:AM93)</f>
        <v>26</v>
      </c>
      <c r="AO92" s="481">
        <v>0</v>
      </c>
      <c r="AP92" s="483"/>
      <c r="AQ92" s="483"/>
      <c r="AR92" s="483"/>
      <c r="AS92" s="485"/>
      <c r="AT92" s="409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471"/>
      <c r="B93" s="471"/>
      <c r="C93" s="473"/>
      <c r="D93" s="475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445"/>
      <c r="AL93" s="445"/>
      <c r="AM93" s="447"/>
      <c r="AN93" s="436"/>
      <c r="AO93" s="482"/>
      <c r="AP93" s="484"/>
      <c r="AQ93" s="484"/>
      <c r="AR93" s="484"/>
      <c r="AS93" s="486"/>
      <c r="AT93" s="409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470">
        <v>9</v>
      </c>
      <c r="B94" s="470" t="s">
        <v>207</v>
      </c>
      <c r="C94" s="472" t="s">
        <v>204</v>
      </c>
      <c r="D94" s="474" t="str">
        <f>VLOOKUP(B94,DS,3,0)</f>
        <v>Kế toán</v>
      </c>
      <c r="E94" s="58" t="s">
        <v>32</v>
      </c>
      <c r="F94" s="153">
        <v>8</v>
      </c>
      <c r="G94" s="153">
        <v>8</v>
      </c>
      <c r="H94" s="153">
        <v>8</v>
      </c>
      <c r="I94" s="153">
        <v>0</v>
      </c>
      <c r="J94" s="153">
        <v>8</v>
      </c>
      <c r="K94" s="153">
        <v>8</v>
      </c>
      <c r="L94" s="153">
        <v>8</v>
      </c>
      <c r="M94" s="153">
        <v>8</v>
      </c>
      <c r="N94" s="153">
        <v>8</v>
      </c>
      <c r="O94" s="153">
        <v>8</v>
      </c>
      <c r="P94" s="153">
        <v>0</v>
      </c>
      <c r="Q94" s="153">
        <v>8</v>
      </c>
      <c r="R94" s="153">
        <v>8</v>
      </c>
      <c r="S94" s="153">
        <v>8</v>
      </c>
      <c r="T94" s="153">
        <v>8</v>
      </c>
      <c r="U94" s="153">
        <v>8</v>
      </c>
      <c r="V94" s="153">
        <v>8</v>
      </c>
      <c r="W94" s="153">
        <v>0</v>
      </c>
      <c r="X94" s="153">
        <v>8</v>
      </c>
      <c r="Y94" s="153">
        <v>8</v>
      </c>
      <c r="Z94" s="153">
        <v>8</v>
      </c>
      <c r="AA94" s="153">
        <v>8</v>
      </c>
      <c r="AB94" s="153">
        <v>8</v>
      </c>
      <c r="AC94" s="153">
        <v>8</v>
      </c>
      <c r="AD94" s="153">
        <v>0</v>
      </c>
      <c r="AE94" s="153">
        <v>8</v>
      </c>
      <c r="AF94" s="153">
        <v>8</v>
      </c>
      <c r="AG94" s="153">
        <v>8</v>
      </c>
      <c r="AH94" s="153">
        <v>8</v>
      </c>
      <c r="AI94" s="153">
        <v>8</v>
      </c>
      <c r="AJ94" s="153">
        <v>0</v>
      </c>
      <c r="AK94" s="444">
        <f>((SUM(F94:AJ94))/8)-(SUMIF($F$6:$AJ$6,"C.Nhật",F94:AJ94)/8)</f>
        <v>26</v>
      </c>
      <c r="AL94" s="444">
        <f>SUM(F95:AI95)/8*1.5</f>
        <v>0</v>
      </c>
      <c r="AM94" s="446">
        <f>SUMIF($F$6:$AI$6,"C.Nhật",$F94:$AI95)/8*2</f>
        <v>0</v>
      </c>
      <c r="AN94" s="435">
        <f>SUM(AK94:AM95)</f>
        <v>26</v>
      </c>
      <c r="AO94" s="481">
        <v>0</v>
      </c>
      <c r="AP94" s="483"/>
      <c r="AQ94" s="483"/>
      <c r="AR94" s="483"/>
      <c r="AS94" s="485"/>
      <c r="AT94" s="409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471"/>
      <c r="B95" s="471"/>
      <c r="C95" s="473"/>
      <c r="D95" s="475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445"/>
      <c r="AL95" s="445"/>
      <c r="AM95" s="447"/>
      <c r="AN95" s="436"/>
      <c r="AO95" s="482"/>
      <c r="AP95" s="484"/>
      <c r="AQ95" s="484"/>
      <c r="AR95" s="484"/>
      <c r="AS95" s="486"/>
      <c r="AT95" s="409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R36:AR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7:AO48"/>
    <mergeCell ref="AP47:AP48"/>
    <mergeCell ref="AQ47:AQ48"/>
    <mergeCell ref="AR47:AR48"/>
    <mergeCell ref="AS47:AS48"/>
    <mergeCell ref="AM71:AS71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L45:AL46"/>
    <mergeCell ref="AM45:AM46"/>
    <mergeCell ref="AN45:AN46"/>
    <mergeCell ref="AO45:AO46"/>
    <mergeCell ref="AP45:AP46"/>
    <mergeCell ref="AQ45:AQ46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N75:AN76"/>
    <mergeCell ref="AO75:AO76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E75:E76"/>
    <mergeCell ref="AK75:AM75"/>
    <mergeCell ref="AP78:AP79"/>
    <mergeCell ref="AQ78:AQ79"/>
    <mergeCell ref="AL82:AL83"/>
    <mergeCell ref="AM82:AM83"/>
    <mergeCell ref="AN82:AN83"/>
    <mergeCell ref="AO82:AO83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N86:AN87"/>
    <mergeCell ref="AO86:AO87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S88:AS89"/>
    <mergeCell ref="AM88:AM89"/>
    <mergeCell ref="AN88:AN89"/>
    <mergeCell ref="AO88:AO89"/>
    <mergeCell ref="AP88:AP89"/>
    <mergeCell ref="AQ88:AQ89"/>
    <mergeCell ref="AR88:AR89"/>
    <mergeCell ref="A86:A87"/>
    <mergeCell ref="B86:B87"/>
    <mergeCell ref="C86:C87"/>
    <mergeCell ref="D86:D87"/>
    <mergeCell ref="AK86:AK87"/>
    <mergeCell ref="AL86:AL87"/>
    <mergeCell ref="AM86:AM87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P94:AP95"/>
    <mergeCell ref="AQ94:AQ95"/>
    <mergeCell ref="AR94:AR95"/>
    <mergeCell ref="AS94:AS95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O94:AO95"/>
    <mergeCell ref="AM92:AM93"/>
    <mergeCell ref="AN92:AN93"/>
    <mergeCell ref="AO92:AO93"/>
    <mergeCell ref="AP92:AP93"/>
    <mergeCell ref="AQ92:AQ93"/>
    <mergeCell ref="AR92:AR93"/>
  </mergeCells>
  <conditionalFormatting sqref="F103:AJ104 F50:AJ69 F106:AJ119 AS37 F5:AJ6 F9:AJ12 F14:AJ48 F78:AJ95">
    <cfRule type="expression" dxfId="181" priority="182" stopIfTrue="1">
      <formula>IF(WEEKDAY(F$5)=1,TRUE,FALSE)</formula>
    </cfRule>
  </conditionalFormatting>
  <conditionalFormatting sqref="F75:AJ76 F5:AJ6 F9:AJ12">
    <cfRule type="expression" dxfId="180" priority="181" stopIfTrue="1">
      <formula>IF(WEEKDAY(F$5)=1,TRUE,FALSE)</formula>
    </cfRule>
  </conditionalFormatting>
  <conditionalFormatting sqref="K39:P39">
    <cfRule type="expression" dxfId="179" priority="180" stopIfTrue="1">
      <formula>IF(WEEKDAY(K$5)=1,TRUE,FALSE)</formula>
    </cfRule>
  </conditionalFormatting>
  <conditionalFormatting sqref="K41:P41">
    <cfRule type="expression" dxfId="178" priority="179" stopIfTrue="1">
      <formula>IF(WEEKDAY(K$5)=1,TRUE,FALSE)</formula>
    </cfRule>
  </conditionalFormatting>
  <conditionalFormatting sqref="K43:P43">
    <cfRule type="expression" dxfId="177" priority="178" stopIfTrue="1">
      <formula>IF(WEEKDAY(K$5)=1,TRUE,FALSE)</formula>
    </cfRule>
  </conditionalFormatting>
  <conditionalFormatting sqref="K45:P45">
    <cfRule type="expression" dxfId="176" priority="177" stopIfTrue="1">
      <formula>IF(WEEKDAY(K$5)=1,TRUE,FALSE)</formula>
    </cfRule>
  </conditionalFormatting>
  <conditionalFormatting sqref="K47:P47">
    <cfRule type="expression" dxfId="175" priority="176" stopIfTrue="1">
      <formula>IF(WEEKDAY(K$5)=1,TRUE,FALSE)</formula>
    </cfRule>
  </conditionalFormatting>
  <conditionalFormatting sqref="R47:W47">
    <cfRule type="expression" dxfId="174" priority="175" stopIfTrue="1">
      <formula>IF(WEEKDAY(R$5)=1,TRUE,FALSE)</formula>
    </cfRule>
  </conditionalFormatting>
  <conditionalFormatting sqref="R45:W45">
    <cfRule type="expression" dxfId="173" priority="174" stopIfTrue="1">
      <formula>IF(WEEKDAY(R$5)=1,TRUE,FALSE)</formula>
    </cfRule>
  </conditionalFormatting>
  <conditionalFormatting sqref="R43:W43">
    <cfRule type="expression" dxfId="172" priority="173" stopIfTrue="1">
      <formula>IF(WEEKDAY(R$5)=1,TRUE,FALSE)</formula>
    </cfRule>
  </conditionalFormatting>
  <conditionalFormatting sqref="R41:W41">
    <cfRule type="expression" dxfId="171" priority="172" stopIfTrue="1">
      <formula>IF(WEEKDAY(R$5)=1,TRUE,FALSE)</formula>
    </cfRule>
  </conditionalFormatting>
  <conditionalFormatting sqref="R39:W39">
    <cfRule type="expression" dxfId="170" priority="171" stopIfTrue="1">
      <formula>IF(WEEKDAY(R$5)=1,TRUE,FALSE)</formula>
    </cfRule>
  </conditionalFormatting>
  <conditionalFormatting sqref="Y39:AD39">
    <cfRule type="expression" dxfId="169" priority="170" stopIfTrue="1">
      <formula>IF(WEEKDAY(Y$5)=1,TRUE,FALSE)</formula>
    </cfRule>
  </conditionalFormatting>
  <conditionalFormatting sqref="Y41:AD41">
    <cfRule type="expression" dxfId="168" priority="169" stopIfTrue="1">
      <formula>IF(WEEKDAY(Y$5)=1,TRUE,FALSE)</formula>
    </cfRule>
  </conditionalFormatting>
  <conditionalFormatting sqref="Y43:AD43">
    <cfRule type="expression" dxfId="167" priority="168" stopIfTrue="1">
      <formula>IF(WEEKDAY(Y$5)=1,TRUE,FALSE)</formula>
    </cfRule>
  </conditionalFormatting>
  <conditionalFormatting sqref="Y45:AD45">
    <cfRule type="expression" dxfId="166" priority="167" stopIfTrue="1">
      <formula>IF(WEEKDAY(Y$5)=1,TRUE,FALSE)</formula>
    </cfRule>
  </conditionalFormatting>
  <conditionalFormatting sqref="Y47:AD47">
    <cfRule type="expression" dxfId="165" priority="166" stopIfTrue="1">
      <formula>IF(WEEKDAY(Y$5)=1,TRUE,FALSE)</formula>
    </cfRule>
  </conditionalFormatting>
  <conditionalFormatting sqref="F14:I14">
    <cfRule type="expression" dxfId="164" priority="165" stopIfTrue="1">
      <formula>IF(WEEKDAY(F$5)=1,TRUE,FALSE)</formula>
    </cfRule>
  </conditionalFormatting>
  <conditionalFormatting sqref="F16:I16">
    <cfRule type="expression" dxfId="163" priority="164" stopIfTrue="1">
      <formula>IF(WEEKDAY(F$5)=1,TRUE,FALSE)</formula>
    </cfRule>
  </conditionalFormatting>
  <conditionalFormatting sqref="F18:I18">
    <cfRule type="expression" dxfId="162" priority="163" stopIfTrue="1">
      <formula>IF(WEEKDAY(F$5)=1,TRUE,FALSE)</formula>
    </cfRule>
  </conditionalFormatting>
  <conditionalFormatting sqref="F20:I20">
    <cfRule type="expression" dxfId="161" priority="162" stopIfTrue="1">
      <formula>IF(WEEKDAY(F$5)=1,TRUE,FALSE)</formula>
    </cfRule>
  </conditionalFormatting>
  <conditionalFormatting sqref="F22:I22">
    <cfRule type="expression" dxfId="160" priority="161" stopIfTrue="1">
      <formula>IF(WEEKDAY(F$5)=1,TRUE,FALSE)</formula>
    </cfRule>
  </conditionalFormatting>
  <conditionalFormatting sqref="F24:I24">
    <cfRule type="expression" dxfId="159" priority="160" stopIfTrue="1">
      <formula>IF(WEEKDAY(F$5)=1,TRUE,FALSE)</formula>
    </cfRule>
  </conditionalFormatting>
  <conditionalFormatting sqref="F26:I26">
    <cfRule type="expression" dxfId="158" priority="159" stopIfTrue="1">
      <formula>IF(WEEKDAY(F$5)=1,TRUE,FALSE)</formula>
    </cfRule>
  </conditionalFormatting>
  <conditionalFormatting sqref="F28:I28">
    <cfRule type="expression" dxfId="157" priority="158" stopIfTrue="1">
      <formula>IF(WEEKDAY(F$5)=1,TRUE,FALSE)</formula>
    </cfRule>
  </conditionalFormatting>
  <conditionalFormatting sqref="F30:I30">
    <cfRule type="expression" dxfId="156" priority="157" stopIfTrue="1">
      <formula>IF(WEEKDAY(F$5)=1,TRUE,FALSE)</formula>
    </cfRule>
  </conditionalFormatting>
  <conditionalFormatting sqref="F32:I32">
    <cfRule type="expression" dxfId="155" priority="156" stopIfTrue="1">
      <formula>IF(WEEKDAY(F$5)=1,TRUE,FALSE)</formula>
    </cfRule>
  </conditionalFormatting>
  <conditionalFormatting sqref="F39:I39">
    <cfRule type="expression" dxfId="154" priority="155" stopIfTrue="1">
      <formula>IF(WEEKDAY(F$5)=1,TRUE,FALSE)</formula>
    </cfRule>
  </conditionalFormatting>
  <conditionalFormatting sqref="F41:I41">
    <cfRule type="expression" dxfId="153" priority="154" stopIfTrue="1">
      <formula>IF(WEEKDAY(F$5)=1,TRUE,FALSE)</formula>
    </cfRule>
  </conditionalFormatting>
  <conditionalFormatting sqref="F43:I43">
    <cfRule type="expression" dxfId="152" priority="153" stopIfTrue="1">
      <formula>IF(WEEKDAY(F$5)=1,TRUE,FALSE)</formula>
    </cfRule>
  </conditionalFormatting>
  <conditionalFormatting sqref="F45:I45">
    <cfRule type="expression" dxfId="151" priority="152" stopIfTrue="1">
      <formula>IF(WEEKDAY(F$5)=1,TRUE,FALSE)</formula>
    </cfRule>
  </conditionalFormatting>
  <conditionalFormatting sqref="F47:I47">
    <cfRule type="expression" dxfId="150" priority="151" stopIfTrue="1">
      <formula>IF(WEEKDAY(F$5)=1,TRUE,FALSE)</formula>
    </cfRule>
  </conditionalFormatting>
  <conditionalFormatting sqref="F78:I78">
    <cfRule type="expression" dxfId="149" priority="150" stopIfTrue="1">
      <formula>IF(WEEKDAY(F$5)=1,TRUE,FALSE)</formula>
    </cfRule>
  </conditionalFormatting>
  <conditionalFormatting sqref="F80:I80">
    <cfRule type="expression" dxfId="148" priority="149" stopIfTrue="1">
      <formula>IF(WEEKDAY(F$5)=1,TRUE,FALSE)</formula>
    </cfRule>
  </conditionalFormatting>
  <conditionalFormatting sqref="F82:I82">
    <cfRule type="expression" dxfId="147" priority="148" stopIfTrue="1">
      <formula>IF(WEEKDAY(F$5)=1,TRUE,FALSE)</formula>
    </cfRule>
  </conditionalFormatting>
  <conditionalFormatting sqref="F84:I84">
    <cfRule type="expression" dxfId="146" priority="147" stopIfTrue="1">
      <formula>IF(WEEKDAY(F$5)=1,TRUE,FALSE)</formula>
    </cfRule>
  </conditionalFormatting>
  <conditionalFormatting sqref="F86:I86">
    <cfRule type="expression" dxfId="145" priority="146" stopIfTrue="1">
      <formula>IF(WEEKDAY(F$5)=1,TRUE,FALSE)</formula>
    </cfRule>
  </conditionalFormatting>
  <conditionalFormatting sqref="F88:I88">
    <cfRule type="expression" dxfId="144" priority="145" stopIfTrue="1">
      <formula>IF(WEEKDAY(F$5)=1,TRUE,FALSE)</formula>
    </cfRule>
  </conditionalFormatting>
  <conditionalFormatting sqref="F90:I90">
    <cfRule type="expression" dxfId="143" priority="144" stopIfTrue="1">
      <formula>IF(WEEKDAY(F$5)=1,TRUE,FALSE)</formula>
    </cfRule>
  </conditionalFormatting>
  <conditionalFormatting sqref="F92:I92">
    <cfRule type="expression" dxfId="142" priority="143" stopIfTrue="1">
      <formula>IF(WEEKDAY(F$5)=1,TRUE,FALSE)</formula>
    </cfRule>
  </conditionalFormatting>
  <conditionalFormatting sqref="F94:I94">
    <cfRule type="expression" dxfId="141" priority="142" stopIfTrue="1">
      <formula>IF(WEEKDAY(F$5)=1,TRUE,FALSE)</formula>
    </cfRule>
  </conditionalFormatting>
  <conditionalFormatting sqref="AF14:AJ14">
    <cfRule type="expression" dxfId="140" priority="141" stopIfTrue="1">
      <formula>IF(WEEKDAY(AF$5)=1,TRUE,FALSE)</formula>
    </cfRule>
  </conditionalFormatting>
  <conditionalFormatting sqref="AF16:AJ16">
    <cfRule type="expression" dxfId="139" priority="140" stopIfTrue="1">
      <formula>IF(WEEKDAY(AF$5)=1,TRUE,FALSE)</formula>
    </cfRule>
  </conditionalFormatting>
  <conditionalFormatting sqref="AF18:AJ18">
    <cfRule type="expression" dxfId="138" priority="139" stopIfTrue="1">
      <formula>IF(WEEKDAY(AF$5)=1,TRUE,FALSE)</formula>
    </cfRule>
  </conditionalFormatting>
  <conditionalFormatting sqref="AF20:AJ20">
    <cfRule type="expression" dxfId="137" priority="138" stopIfTrue="1">
      <formula>IF(WEEKDAY(AF$5)=1,TRUE,FALSE)</formula>
    </cfRule>
  </conditionalFormatting>
  <conditionalFormatting sqref="AF22:AJ22">
    <cfRule type="expression" dxfId="136" priority="137" stopIfTrue="1">
      <formula>IF(WEEKDAY(AF$5)=1,TRUE,FALSE)</formula>
    </cfRule>
  </conditionalFormatting>
  <conditionalFormatting sqref="AF24:AJ24">
    <cfRule type="expression" dxfId="135" priority="136" stopIfTrue="1">
      <formula>IF(WEEKDAY(AF$5)=1,TRUE,FALSE)</formula>
    </cfRule>
  </conditionalFormatting>
  <conditionalFormatting sqref="AF26:AJ26">
    <cfRule type="expression" dxfId="134" priority="135" stopIfTrue="1">
      <formula>IF(WEEKDAY(AF$5)=1,TRUE,FALSE)</formula>
    </cfRule>
  </conditionalFormatting>
  <conditionalFormatting sqref="AF28:AJ28">
    <cfRule type="expression" dxfId="133" priority="134" stopIfTrue="1">
      <formula>IF(WEEKDAY(AF$5)=1,TRUE,FALSE)</formula>
    </cfRule>
  </conditionalFormatting>
  <conditionalFormatting sqref="AF30:AJ30">
    <cfRule type="expression" dxfId="132" priority="133" stopIfTrue="1">
      <formula>IF(WEEKDAY(AF$5)=1,TRUE,FALSE)</formula>
    </cfRule>
  </conditionalFormatting>
  <conditionalFormatting sqref="AF32:AJ32">
    <cfRule type="expression" dxfId="131" priority="132" stopIfTrue="1">
      <formula>IF(WEEKDAY(AF$5)=1,TRUE,FALSE)</formula>
    </cfRule>
  </conditionalFormatting>
  <conditionalFormatting sqref="AF39:AJ39">
    <cfRule type="expression" dxfId="130" priority="131" stopIfTrue="1">
      <formula>IF(WEEKDAY(AF$5)=1,TRUE,FALSE)</formula>
    </cfRule>
  </conditionalFormatting>
  <conditionalFormatting sqref="AF43:AJ43">
    <cfRule type="expression" dxfId="129" priority="130" stopIfTrue="1">
      <formula>IF(WEEKDAY(AF$5)=1,TRUE,FALSE)</formula>
    </cfRule>
  </conditionalFormatting>
  <conditionalFormatting sqref="AF45:AJ45">
    <cfRule type="expression" dxfId="128" priority="129" stopIfTrue="1">
      <formula>IF(WEEKDAY(AF$5)=1,TRUE,FALSE)</formula>
    </cfRule>
  </conditionalFormatting>
  <conditionalFormatting sqref="AF47:AJ47">
    <cfRule type="expression" dxfId="127" priority="128" stopIfTrue="1">
      <formula>IF(WEEKDAY(AF$5)=1,TRUE,FALSE)</formula>
    </cfRule>
  </conditionalFormatting>
  <conditionalFormatting sqref="K41:P41">
    <cfRule type="expression" dxfId="126" priority="127" stopIfTrue="1">
      <formula>IF(WEEKDAY(K$5)=1,TRUE,FALSE)</formula>
    </cfRule>
  </conditionalFormatting>
  <conditionalFormatting sqref="R41:W41">
    <cfRule type="expression" dxfId="125" priority="126" stopIfTrue="1">
      <formula>IF(WEEKDAY(R$5)=1,TRUE,FALSE)</formula>
    </cfRule>
  </conditionalFormatting>
  <conditionalFormatting sqref="Y41:AD41">
    <cfRule type="expression" dxfId="124" priority="125" stopIfTrue="1">
      <formula>IF(WEEKDAY(Y$5)=1,TRUE,FALSE)</formula>
    </cfRule>
  </conditionalFormatting>
  <conditionalFormatting sqref="F41:I41">
    <cfRule type="expression" dxfId="123" priority="124" stopIfTrue="1">
      <formula>IF(WEEKDAY(F$5)=1,TRUE,FALSE)</formula>
    </cfRule>
  </conditionalFormatting>
  <conditionalFormatting sqref="AF41:AJ41">
    <cfRule type="expression" dxfId="122" priority="123" stopIfTrue="1">
      <formula>IF(WEEKDAY(AF$5)=1,TRUE,FALSE)</formula>
    </cfRule>
  </conditionalFormatting>
  <conditionalFormatting sqref="I34">
    <cfRule type="expression" dxfId="121" priority="122" stopIfTrue="1">
      <formula>IF(WEEKDAY(I$5)=1,TRUE,FALSE)</formula>
    </cfRule>
  </conditionalFormatting>
  <conditionalFormatting sqref="AF34:AJ34">
    <cfRule type="expression" dxfId="120" priority="121" stopIfTrue="1">
      <formula>IF(WEEKDAY(AF$5)=1,TRUE,FALSE)</formula>
    </cfRule>
  </conditionalFormatting>
  <conditionalFormatting sqref="I34">
    <cfRule type="expression" dxfId="119" priority="120" stopIfTrue="1">
      <formula>IF(WEEKDAY(I$5)=1,TRUE,FALSE)</formula>
    </cfRule>
  </conditionalFormatting>
  <conditionalFormatting sqref="AF34:AJ34">
    <cfRule type="expression" dxfId="118" priority="119" stopIfTrue="1">
      <formula>IF(WEEKDAY(AF$5)=1,TRUE,FALSE)</formula>
    </cfRule>
  </conditionalFormatting>
  <conditionalFormatting sqref="I34">
    <cfRule type="expression" dxfId="117" priority="118" stopIfTrue="1">
      <formula>IF(WEEKDAY(I$5)=1,TRUE,FALSE)</formula>
    </cfRule>
  </conditionalFormatting>
  <conditionalFormatting sqref="AF34:AJ34">
    <cfRule type="expression" dxfId="116" priority="117" stopIfTrue="1">
      <formula>IF(WEEKDAY(AF$5)=1,TRUE,FALSE)</formula>
    </cfRule>
  </conditionalFormatting>
  <conditionalFormatting sqref="F34:H34">
    <cfRule type="expression" dxfId="115" priority="116" stopIfTrue="1">
      <formula>IF(WEEKDAY(F$5)=1,TRUE,FALSE)</formula>
    </cfRule>
  </conditionalFormatting>
  <conditionalFormatting sqref="F34:H34">
    <cfRule type="expression" dxfId="114" priority="115" stopIfTrue="1">
      <formula>IF(WEEKDAY(F$5)=1,TRUE,FALSE)</formula>
    </cfRule>
  </conditionalFormatting>
  <conditionalFormatting sqref="J34:L34 N34:P34 R34:T34 V34:X34 Z34:AB34 AD34:AF34 AH34:AJ34">
    <cfRule type="expression" dxfId="113" priority="114" stopIfTrue="1">
      <formula>IF(WEEKDAY(J$5)=1,TRUE,FALSE)</formula>
    </cfRule>
  </conditionalFormatting>
  <conditionalFormatting sqref="J34:L34 N34:P34 R34:T34 V34:X34 Z34:AB34 AD34:AF34 AH34:AJ34">
    <cfRule type="expression" dxfId="112" priority="113" stopIfTrue="1">
      <formula>IF(WEEKDAY(J$5)=1,TRUE,FALSE)</formula>
    </cfRule>
  </conditionalFormatting>
  <conditionalFormatting sqref="I36">
    <cfRule type="expression" dxfId="111" priority="112" stopIfTrue="1">
      <formula>IF(WEEKDAY(I$5)=1,TRUE,FALSE)</formula>
    </cfRule>
  </conditionalFormatting>
  <conditionalFormatting sqref="AF36:AJ36">
    <cfRule type="expression" dxfId="110" priority="111" stopIfTrue="1">
      <formula>IF(WEEKDAY(AF$5)=1,TRUE,FALSE)</formula>
    </cfRule>
  </conditionalFormatting>
  <conditionalFormatting sqref="I36">
    <cfRule type="expression" dxfId="109" priority="110" stopIfTrue="1">
      <formula>IF(WEEKDAY(I$5)=1,TRUE,FALSE)</formula>
    </cfRule>
  </conditionalFormatting>
  <conditionalFormatting sqref="AF36:AJ36">
    <cfRule type="expression" dxfId="108" priority="109" stopIfTrue="1">
      <formula>IF(WEEKDAY(AF$5)=1,TRUE,FALSE)</formula>
    </cfRule>
  </conditionalFormatting>
  <conditionalFormatting sqref="I36">
    <cfRule type="expression" dxfId="107" priority="108" stopIfTrue="1">
      <formula>IF(WEEKDAY(I$5)=1,TRUE,FALSE)</formula>
    </cfRule>
  </conditionalFormatting>
  <conditionalFormatting sqref="AF36:AJ36">
    <cfRule type="expression" dxfId="106" priority="107" stopIfTrue="1">
      <formula>IF(WEEKDAY(AF$5)=1,TRUE,FALSE)</formula>
    </cfRule>
  </conditionalFormatting>
  <conditionalFormatting sqref="F36:H36">
    <cfRule type="expression" dxfId="105" priority="106" stopIfTrue="1">
      <formula>IF(WEEKDAY(F$5)=1,TRUE,FALSE)</formula>
    </cfRule>
  </conditionalFormatting>
  <conditionalFormatting sqref="F36:H36">
    <cfRule type="expression" dxfId="104" priority="105" stopIfTrue="1">
      <formula>IF(WEEKDAY(F$5)=1,TRUE,FALSE)</formula>
    </cfRule>
  </conditionalFormatting>
  <conditionalFormatting sqref="J36:L36 N36:P36 R36:T36 V36:X36 Z36:AB36 AD36:AF36 AH36:AJ36">
    <cfRule type="expression" dxfId="103" priority="104" stopIfTrue="1">
      <formula>IF(WEEKDAY(J$5)=1,TRUE,FALSE)</formula>
    </cfRule>
  </conditionalFormatting>
  <conditionalFormatting sqref="J36:L36 N36:P36 R36:T36 V36:X36 Z36:AB36 AD36:AF36 AH36:AJ36">
    <cfRule type="expression" dxfId="102" priority="103" stopIfTrue="1">
      <formula>IF(WEEKDAY(J$5)=1,TRUE,FALSE)</formula>
    </cfRule>
  </conditionalFormatting>
  <conditionalFormatting sqref="F16:I16">
    <cfRule type="expression" dxfId="101" priority="102" stopIfTrue="1">
      <formula>IF(WEEKDAY(F$5)=1,TRUE,FALSE)</formula>
    </cfRule>
  </conditionalFormatting>
  <conditionalFormatting sqref="AF16:AJ16">
    <cfRule type="expression" dxfId="100" priority="101" stopIfTrue="1">
      <formula>IF(WEEKDAY(AF$5)=1,TRUE,FALSE)</formula>
    </cfRule>
  </conditionalFormatting>
  <conditionalFormatting sqref="F18:I18">
    <cfRule type="expression" dxfId="99" priority="100" stopIfTrue="1">
      <formula>IF(WEEKDAY(F$5)=1,TRUE,FALSE)</formula>
    </cfRule>
  </conditionalFormatting>
  <conditionalFormatting sqref="AF18:AJ18">
    <cfRule type="expression" dxfId="98" priority="99" stopIfTrue="1">
      <formula>IF(WEEKDAY(AF$5)=1,TRUE,FALSE)</formula>
    </cfRule>
  </conditionalFormatting>
  <conditionalFormatting sqref="F20:I20">
    <cfRule type="expression" dxfId="97" priority="98" stopIfTrue="1">
      <formula>IF(WEEKDAY(F$5)=1,TRUE,FALSE)</formula>
    </cfRule>
  </conditionalFormatting>
  <conditionalFormatting sqref="AF20:AJ20">
    <cfRule type="expression" dxfId="96" priority="97" stopIfTrue="1">
      <formula>IF(WEEKDAY(AF$5)=1,TRUE,FALSE)</formula>
    </cfRule>
  </conditionalFormatting>
  <conditionalFormatting sqref="F22:I22">
    <cfRule type="expression" dxfId="95" priority="96" stopIfTrue="1">
      <formula>IF(WEEKDAY(F$5)=1,TRUE,FALSE)</formula>
    </cfRule>
  </conditionalFormatting>
  <conditionalFormatting sqref="AF22:AJ22">
    <cfRule type="expression" dxfId="94" priority="95" stopIfTrue="1">
      <formula>IF(WEEKDAY(AF$5)=1,TRUE,FALSE)</formula>
    </cfRule>
  </conditionalFormatting>
  <conditionalFormatting sqref="F24:I24">
    <cfRule type="expression" dxfId="93" priority="94" stopIfTrue="1">
      <formula>IF(WEEKDAY(F$5)=1,TRUE,FALSE)</formula>
    </cfRule>
  </conditionalFormatting>
  <conditionalFormatting sqref="AF24:AJ24">
    <cfRule type="expression" dxfId="92" priority="93" stopIfTrue="1">
      <formula>IF(WEEKDAY(AF$5)=1,TRUE,FALSE)</formula>
    </cfRule>
  </conditionalFormatting>
  <conditionalFormatting sqref="F26:I26">
    <cfRule type="expression" dxfId="91" priority="92" stopIfTrue="1">
      <formula>IF(WEEKDAY(F$5)=1,TRUE,FALSE)</formula>
    </cfRule>
  </conditionalFormatting>
  <conditionalFormatting sqref="AF26:AJ26">
    <cfRule type="expression" dxfId="90" priority="91" stopIfTrue="1">
      <formula>IF(WEEKDAY(AF$5)=1,TRUE,FALSE)</formula>
    </cfRule>
  </conditionalFormatting>
  <conditionalFormatting sqref="F28:I28">
    <cfRule type="expression" dxfId="89" priority="90" stopIfTrue="1">
      <formula>IF(WEEKDAY(F$5)=1,TRUE,FALSE)</formula>
    </cfRule>
  </conditionalFormatting>
  <conditionalFormatting sqref="AF28:AJ28">
    <cfRule type="expression" dxfId="88" priority="89" stopIfTrue="1">
      <formula>IF(WEEKDAY(AF$5)=1,TRUE,FALSE)</formula>
    </cfRule>
  </conditionalFormatting>
  <conditionalFormatting sqref="F30:I30">
    <cfRule type="expression" dxfId="87" priority="88" stopIfTrue="1">
      <formula>IF(WEEKDAY(F$5)=1,TRUE,FALSE)</formula>
    </cfRule>
  </conditionalFormatting>
  <conditionalFormatting sqref="AF30:AJ30">
    <cfRule type="expression" dxfId="86" priority="87" stopIfTrue="1">
      <formula>IF(WEEKDAY(AF$5)=1,TRUE,FALSE)</formula>
    </cfRule>
  </conditionalFormatting>
  <conditionalFormatting sqref="F32:I32">
    <cfRule type="expression" dxfId="85" priority="86" stopIfTrue="1">
      <formula>IF(WEEKDAY(F$5)=1,TRUE,FALSE)</formula>
    </cfRule>
  </conditionalFormatting>
  <conditionalFormatting sqref="AF32:AJ32">
    <cfRule type="expression" dxfId="84" priority="85" stopIfTrue="1">
      <formula>IF(WEEKDAY(AF$5)=1,TRUE,FALSE)</formula>
    </cfRule>
  </conditionalFormatting>
  <conditionalFormatting sqref="F34:I34">
    <cfRule type="expression" dxfId="83" priority="84" stopIfTrue="1">
      <formula>IF(WEEKDAY(F$5)=1,TRUE,FALSE)</formula>
    </cfRule>
  </conditionalFormatting>
  <conditionalFormatting sqref="AF34:AJ34">
    <cfRule type="expression" dxfId="82" priority="83" stopIfTrue="1">
      <formula>IF(WEEKDAY(AF$5)=1,TRUE,FALSE)</formula>
    </cfRule>
  </conditionalFormatting>
  <conditionalFormatting sqref="F36:I36">
    <cfRule type="expression" dxfId="81" priority="82" stopIfTrue="1">
      <formula>IF(WEEKDAY(F$5)=1,TRUE,FALSE)</formula>
    </cfRule>
  </conditionalFormatting>
  <conditionalFormatting sqref="AF36:AJ36">
    <cfRule type="expression" dxfId="80" priority="81" stopIfTrue="1">
      <formula>IF(WEEKDAY(AF$5)=1,TRUE,FALSE)</formula>
    </cfRule>
  </conditionalFormatting>
  <conditionalFormatting sqref="I37">
    <cfRule type="expression" dxfId="79" priority="80" stopIfTrue="1">
      <formula>IF(WEEKDAY(I$5)=1,TRUE,FALSE)</formula>
    </cfRule>
  </conditionalFormatting>
  <conditionalFormatting sqref="AF37:AJ37">
    <cfRule type="expression" dxfId="78" priority="79" stopIfTrue="1">
      <formula>IF(WEEKDAY(AF$5)=1,TRUE,FALSE)</formula>
    </cfRule>
  </conditionalFormatting>
  <conditionalFormatting sqref="I37">
    <cfRule type="expression" dxfId="77" priority="78" stopIfTrue="1">
      <formula>IF(WEEKDAY(I$5)=1,TRUE,FALSE)</formula>
    </cfRule>
  </conditionalFormatting>
  <conditionalFormatting sqref="AF37:AJ37">
    <cfRule type="expression" dxfId="76" priority="77" stopIfTrue="1">
      <formula>IF(WEEKDAY(AF$5)=1,TRUE,FALSE)</formula>
    </cfRule>
  </conditionalFormatting>
  <conditionalFormatting sqref="I37">
    <cfRule type="expression" dxfId="75" priority="76" stopIfTrue="1">
      <formula>IF(WEEKDAY(I$5)=1,TRUE,FALSE)</formula>
    </cfRule>
  </conditionalFormatting>
  <conditionalFormatting sqref="AF37:AJ37">
    <cfRule type="expression" dxfId="74" priority="75" stopIfTrue="1">
      <formula>IF(WEEKDAY(AF$5)=1,TRUE,FALSE)</formula>
    </cfRule>
  </conditionalFormatting>
  <conditionalFormatting sqref="F37:H37 AS37">
    <cfRule type="expression" dxfId="73" priority="74" stopIfTrue="1">
      <formula>IF(WEEKDAY(F$5)=1,TRUE,FALSE)</formula>
    </cfRule>
  </conditionalFormatting>
  <conditionalFormatting sqref="F37:H37 AS37">
    <cfRule type="expression" dxfId="72" priority="73" stopIfTrue="1">
      <formula>IF(WEEKDAY(F$5)=1,TRUE,FALSE)</formula>
    </cfRule>
  </conditionalFormatting>
  <conditionalFormatting sqref="J37:L37 N37:P37 R37:T37 V37:X37 Z37:AB37 AD37:AF37 AH37:AJ37">
    <cfRule type="expression" dxfId="71" priority="72" stopIfTrue="1">
      <formula>IF(WEEKDAY(J$5)=1,TRUE,FALSE)</formula>
    </cfRule>
  </conditionalFormatting>
  <conditionalFormatting sqref="J37:L37 N37:P37 R37:T37 V37:X37 Z37:AB37 AD37:AF37 AH37:AJ37">
    <cfRule type="expression" dxfId="70" priority="71" stopIfTrue="1">
      <formula>IF(WEEKDAY(J$5)=1,TRUE,FALSE)</formula>
    </cfRule>
  </conditionalFormatting>
  <conditionalFormatting sqref="F37:I37 AS37">
    <cfRule type="expression" dxfId="69" priority="70" stopIfTrue="1">
      <formula>IF(WEEKDAY(F$5)=1,TRUE,FALSE)</formula>
    </cfRule>
  </conditionalFormatting>
  <conditionalFormatting sqref="AF37:AJ37">
    <cfRule type="expression" dxfId="68" priority="69" stopIfTrue="1">
      <formula>IF(WEEKDAY(AF$5)=1,TRUE,FALSE)</formula>
    </cfRule>
  </conditionalFormatting>
  <conditionalFormatting sqref="F80:I80">
    <cfRule type="expression" dxfId="67" priority="68" stopIfTrue="1">
      <formula>IF(WEEKDAY(F$5)=1,TRUE,FALSE)</formula>
    </cfRule>
  </conditionalFormatting>
  <conditionalFormatting sqref="F82:I82">
    <cfRule type="expression" dxfId="66" priority="67" stopIfTrue="1">
      <formula>IF(WEEKDAY(F$5)=1,TRUE,FALSE)</formula>
    </cfRule>
  </conditionalFormatting>
  <conditionalFormatting sqref="F84:I84">
    <cfRule type="expression" dxfId="65" priority="66" stopIfTrue="1">
      <formula>IF(WEEKDAY(F$5)=1,TRUE,FALSE)</formula>
    </cfRule>
  </conditionalFormatting>
  <conditionalFormatting sqref="F86:I86">
    <cfRule type="expression" dxfId="64" priority="65" stopIfTrue="1">
      <formula>IF(WEEKDAY(F$5)=1,TRUE,FALSE)</formula>
    </cfRule>
  </conditionalFormatting>
  <conditionalFormatting sqref="F88:I88">
    <cfRule type="expression" dxfId="63" priority="64" stopIfTrue="1">
      <formula>IF(WEEKDAY(F$5)=1,TRUE,FALSE)</formula>
    </cfRule>
  </conditionalFormatting>
  <conditionalFormatting sqref="F90:I90">
    <cfRule type="expression" dxfId="62" priority="63" stopIfTrue="1">
      <formula>IF(WEEKDAY(F$5)=1,TRUE,FALSE)</formula>
    </cfRule>
  </conditionalFormatting>
  <conditionalFormatting sqref="F92:I92">
    <cfRule type="expression" dxfId="61" priority="62" stopIfTrue="1">
      <formula>IF(WEEKDAY(F$5)=1,TRUE,FALSE)</formula>
    </cfRule>
  </conditionalFormatting>
  <conditionalFormatting sqref="F94:I94">
    <cfRule type="expression" dxfId="60" priority="61" stopIfTrue="1">
      <formula>IF(WEEKDAY(F$5)=1,TRUE,FALSE)</formula>
    </cfRule>
  </conditionalFormatting>
  <conditionalFormatting sqref="F14:AJ14">
    <cfRule type="expression" dxfId="59" priority="60" stopIfTrue="1">
      <formula>IF(WEEKDAY(F$5)=1,TRUE,FALSE)</formula>
    </cfRule>
  </conditionalFormatting>
  <conditionalFormatting sqref="F16:AJ16">
    <cfRule type="expression" dxfId="58" priority="59" stopIfTrue="1">
      <formula>IF(WEEKDAY(F$5)=1,TRUE,FALSE)</formula>
    </cfRule>
  </conditionalFormatting>
  <conditionalFormatting sqref="F18:AJ18">
    <cfRule type="expression" dxfId="57" priority="58" stopIfTrue="1">
      <formula>IF(WEEKDAY(F$5)=1,TRUE,FALSE)</formula>
    </cfRule>
  </conditionalFormatting>
  <conditionalFormatting sqref="F20:AJ20">
    <cfRule type="expression" dxfId="56" priority="57" stopIfTrue="1">
      <formula>IF(WEEKDAY(F$5)=1,TRUE,FALSE)</formula>
    </cfRule>
  </conditionalFormatting>
  <conditionalFormatting sqref="F22:AJ22">
    <cfRule type="expression" dxfId="55" priority="56" stopIfTrue="1">
      <formula>IF(WEEKDAY(F$5)=1,TRUE,FALSE)</formula>
    </cfRule>
  </conditionalFormatting>
  <conditionalFormatting sqref="F24:AJ24">
    <cfRule type="expression" dxfId="54" priority="55" stopIfTrue="1">
      <formula>IF(WEEKDAY(F$5)=1,TRUE,FALSE)</formula>
    </cfRule>
  </conditionalFormatting>
  <conditionalFormatting sqref="F26:AJ26">
    <cfRule type="expression" dxfId="53" priority="54" stopIfTrue="1">
      <formula>IF(WEEKDAY(F$5)=1,TRUE,FALSE)</formula>
    </cfRule>
  </conditionalFormatting>
  <conditionalFormatting sqref="F28:AJ28">
    <cfRule type="expression" dxfId="52" priority="53" stopIfTrue="1">
      <formula>IF(WEEKDAY(F$5)=1,TRUE,FALSE)</formula>
    </cfRule>
  </conditionalFormatting>
  <conditionalFormatting sqref="F30:AJ30">
    <cfRule type="expression" dxfId="51" priority="52" stopIfTrue="1">
      <formula>IF(WEEKDAY(F$5)=1,TRUE,FALSE)</formula>
    </cfRule>
  </conditionalFormatting>
  <conditionalFormatting sqref="F32:AJ32">
    <cfRule type="expression" dxfId="50" priority="51" stopIfTrue="1">
      <formula>IF(WEEKDAY(F$5)=1,TRUE,FALSE)</formula>
    </cfRule>
  </conditionalFormatting>
  <conditionalFormatting sqref="F34:AJ34">
    <cfRule type="expression" dxfId="49" priority="50" stopIfTrue="1">
      <formula>IF(WEEKDAY(F$5)=1,TRUE,FALSE)</formula>
    </cfRule>
  </conditionalFormatting>
  <conditionalFormatting sqref="F36:AJ36">
    <cfRule type="expression" dxfId="48" priority="49" stopIfTrue="1">
      <formula>IF(WEEKDAY(F$5)=1,TRUE,FALSE)</formula>
    </cfRule>
  </conditionalFormatting>
  <conditionalFormatting sqref="F39:AJ39">
    <cfRule type="expression" dxfId="47" priority="48" stopIfTrue="1">
      <formula>IF(WEEKDAY(F$5)=1,TRUE,FALSE)</formula>
    </cfRule>
  </conditionalFormatting>
  <conditionalFormatting sqref="F41:AJ41">
    <cfRule type="expression" dxfId="46" priority="47" stopIfTrue="1">
      <formula>IF(WEEKDAY(F$5)=1,TRUE,FALSE)</formula>
    </cfRule>
  </conditionalFormatting>
  <conditionalFormatting sqref="F43:AJ43">
    <cfRule type="expression" dxfId="45" priority="46" stopIfTrue="1">
      <formula>IF(WEEKDAY(F$5)=1,TRUE,FALSE)</formula>
    </cfRule>
  </conditionalFormatting>
  <conditionalFormatting sqref="F45:AJ45">
    <cfRule type="expression" dxfId="44" priority="45" stopIfTrue="1">
      <formula>IF(WEEKDAY(F$5)=1,TRUE,FALSE)</formula>
    </cfRule>
  </conditionalFormatting>
  <conditionalFormatting sqref="F47:AJ47">
    <cfRule type="expression" dxfId="43" priority="44" stopIfTrue="1">
      <formula>IF(WEEKDAY(F$5)=1,TRUE,FALSE)</formula>
    </cfRule>
  </conditionalFormatting>
  <conditionalFormatting sqref="F78:AJ78">
    <cfRule type="expression" dxfId="42" priority="43" stopIfTrue="1">
      <formula>IF(WEEKDAY(F$5)=1,TRUE,FALSE)</formula>
    </cfRule>
  </conditionalFormatting>
  <conditionalFormatting sqref="F80:I80">
    <cfRule type="expression" dxfId="41" priority="42" stopIfTrue="1">
      <formula>IF(WEEKDAY(F$5)=1,TRUE,FALSE)</formula>
    </cfRule>
  </conditionalFormatting>
  <conditionalFormatting sqref="F80:AJ80">
    <cfRule type="expression" dxfId="40" priority="41" stopIfTrue="1">
      <formula>IF(WEEKDAY(F$5)=1,TRUE,FALSE)</formula>
    </cfRule>
  </conditionalFormatting>
  <conditionalFormatting sqref="F82:I82">
    <cfRule type="expression" dxfId="39" priority="40" stopIfTrue="1">
      <formula>IF(WEEKDAY(F$5)=1,TRUE,FALSE)</formula>
    </cfRule>
  </conditionalFormatting>
  <conditionalFormatting sqref="F82:AJ82">
    <cfRule type="expression" dxfId="38" priority="39" stopIfTrue="1">
      <formula>IF(WEEKDAY(F$5)=1,TRUE,FALSE)</formula>
    </cfRule>
  </conditionalFormatting>
  <conditionalFormatting sqref="F84:I84">
    <cfRule type="expression" dxfId="37" priority="38" stopIfTrue="1">
      <formula>IF(WEEKDAY(F$5)=1,TRUE,FALSE)</formula>
    </cfRule>
  </conditionalFormatting>
  <conditionalFormatting sqref="F84:AJ84">
    <cfRule type="expression" dxfId="36" priority="37" stopIfTrue="1">
      <formula>IF(WEEKDAY(F$5)=1,TRUE,FALSE)</formula>
    </cfRule>
  </conditionalFormatting>
  <conditionalFormatting sqref="F86:I86">
    <cfRule type="expression" dxfId="35" priority="36" stopIfTrue="1">
      <formula>IF(WEEKDAY(F$5)=1,TRUE,FALSE)</formula>
    </cfRule>
  </conditionalFormatting>
  <conditionalFormatting sqref="F86:AJ86">
    <cfRule type="expression" dxfId="34" priority="35" stopIfTrue="1">
      <formula>IF(WEEKDAY(F$5)=1,TRUE,FALSE)</formula>
    </cfRule>
  </conditionalFormatting>
  <conditionalFormatting sqref="F88:I88">
    <cfRule type="expression" dxfId="33" priority="34" stopIfTrue="1">
      <formula>IF(WEEKDAY(F$5)=1,TRUE,FALSE)</formula>
    </cfRule>
  </conditionalFormatting>
  <conditionalFormatting sqref="F88:AJ88">
    <cfRule type="expression" dxfId="32" priority="33" stopIfTrue="1">
      <formula>IF(WEEKDAY(F$5)=1,TRUE,FALSE)</formula>
    </cfRule>
  </conditionalFormatting>
  <conditionalFormatting sqref="F90:I90">
    <cfRule type="expression" dxfId="31" priority="32" stopIfTrue="1">
      <formula>IF(WEEKDAY(F$5)=1,TRUE,FALSE)</formula>
    </cfRule>
  </conditionalFormatting>
  <conditionalFormatting sqref="F90:AJ90">
    <cfRule type="expression" dxfId="30" priority="31" stopIfTrue="1">
      <formula>IF(WEEKDAY(F$5)=1,TRUE,FALSE)</formula>
    </cfRule>
  </conditionalFormatting>
  <conditionalFormatting sqref="F92:I92">
    <cfRule type="expression" dxfId="29" priority="30" stopIfTrue="1">
      <formula>IF(WEEKDAY(F$5)=1,TRUE,FALSE)</formula>
    </cfRule>
  </conditionalFormatting>
  <conditionalFormatting sqref="F92:AJ92">
    <cfRule type="expression" dxfId="28" priority="29" stopIfTrue="1">
      <formula>IF(WEEKDAY(F$5)=1,TRUE,FALSE)</formula>
    </cfRule>
  </conditionalFormatting>
  <conditionalFormatting sqref="F94:I94">
    <cfRule type="expression" dxfId="27" priority="28" stopIfTrue="1">
      <formula>IF(WEEKDAY(F$5)=1,TRUE,FALSE)</formula>
    </cfRule>
  </conditionalFormatting>
  <conditionalFormatting sqref="F94:AJ94">
    <cfRule type="expression" dxfId="26" priority="27" stopIfTrue="1">
      <formula>IF(WEEKDAY(F$5)=1,TRUE,FALSE)</formula>
    </cfRule>
  </conditionalFormatting>
  <conditionalFormatting sqref="F14:AJ14">
    <cfRule type="expression" dxfId="25" priority="26" stopIfTrue="1">
      <formula>IF(WEEKDAY(F$5)=1,TRUE,FALSE)</formula>
    </cfRule>
  </conditionalFormatting>
  <conditionalFormatting sqref="F16:AJ16">
    <cfRule type="expression" dxfId="24" priority="25" stopIfTrue="1">
      <formula>IF(WEEKDAY(F$5)=1,TRUE,FALSE)</formula>
    </cfRule>
  </conditionalFormatting>
  <conditionalFormatting sqref="F18:AJ18">
    <cfRule type="expression" dxfId="23" priority="24" stopIfTrue="1">
      <formula>IF(WEEKDAY(F$5)=1,TRUE,FALSE)</formula>
    </cfRule>
  </conditionalFormatting>
  <conditionalFormatting sqref="F20:AJ20">
    <cfRule type="expression" dxfId="22" priority="23" stopIfTrue="1">
      <formula>IF(WEEKDAY(F$5)=1,TRUE,FALSE)</formula>
    </cfRule>
  </conditionalFormatting>
  <conditionalFormatting sqref="F22:AJ22">
    <cfRule type="expression" dxfId="21" priority="22" stopIfTrue="1">
      <formula>IF(WEEKDAY(F$5)=1,TRUE,FALSE)</formula>
    </cfRule>
  </conditionalFormatting>
  <conditionalFormatting sqref="F24:AJ24">
    <cfRule type="expression" dxfId="20" priority="21" stopIfTrue="1">
      <formula>IF(WEEKDAY(F$5)=1,TRUE,FALSE)</formula>
    </cfRule>
  </conditionalFormatting>
  <conditionalFormatting sqref="F26:AJ26">
    <cfRule type="expression" dxfId="19" priority="20" stopIfTrue="1">
      <formula>IF(WEEKDAY(F$5)=1,TRUE,FALSE)</formula>
    </cfRule>
  </conditionalFormatting>
  <conditionalFormatting sqref="F28:AJ28">
    <cfRule type="expression" dxfId="18" priority="19" stopIfTrue="1">
      <formula>IF(WEEKDAY(F$5)=1,TRUE,FALSE)</formula>
    </cfRule>
  </conditionalFormatting>
  <conditionalFormatting sqref="F30:AJ30">
    <cfRule type="expression" dxfId="17" priority="18" stopIfTrue="1">
      <formula>IF(WEEKDAY(F$5)=1,TRUE,FALSE)</formula>
    </cfRule>
  </conditionalFormatting>
  <conditionalFormatting sqref="F32:AJ32">
    <cfRule type="expression" dxfId="16" priority="17" stopIfTrue="1">
      <formula>IF(WEEKDAY(F$5)=1,TRUE,FALSE)</formula>
    </cfRule>
  </conditionalFormatting>
  <conditionalFormatting sqref="F34:AJ34">
    <cfRule type="expression" dxfId="15" priority="16" stopIfTrue="1">
      <formula>IF(WEEKDAY(F$5)=1,TRUE,FALSE)</formula>
    </cfRule>
  </conditionalFormatting>
  <conditionalFormatting sqref="F36:AJ36">
    <cfRule type="expression" dxfId="14" priority="15" stopIfTrue="1">
      <formula>IF(WEEKDAY(F$5)=1,TRUE,FALSE)</formula>
    </cfRule>
  </conditionalFormatting>
  <conditionalFormatting sqref="F39:AJ39">
    <cfRule type="expression" dxfId="13" priority="14" stopIfTrue="1">
      <formula>IF(WEEKDAY(F$5)=1,TRUE,FALSE)</formula>
    </cfRule>
  </conditionalFormatting>
  <conditionalFormatting sqref="F41:AJ41">
    <cfRule type="expression" dxfId="12" priority="13" stopIfTrue="1">
      <formula>IF(WEEKDAY(F$5)=1,TRUE,FALSE)</formula>
    </cfRule>
  </conditionalFormatting>
  <conditionalFormatting sqref="F43:AJ43">
    <cfRule type="expression" dxfId="11" priority="12" stopIfTrue="1">
      <formula>IF(WEEKDAY(F$5)=1,TRUE,FALSE)</formula>
    </cfRule>
  </conditionalFormatting>
  <conditionalFormatting sqref="F45:AJ45">
    <cfRule type="expression" dxfId="10" priority="11" stopIfTrue="1">
      <formula>IF(WEEKDAY(F$5)=1,TRUE,FALSE)</formula>
    </cfRule>
  </conditionalFormatting>
  <conditionalFormatting sqref="F47:AJ47">
    <cfRule type="expression" dxfId="9" priority="10" stopIfTrue="1">
      <formula>IF(WEEKDAY(F$5)=1,TRUE,FALSE)</formula>
    </cfRule>
  </conditionalFormatting>
  <conditionalFormatting sqref="F78:AJ78">
    <cfRule type="expression" dxfId="8" priority="9" stopIfTrue="1">
      <formula>IF(WEEKDAY(F$5)=1,TRUE,FALSE)</formula>
    </cfRule>
  </conditionalFormatting>
  <conditionalFormatting sqref="F80:AJ80">
    <cfRule type="expression" dxfId="7" priority="8" stopIfTrue="1">
      <formula>IF(WEEKDAY(F$5)=1,TRUE,FALSE)</formula>
    </cfRule>
  </conditionalFormatting>
  <conditionalFormatting sqref="F82:AJ82">
    <cfRule type="expression" dxfId="6" priority="7" stopIfTrue="1">
      <formula>IF(WEEKDAY(F$5)=1,TRUE,FALSE)</formula>
    </cfRule>
  </conditionalFormatting>
  <conditionalFormatting sqref="F84:AJ84">
    <cfRule type="expression" dxfId="5" priority="6" stopIfTrue="1">
      <formula>IF(WEEKDAY(F$5)=1,TRUE,FALSE)</formula>
    </cfRule>
  </conditionalFormatting>
  <conditionalFormatting sqref="F86:AJ86">
    <cfRule type="expression" dxfId="4" priority="5" stopIfTrue="1">
      <formula>IF(WEEKDAY(F$5)=1,TRUE,FALSE)</formula>
    </cfRule>
  </conditionalFormatting>
  <conditionalFormatting sqref="F88:AJ88">
    <cfRule type="expression" dxfId="3" priority="4" stopIfTrue="1">
      <formula>IF(WEEKDAY(F$5)=1,TRUE,FALSE)</formula>
    </cfRule>
  </conditionalFormatting>
  <conditionalFormatting sqref="F90:AJ90">
    <cfRule type="expression" dxfId="2" priority="3" stopIfTrue="1">
      <formula>IF(WEEKDAY(F$5)=1,TRUE,FALSE)</formula>
    </cfRule>
  </conditionalFormatting>
  <conditionalFormatting sqref="F92:AJ92">
    <cfRule type="expression" dxfId="1" priority="2" stopIfTrue="1">
      <formula>IF(WEEKDAY(F$5)=1,TRUE,FALSE)</formula>
    </cfRule>
  </conditionalFormatting>
  <conditionalFormatting sqref="F94:AJ94">
    <cfRule type="expression" dxfId="0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opLeftCell="D37" zoomScaleNormal="70" workbookViewId="0">
      <selection activeCell="Q52" sqref="Q52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10"/>
      <c r="C1" s="410"/>
      <c r="D1" s="493" t="str">
        <f>"BẢNG THANH TOÁN LƯƠNG THÁNG"&amp;" "&amp;TEXT($E$4,"mm")&amp;" / "&amp;TEXT($E$4,"yyyy")</f>
        <v>BẢNG THANH TOÁN LƯƠNG THÁNG 06 / 2017</v>
      </c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4"/>
      <c r="R1" s="495" t="s">
        <v>179</v>
      </c>
      <c r="S1" s="496"/>
      <c r="T1" s="497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10"/>
      <c r="C2" s="410"/>
      <c r="D2" s="410"/>
      <c r="E2" s="71"/>
      <c r="F2" s="410"/>
      <c r="G2" s="410"/>
      <c r="H2" s="410"/>
      <c r="I2" s="410"/>
      <c r="J2" s="72"/>
      <c r="K2" s="410"/>
      <c r="L2" s="410"/>
      <c r="M2" s="410"/>
      <c r="N2" s="410"/>
      <c r="O2" s="410"/>
      <c r="P2" s="410"/>
      <c r="Q2" s="410"/>
      <c r="R2" s="410"/>
      <c r="S2" s="410"/>
      <c r="T2" s="50"/>
      <c r="U2" s="70">
        <v>26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10"/>
      <c r="C3" s="410"/>
      <c r="D3" s="410"/>
      <c r="E3" s="71"/>
      <c r="F3" s="410"/>
      <c r="G3" s="410"/>
      <c r="H3" s="410"/>
      <c r="I3" s="410"/>
      <c r="J3" s="72"/>
      <c r="K3" s="410"/>
      <c r="L3" s="410"/>
      <c r="M3" s="410"/>
      <c r="N3" s="410"/>
      <c r="O3" s="410"/>
      <c r="P3" s="410"/>
      <c r="Q3" s="410"/>
      <c r="R3" s="410"/>
      <c r="S3" s="410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- 06 '!E4</f>
        <v>42887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498" t="s">
        <v>19</v>
      </c>
      <c r="B5" s="498" t="s">
        <v>20</v>
      </c>
      <c r="C5" s="425" t="s">
        <v>1</v>
      </c>
      <c r="D5" s="425" t="s">
        <v>2</v>
      </c>
      <c r="E5" s="418" t="s">
        <v>56</v>
      </c>
      <c r="F5" s="501" t="s">
        <v>26</v>
      </c>
      <c r="G5" s="502"/>
      <c r="H5" s="502"/>
      <c r="I5" s="502"/>
      <c r="J5" s="502"/>
      <c r="K5" s="503"/>
      <c r="L5" s="500" t="s">
        <v>57</v>
      </c>
      <c r="M5" s="500" t="s">
        <v>5</v>
      </c>
      <c r="N5" s="425" t="s">
        <v>6</v>
      </c>
      <c r="O5" s="425"/>
      <c r="P5" s="425"/>
      <c r="Q5" s="500" t="s">
        <v>7</v>
      </c>
      <c r="R5" s="500" t="s">
        <v>8</v>
      </c>
      <c r="S5" s="500" t="s">
        <v>9</v>
      </c>
      <c r="T5" s="419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499"/>
      <c r="B6" s="499"/>
      <c r="C6" s="425"/>
      <c r="D6" s="425"/>
      <c r="E6" s="418"/>
      <c r="F6" s="501" t="s">
        <v>59</v>
      </c>
      <c r="G6" s="503"/>
      <c r="H6" s="501" t="s">
        <v>189</v>
      </c>
      <c r="I6" s="502"/>
      <c r="J6" s="519" t="s">
        <v>27</v>
      </c>
      <c r="K6" s="500" t="s">
        <v>4</v>
      </c>
      <c r="L6" s="504"/>
      <c r="M6" s="504"/>
      <c r="N6" s="506" t="s">
        <v>12</v>
      </c>
      <c r="O6" s="500" t="s">
        <v>13</v>
      </c>
      <c r="P6" s="500" t="s">
        <v>34</v>
      </c>
      <c r="Q6" s="504"/>
      <c r="R6" s="504"/>
      <c r="S6" s="504"/>
      <c r="T6" s="420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499"/>
      <c r="B7" s="499"/>
      <c r="C7" s="500"/>
      <c r="D7" s="500"/>
      <c r="E7" s="418"/>
      <c r="F7" s="411" t="s">
        <v>40</v>
      </c>
      <c r="G7" s="407" t="s">
        <v>18</v>
      </c>
      <c r="H7" s="411" t="s">
        <v>40</v>
      </c>
      <c r="I7" s="414" t="s">
        <v>18</v>
      </c>
      <c r="J7" s="520"/>
      <c r="K7" s="504"/>
      <c r="L7" s="505"/>
      <c r="M7" s="505"/>
      <c r="N7" s="507"/>
      <c r="O7" s="504"/>
      <c r="P7" s="504"/>
      <c r="Q7" s="504"/>
      <c r="R7" s="504"/>
      <c r="S7" s="504"/>
      <c r="T7" s="420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183</v>
      </c>
      <c r="B9" s="275" t="s">
        <v>184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- 06 '!$B$1:$AS$121,36,0)</f>
        <v>26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- 06 '!$B$1:$AS$121,36,0)</f>
        <v>26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26</v>
      </c>
      <c r="K11" s="36">
        <f>G11+I11</f>
        <v>4056000</v>
      </c>
      <c r="L11" s="80">
        <f>+F11*15000</f>
        <v>390000</v>
      </c>
      <c r="M11" s="37">
        <f>K11+L11</f>
        <v>4446000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4020120</v>
      </c>
      <c r="R11" s="36">
        <f>VLOOKUP(B11,DS,23,0)</f>
        <v>0</v>
      </c>
      <c r="S11" s="38">
        <f>Q11-R11</f>
        <v>4020120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185</v>
      </c>
      <c r="B12" s="275" t="s">
        <v>186</v>
      </c>
      <c r="C12" s="274"/>
      <c r="D12" s="274"/>
      <c r="E12" s="274" t="s">
        <v>194</v>
      </c>
      <c r="F12" s="82">
        <f>VLOOKUP(B12,'CC - 06 '!$B$1:$AS$121,36,0)</f>
        <v>0</v>
      </c>
      <c r="G12" s="274"/>
      <c r="H12" s="274"/>
      <c r="I12" s="274"/>
      <c r="J12" s="274"/>
      <c r="K12" s="274" t="s">
        <v>194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- 06 '!$B$1:$AS$121,36,0)</f>
        <v>26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26</v>
      </c>
      <c r="K13" s="36">
        <f t="shared" si="5"/>
        <v>3552000</v>
      </c>
      <c r="L13" s="80">
        <f t="shared" ref="L13:L30" si="6">+F13*15000</f>
        <v>390000</v>
      </c>
      <c r="M13" s="37">
        <f t="shared" ref="M13:M30" si="7">K13+L13</f>
        <v>3942000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3569040</v>
      </c>
      <c r="R13" s="36">
        <f t="shared" ref="R13:R30" si="12">VLOOKUP(B13,DS,23,0)</f>
        <v>0</v>
      </c>
      <c r="S13" s="38">
        <f t="shared" ref="S13:S30" si="13">Q13-R13</f>
        <v>3569040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- 06 '!$B$1:$AS$121,36,0)</f>
        <v>26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26</v>
      </c>
      <c r="K14" s="36">
        <f t="shared" si="5"/>
        <v>3552000</v>
      </c>
      <c r="L14" s="80">
        <f t="shared" si="6"/>
        <v>390000</v>
      </c>
      <c r="M14" s="37">
        <f t="shared" si="7"/>
        <v>3942000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3569040</v>
      </c>
      <c r="R14" s="36">
        <f t="shared" si="12"/>
        <v>0</v>
      </c>
      <c r="S14" s="38">
        <f t="shared" si="13"/>
        <v>3569040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- 06 '!$B$1:$AS$121,36,0)</f>
        <v>26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26</v>
      </c>
      <c r="K15" s="36">
        <f t="shared" si="5"/>
        <v>3552000</v>
      </c>
      <c r="L15" s="80">
        <f t="shared" si="6"/>
        <v>390000</v>
      </c>
      <c r="M15" s="37">
        <f t="shared" si="7"/>
        <v>3942000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3569040</v>
      </c>
      <c r="R15" s="36">
        <f t="shared" si="12"/>
        <v>0</v>
      </c>
      <c r="S15" s="38">
        <f t="shared" si="13"/>
        <v>3569040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- 06 '!$B$1:$AS$121,36,0)</f>
        <v>26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26</v>
      </c>
      <c r="K16" s="36">
        <f t="shared" si="5"/>
        <v>3552000</v>
      </c>
      <c r="L16" s="80">
        <f t="shared" si="6"/>
        <v>390000</v>
      </c>
      <c r="M16" s="37">
        <f t="shared" si="7"/>
        <v>3942000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3569040</v>
      </c>
      <c r="R16" s="36">
        <f t="shared" si="12"/>
        <v>0</v>
      </c>
      <c r="S16" s="38">
        <f t="shared" si="13"/>
        <v>3569040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- 06 '!$B$1:$AS$121,36,0)</f>
        <v>26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26</v>
      </c>
      <c r="K17" s="36">
        <f t="shared" si="5"/>
        <v>3552000</v>
      </c>
      <c r="L17" s="80">
        <f t="shared" si="6"/>
        <v>390000</v>
      </c>
      <c r="M17" s="37">
        <f t="shared" si="7"/>
        <v>3942000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3569040</v>
      </c>
      <c r="R17" s="36">
        <f t="shared" si="12"/>
        <v>0</v>
      </c>
      <c r="S17" s="38">
        <f t="shared" si="13"/>
        <v>3569040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- 06 '!$B$1:$AS$121,36,0)</f>
        <v>26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26</v>
      </c>
      <c r="K18" s="36">
        <f t="shared" si="5"/>
        <v>3552000</v>
      </c>
      <c r="L18" s="80">
        <f t="shared" si="6"/>
        <v>390000</v>
      </c>
      <c r="M18" s="37">
        <f t="shared" si="7"/>
        <v>3942000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3569040</v>
      </c>
      <c r="R18" s="36">
        <f t="shared" si="12"/>
        <v>0</v>
      </c>
      <c r="S18" s="38">
        <f t="shared" si="13"/>
        <v>3569040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- 06 '!$B$1:$AS$121,36,0)</f>
        <v>26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26</v>
      </c>
      <c r="K19" s="309">
        <f t="shared" si="5"/>
        <v>3552000</v>
      </c>
      <c r="L19" s="305">
        <f t="shared" si="6"/>
        <v>390000</v>
      </c>
      <c r="M19" s="310">
        <f t="shared" si="7"/>
        <v>3942000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3569040</v>
      </c>
      <c r="R19" s="309">
        <f t="shared" si="12"/>
        <v>0</v>
      </c>
      <c r="S19" s="311">
        <f t="shared" si="13"/>
        <v>3569040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- 06 '!$B$1:$AS$121,36,0)</f>
        <v>26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26</v>
      </c>
      <c r="K20" s="36">
        <f t="shared" si="5"/>
        <v>3552000</v>
      </c>
      <c r="L20" s="80">
        <f t="shared" si="6"/>
        <v>390000</v>
      </c>
      <c r="M20" s="37">
        <f t="shared" si="7"/>
        <v>3942000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3569040</v>
      </c>
      <c r="R20" s="36">
        <f t="shared" si="12"/>
        <v>0</v>
      </c>
      <c r="S20" s="38">
        <f t="shared" si="13"/>
        <v>3569040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- 06 '!$B$1:$AS$121,36,0)</f>
        <v>26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26</v>
      </c>
      <c r="K21" s="36">
        <f t="shared" si="5"/>
        <v>3552000</v>
      </c>
      <c r="L21" s="80">
        <f t="shared" si="6"/>
        <v>390000</v>
      </c>
      <c r="M21" s="37">
        <f t="shared" si="7"/>
        <v>3942000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3569040</v>
      </c>
      <c r="R21" s="36">
        <f t="shared" si="12"/>
        <v>0</v>
      </c>
      <c r="S21" s="38">
        <f t="shared" si="13"/>
        <v>3569040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206</v>
      </c>
      <c r="C22" s="349" t="s">
        <v>205</v>
      </c>
      <c r="D22" s="103" t="str">
        <f t="shared" si="1"/>
        <v>Công nhân</v>
      </c>
      <c r="E22" s="80">
        <f t="shared" si="2"/>
        <v>3552000</v>
      </c>
      <c r="F22" s="82">
        <f>VLOOKUP(B22,'CC - 06 '!$B$1:$AS$121,36,0)</f>
        <v>26</v>
      </c>
      <c r="G22" s="198">
        <f t="shared" si="3"/>
        <v>3552000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26</v>
      </c>
      <c r="K22" s="36">
        <f t="shared" si="5"/>
        <v>3552000</v>
      </c>
      <c r="L22" s="80">
        <f t="shared" si="6"/>
        <v>390000</v>
      </c>
      <c r="M22" s="37">
        <f t="shared" si="7"/>
        <v>3942000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3569040</v>
      </c>
      <c r="R22" s="36">
        <f t="shared" si="12"/>
        <v>0</v>
      </c>
      <c r="S22" s="38">
        <f t="shared" si="13"/>
        <v>3569040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- 06 '!$B$1:$AS$121,36,0)</f>
        <v>26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26</v>
      </c>
      <c r="K23" s="36">
        <f t="shared" si="5"/>
        <v>3552000</v>
      </c>
      <c r="L23" s="80">
        <f t="shared" si="6"/>
        <v>390000</v>
      </c>
      <c r="M23" s="37">
        <f t="shared" si="7"/>
        <v>3942000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3569040</v>
      </c>
      <c r="R23" s="36">
        <f t="shared" si="12"/>
        <v>0</v>
      </c>
      <c r="S23" s="38">
        <f t="shared" si="13"/>
        <v>3569040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211</v>
      </c>
      <c r="C24" s="79" t="str">
        <f t="shared" si="0"/>
        <v>Võ Văn Hữu Phước</v>
      </c>
      <c r="D24" s="103" t="str">
        <f t="shared" si="1"/>
        <v>Công nhân</v>
      </c>
      <c r="E24" s="80">
        <f t="shared" si="2"/>
        <v>3552000</v>
      </c>
      <c r="F24" s="82">
        <f>VLOOKUP(B24,'CC - 06 '!$B$1:$AS$121,36,0)</f>
        <v>26</v>
      </c>
      <c r="G24" s="198">
        <f t="shared" si="3"/>
        <v>3552000</v>
      </c>
      <c r="H24" s="82">
        <f>(VLOOKUP(B24,'CC - 04'!$B$8:$AS$70,37,0)+VLOOKUP(B24,'CC - 04'!$B$8:$AS$70,38,0))</f>
        <v>0</v>
      </c>
      <c r="I24" s="198">
        <f t="shared" si="4"/>
        <v>0</v>
      </c>
      <c r="J24" s="199">
        <f t="shared" si="5"/>
        <v>26</v>
      </c>
      <c r="K24" s="36">
        <f t="shared" si="5"/>
        <v>3552000</v>
      </c>
      <c r="L24" s="80">
        <f t="shared" si="6"/>
        <v>390000</v>
      </c>
      <c r="M24" s="37">
        <f t="shared" si="7"/>
        <v>3942000</v>
      </c>
      <c r="N24" s="37">
        <v>284160</v>
      </c>
      <c r="O24" s="37">
        <v>53280</v>
      </c>
      <c r="P24" s="37">
        <v>35520</v>
      </c>
      <c r="Q24" s="36">
        <f t="shared" ref="Q24:Q25" si="15">M24-SUM(N24:P24)</f>
        <v>3569040</v>
      </c>
      <c r="R24" s="36">
        <f t="shared" si="12"/>
        <v>0</v>
      </c>
      <c r="S24" s="38">
        <f t="shared" si="13"/>
        <v>3569040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210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- 06 '!$B$1:$AS$121,36,0)</f>
        <v>26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26</v>
      </c>
      <c r="K25" s="36">
        <f t="shared" si="5"/>
        <v>3552000</v>
      </c>
      <c r="L25" s="80">
        <f t="shared" si="6"/>
        <v>390000</v>
      </c>
      <c r="M25" s="37">
        <f t="shared" si="7"/>
        <v>3942000</v>
      </c>
      <c r="N25" s="37">
        <v>284160</v>
      </c>
      <c r="O25" s="37">
        <v>53280</v>
      </c>
      <c r="P25" s="37">
        <v>35520</v>
      </c>
      <c r="Q25" s="36">
        <f t="shared" si="15"/>
        <v>3569040</v>
      </c>
      <c r="R25" s="36">
        <f t="shared" si="12"/>
        <v>0</v>
      </c>
      <c r="S25" s="38">
        <f t="shared" si="13"/>
        <v>3569040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563" t="s">
        <v>188</v>
      </c>
      <c r="C26" s="564"/>
      <c r="D26" s="274"/>
      <c r="E26" s="274"/>
      <c r="F26" s="82">
        <f>VLOOKUP(B26,'CC - 06 '!$B$1:$AS$121,36,0)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113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- 06 '!$B$1:$AS$121,36,0)</f>
        <v>26</v>
      </c>
      <c r="G27" s="198">
        <f t="shared" si="3"/>
        <v>3776000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26</v>
      </c>
      <c r="K27" s="36">
        <f t="shared" si="5"/>
        <v>3776000</v>
      </c>
      <c r="L27" s="80">
        <f t="shared" si="6"/>
        <v>390000</v>
      </c>
      <c r="M27" s="37">
        <f t="shared" si="7"/>
        <v>4166000</v>
      </c>
      <c r="N27" s="37">
        <f t="shared" ref="N27:N30" si="16">IF(VLOOKUP(B27,DS,10,0)="x",E27*$N$4,0)</f>
        <v>302080</v>
      </c>
      <c r="O27" s="37">
        <f t="shared" ref="O27:O30" si="17">IF(VLOOKUP(B27,DS,10,0)="x",E27*$O$4,0)</f>
        <v>56640</v>
      </c>
      <c r="P27" s="37">
        <f t="shared" ref="P27:P30" si="18">IF(VLOOKUP(B27,DS,10,0)="x",E27*$P$4,0)</f>
        <v>37760</v>
      </c>
      <c r="Q27" s="36">
        <f t="shared" si="11"/>
        <v>3769520</v>
      </c>
      <c r="R27" s="36">
        <f t="shared" si="12"/>
        <v>0</v>
      </c>
      <c r="S27" s="38">
        <f t="shared" si="13"/>
        <v>3769520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118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- 06 '!$B$1:$AS$121,36,0)</f>
        <v>26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26</v>
      </c>
      <c r="K28" s="36">
        <f t="shared" si="5"/>
        <v>3552000</v>
      </c>
      <c r="L28" s="80">
        <f t="shared" si="6"/>
        <v>390000</v>
      </c>
      <c r="M28" s="37">
        <f t="shared" si="7"/>
        <v>3942000</v>
      </c>
      <c r="N28" s="37">
        <f t="shared" si="16"/>
        <v>284160</v>
      </c>
      <c r="O28" s="37">
        <f t="shared" si="17"/>
        <v>53280</v>
      </c>
      <c r="P28" s="37">
        <f t="shared" si="18"/>
        <v>35520</v>
      </c>
      <c r="Q28" s="36">
        <f t="shared" ref="Q28:Q30" si="19">M28-SUM(N28:P28)</f>
        <v>3569040</v>
      </c>
      <c r="R28" s="36">
        <f t="shared" si="12"/>
        <v>0</v>
      </c>
      <c r="S28" s="38">
        <f t="shared" si="13"/>
        <v>3569040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119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- 06 '!$B$1:$AS$121,36,0)</f>
        <v>26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26</v>
      </c>
      <c r="K29" s="36">
        <f t="shared" si="5"/>
        <v>3552000</v>
      </c>
      <c r="L29" s="80">
        <f t="shared" si="6"/>
        <v>390000</v>
      </c>
      <c r="M29" s="37">
        <f t="shared" si="7"/>
        <v>3942000</v>
      </c>
      <c r="N29" s="37">
        <f t="shared" si="16"/>
        <v>284160</v>
      </c>
      <c r="O29" s="37">
        <f t="shared" si="17"/>
        <v>53280</v>
      </c>
      <c r="P29" s="37">
        <f t="shared" si="18"/>
        <v>35520</v>
      </c>
      <c r="Q29" s="36">
        <f t="shared" si="19"/>
        <v>3569040</v>
      </c>
      <c r="R29" s="36">
        <f t="shared" si="12"/>
        <v>0</v>
      </c>
      <c r="S29" s="38">
        <f t="shared" si="13"/>
        <v>3569040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122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- 06 '!$B$1:$AS$121,36,0)</f>
        <v>26</v>
      </c>
      <c r="G30" s="198">
        <f t="shared" si="3"/>
        <v>3552000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26</v>
      </c>
      <c r="K30" s="36">
        <f t="shared" si="5"/>
        <v>3552000</v>
      </c>
      <c r="L30" s="80">
        <f t="shared" si="6"/>
        <v>390000</v>
      </c>
      <c r="M30" s="37">
        <f t="shared" si="7"/>
        <v>3942000</v>
      </c>
      <c r="N30" s="37">
        <f t="shared" si="16"/>
        <v>284160</v>
      </c>
      <c r="O30" s="37">
        <f t="shared" si="17"/>
        <v>53280</v>
      </c>
      <c r="P30" s="37">
        <f t="shared" si="18"/>
        <v>35520</v>
      </c>
      <c r="Q30" s="36">
        <f t="shared" si="19"/>
        <v>3569040</v>
      </c>
      <c r="R30" s="36">
        <f t="shared" si="12"/>
        <v>0</v>
      </c>
      <c r="S30" s="38">
        <f t="shared" si="13"/>
        <v>3569040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513" t="s">
        <v>25</v>
      </c>
      <c r="B31" s="513"/>
      <c r="C31" s="513"/>
      <c r="D31" s="513"/>
      <c r="E31" s="125">
        <f>SUM(E10:E30)</f>
        <v>69000000</v>
      </c>
      <c r="F31" s="125"/>
      <c r="G31" s="125">
        <f>SUM(G10:G30)</f>
        <v>69000000</v>
      </c>
      <c r="H31" s="125"/>
      <c r="I31" s="125">
        <f>SUM(I10:I30)</f>
        <v>0</v>
      </c>
      <c r="J31" s="25"/>
      <c r="K31" s="25">
        <f>SUM(K10:K30)</f>
        <v>69000000</v>
      </c>
      <c r="L31" s="25">
        <f t="shared" ref="L31:S31" si="20">SUM(L10:L30)</f>
        <v>7410000</v>
      </c>
      <c r="M31" s="25">
        <f t="shared" si="20"/>
        <v>76410000</v>
      </c>
      <c r="N31" s="25">
        <f t="shared" si="20"/>
        <v>5520000</v>
      </c>
      <c r="O31" s="25">
        <f t="shared" si="20"/>
        <v>1035000</v>
      </c>
      <c r="P31" s="25">
        <f t="shared" si="20"/>
        <v>690000</v>
      </c>
      <c r="Q31" s="25">
        <f t="shared" si="20"/>
        <v>69165000</v>
      </c>
      <c r="R31" s="25">
        <f t="shared" si="20"/>
        <v>0</v>
      </c>
      <c r="S31" s="25">
        <f t="shared" si="20"/>
        <v>69165000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30   tháng   06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413"/>
      <c r="C44" s="413"/>
      <c r="D44" s="514" t="str">
        <f>D1</f>
        <v>BẢNG THANH TOÁN LƯƠNG THÁNG 06 / 2017</v>
      </c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5"/>
      <c r="R44" s="516" t="s">
        <v>112</v>
      </c>
      <c r="S44" s="517"/>
      <c r="T44" s="518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413"/>
      <c r="C45" s="413"/>
      <c r="D45" s="413"/>
      <c r="E45" s="181"/>
      <c r="F45" s="413"/>
      <c r="G45" s="413"/>
      <c r="H45" s="413"/>
      <c r="I45" s="413"/>
      <c r="J45" s="182"/>
      <c r="K45" s="413"/>
      <c r="L45" s="413"/>
      <c r="M45" s="413"/>
      <c r="N45" s="413"/>
      <c r="O45" s="413"/>
      <c r="P45" s="413"/>
      <c r="Q45" s="413"/>
      <c r="R45" s="413"/>
      <c r="S45" s="413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413"/>
      <c r="C46" s="413"/>
      <c r="D46" s="413"/>
      <c r="E46" s="181"/>
      <c r="F46" s="413"/>
      <c r="G46" s="413"/>
      <c r="H46" s="413"/>
      <c r="I46" s="413"/>
      <c r="J46" s="182"/>
      <c r="K46" s="413"/>
      <c r="L46" s="413"/>
      <c r="M46" s="413"/>
      <c r="N46" s="413"/>
      <c r="O46" s="413"/>
      <c r="P46" s="413"/>
      <c r="Q46" s="413"/>
      <c r="R46" s="413"/>
      <c r="S46" s="413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508" t="s">
        <v>19</v>
      </c>
      <c r="B48" s="508" t="s">
        <v>20</v>
      </c>
      <c r="C48" s="510" t="s">
        <v>1</v>
      </c>
      <c r="D48" s="510" t="s">
        <v>2</v>
      </c>
      <c r="E48" s="512" t="s">
        <v>56</v>
      </c>
      <c r="F48" s="526" t="s">
        <v>26</v>
      </c>
      <c r="G48" s="532"/>
      <c r="H48" s="532"/>
      <c r="I48" s="532"/>
      <c r="J48" s="532"/>
      <c r="K48" s="527"/>
      <c r="L48" s="500" t="s">
        <v>57</v>
      </c>
      <c r="M48" s="500" t="s">
        <v>5</v>
      </c>
      <c r="N48" s="510" t="s">
        <v>6</v>
      </c>
      <c r="O48" s="510"/>
      <c r="P48" s="510"/>
      <c r="Q48" s="511" t="s">
        <v>7</v>
      </c>
      <c r="R48" s="511" t="s">
        <v>8</v>
      </c>
      <c r="S48" s="511" t="s">
        <v>9</v>
      </c>
      <c r="T48" s="524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509"/>
      <c r="B49" s="509"/>
      <c r="C49" s="510"/>
      <c r="D49" s="510"/>
      <c r="E49" s="512"/>
      <c r="F49" s="526" t="s">
        <v>59</v>
      </c>
      <c r="G49" s="527"/>
      <c r="H49" s="501" t="s">
        <v>189</v>
      </c>
      <c r="I49" s="502"/>
      <c r="J49" s="528" t="s">
        <v>27</v>
      </c>
      <c r="K49" s="511" t="s">
        <v>4</v>
      </c>
      <c r="L49" s="504"/>
      <c r="M49" s="504"/>
      <c r="N49" s="530" t="s">
        <v>12</v>
      </c>
      <c r="O49" s="511" t="s">
        <v>13</v>
      </c>
      <c r="P49" s="511" t="s">
        <v>34</v>
      </c>
      <c r="Q49" s="523"/>
      <c r="R49" s="523"/>
      <c r="S49" s="523"/>
      <c r="T49" s="525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509"/>
      <c r="B50" s="509"/>
      <c r="C50" s="511"/>
      <c r="D50" s="511"/>
      <c r="E50" s="512"/>
      <c r="F50" s="412" t="s">
        <v>40</v>
      </c>
      <c r="G50" s="414" t="s">
        <v>18</v>
      </c>
      <c r="H50" s="411" t="s">
        <v>40</v>
      </c>
      <c r="I50" s="414" t="s">
        <v>18</v>
      </c>
      <c r="J50" s="529"/>
      <c r="K50" s="523"/>
      <c r="L50" s="505"/>
      <c r="M50" s="505"/>
      <c r="N50" s="531"/>
      <c r="O50" s="523"/>
      <c r="P50" s="523"/>
      <c r="Q50" s="523"/>
      <c r="R50" s="523"/>
      <c r="S50" s="523"/>
      <c r="T50" s="525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21">VLOOKUP(B52,DS,2,0)</f>
        <v>Nguyễn Thiện Duy</v>
      </c>
      <c r="D52" s="196" t="str">
        <f t="shared" ref="D52:D60" si="22">VLOOKUP(B52,DS,3,0)</f>
        <v>Giám đốc</v>
      </c>
      <c r="E52" s="197">
        <f>VLOOKUP(B52,TH!$B$11:$E$56,4,0)</f>
        <v>10851000</v>
      </c>
      <c r="F52" s="82">
        <f>VLOOKUP($B52,'CC - 06 '!$B$9:$AS$103,36,0)</f>
        <v>22</v>
      </c>
      <c r="G52" s="198">
        <f t="shared" ref="G52:G60" si="23">ROUND(E52/$U$2*F52,0)</f>
        <v>9181615</v>
      </c>
      <c r="H52" s="82">
        <f>(VLOOKUP($B52,'CC - 02'!$B$9:$AN$97,37,0)+(VLOOKUP($B52,'CC - 02'!$B$9:$AN$97,38,0)))</f>
        <v>0</v>
      </c>
      <c r="I52" s="198">
        <f t="shared" ref="I52:I60" si="24">ROUND(E52/$U$2*H52,0)</f>
        <v>0</v>
      </c>
      <c r="J52" s="199">
        <f t="shared" ref="J52:K60" si="25">F52+H52</f>
        <v>22</v>
      </c>
      <c r="K52" s="36">
        <f t="shared" si="25"/>
        <v>9181615</v>
      </c>
      <c r="L52" s="80">
        <f>+F52*15000</f>
        <v>330000</v>
      </c>
      <c r="M52" s="200">
        <f t="shared" ref="M52:M60" si="26">K52+SUM(L52:L52)</f>
        <v>9511615</v>
      </c>
      <c r="N52" s="37">
        <f t="shared" ref="N52:N58" si="27">IF(VLOOKUP(B52,DS,10,0)="x",E52*$N$4,0)</f>
        <v>868080</v>
      </c>
      <c r="O52" s="37">
        <f t="shared" ref="O52:O58" si="28">IF(VLOOKUP(B52,DS,10,0)="x",E52*$O$4,0)</f>
        <v>162765</v>
      </c>
      <c r="P52" s="37">
        <f t="shared" ref="P52:P58" si="29">IF(VLOOKUP(B52,DS,10,0)="x",E52*$P$4,0)</f>
        <v>108510</v>
      </c>
      <c r="Q52" s="198">
        <f t="shared" ref="Q52:Q58" si="30">M52-SUM(N52:P52)</f>
        <v>8372260</v>
      </c>
      <c r="R52" s="198">
        <f t="shared" ref="R52:R60" si="31">VLOOKUP(B52,DS,23,0)</f>
        <v>0</v>
      </c>
      <c r="S52" s="201">
        <f>Q52-R52</f>
        <v>8372260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21"/>
        <v>Nguyễn Văn Sẽ</v>
      </c>
      <c r="D53" s="196" t="str">
        <f t="shared" si="22"/>
        <v>Kỹ Thuật</v>
      </c>
      <c r="E53" s="197">
        <f>VLOOKUP(B53,TH!$B$11:$E$56,4,0)</f>
        <v>4895000</v>
      </c>
      <c r="F53" s="82">
        <f>VLOOKUP($B53,'CC - 06 '!$B$9:$AS$103,36,0)</f>
        <v>26</v>
      </c>
      <c r="G53" s="198">
        <f t="shared" si="23"/>
        <v>4895000</v>
      </c>
      <c r="H53" s="82">
        <f>(VLOOKUP($B53,'CC - 02'!$B$9:$AN$97,37,0)+(VLOOKUP($B53,'CC - 02'!$B$9:$AN$97,38,0)))</f>
        <v>0</v>
      </c>
      <c r="I53" s="198">
        <f t="shared" si="24"/>
        <v>0</v>
      </c>
      <c r="J53" s="199">
        <f t="shared" si="25"/>
        <v>26</v>
      </c>
      <c r="K53" s="36">
        <f t="shared" si="25"/>
        <v>4895000</v>
      </c>
      <c r="L53" s="80">
        <f t="shared" ref="L53:L60" si="32">+F53*15000</f>
        <v>390000</v>
      </c>
      <c r="M53" s="200">
        <f t="shared" si="26"/>
        <v>5285000</v>
      </c>
      <c r="N53" s="37">
        <f t="shared" si="27"/>
        <v>391600</v>
      </c>
      <c r="O53" s="37">
        <f t="shared" si="28"/>
        <v>73425</v>
      </c>
      <c r="P53" s="37">
        <f t="shared" si="29"/>
        <v>48950</v>
      </c>
      <c r="Q53" s="198">
        <f t="shared" si="30"/>
        <v>4771025</v>
      </c>
      <c r="R53" s="198">
        <f t="shared" si="31"/>
        <v>0</v>
      </c>
      <c r="S53" s="201">
        <f t="shared" ref="S53:S60" si="33">Q53-R53</f>
        <v>4771025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21"/>
        <v>Võ Uyên Phương</v>
      </c>
      <c r="D54" s="196" t="str">
        <f t="shared" si="22"/>
        <v>Kế toán</v>
      </c>
      <c r="E54" s="197">
        <f>VLOOKUP(B54,TH!$B$11:$E$56,4,0)</f>
        <v>4895000</v>
      </c>
      <c r="F54" s="82">
        <f>VLOOKUP($B54,'CC - 06 '!$B$9:$AS$103,36,0)</f>
        <v>26</v>
      </c>
      <c r="G54" s="198">
        <f t="shared" si="23"/>
        <v>4895000</v>
      </c>
      <c r="H54" s="82">
        <f>(VLOOKUP($B54,'CC - 02'!$B$9:$AN$97,37,0)+(VLOOKUP($B54,'CC - 02'!$B$9:$AN$97,38,0)))</f>
        <v>0</v>
      </c>
      <c r="I54" s="198">
        <f t="shared" si="24"/>
        <v>0</v>
      </c>
      <c r="J54" s="199">
        <f t="shared" si="25"/>
        <v>26</v>
      </c>
      <c r="K54" s="36">
        <f t="shared" si="25"/>
        <v>4895000</v>
      </c>
      <c r="L54" s="80">
        <f t="shared" si="32"/>
        <v>390000</v>
      </c>
      <c r="M54" s="200">
        <f t="shared" si="26"/>
        <v>5285000</v>
      </c>
      <c r="N54" s="37">
        <f t="shared" si="27"/>
        <v>391600</v>
      </c>
      <c r="O54" s="37">
        <f t="shared" si="28"/>
        <v>73425</v>
      </c>
      <c r="P54" s="37">
        <f t="shared" si="29"/>
        <v>48950</v>
      </c>
      <c r="Q54" s="198">
        <f t="shared" si="30"/>
        <v>4771025</v>
      </c>
      <c r="R54" s="198">
        <f t="shared" si="31"/>
        <v>0</v>
      </c>
      <c r="S54" s="201">
        <f t="shared" si="33"/>
        <v>4771025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21"/>
        <v>Lê Nguyễn Huy Cường</v>
      </c>
      <c r="D55" s="196" t="str">
        <f t="shared" si="22"/>
        <v>XNK</v>
      </c>
      <c r="E55" s="197">
        <f>VLOOKUP(B55,TH!$B$11:$E$56,4,0)</f>
        <v>4336000</v>
      </c>
      <c r="F55" s="82">
        <f>VLOOKUP($B55,'CC - 06 '!$B$9:$AS$103,36,0)</f>
        <v>26</v>
      </c>
      <c r="G55" s="198">
        <f t="shared" si="23"/>
        <v>4336000</v>
      </c>
      <c r="H55" s="82">
        <f>(VLOOKUP($B55,'CC - 02'!$B$9:$AN$97,37,0)+(VLOOKUP($B55,'CC - 02'!$B$9:$AN$97,38,0)))</f>
        <v>0</v>
      </c>
      <c r="I55" s="198">
        <f t="shared" si="24"/>
        <v>0</v>
      </c>
      <c r="J55" s="199">
        <f t="shared" si="25"/>
        <v>26</v>
      </c>
      <c r="K55" s="36">
        <f t="shared" si="25"/>
        <v>4336000</v>
      </c>
      <c r="L55" s="80">
        <f t="shared" si="32"/>
        <v>390000</v>
      </c>
      <c r="M55" s="200">
        <f t="shared" si="26"/>
        <v>4726000</v>
      </c>
      <c r="N55" s="37">
        <f t="shared" si="27"/>
        <v>346880</v>
      </c>
      <c r="O55" s="37">
        <f t="shared" si="28"/>
        <v>65040</v>
      </c>
      <c r="P55" s="37">
        <f t="shared" si="29"/>
        <v>43360</v>
      </c>
      <c r="Q55" s="198">
        <f t="shared" si="30"/>
        <v>4270720</v>
      </c>
      <c r="R55" s="198">
        <f t="shared" si="31"/>
        <v>0</v>
      </c>
      <c r="S55" s="201">
        <f t="shared" si="33"/>
        <v>4270720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21"/>
        <v>Nguyễn Văn Bé Tư</v>
      </c>
      <c r="D56" s="196" t="str">
        <f t="shared" si="22"/>
        <v>Tài xế</v>
      </c>
      <c r="E56" s="197">
        <f>VLOOKUP(B56,TH!$B$11:$E$56,4,0)</f>
        <v>3776000</v>
      </c>
      <c r="F56" s="82">
        <f>VLOOKUP($B56,'CC - 06 '!$B$9:$AS$103,36,0)</f>
        <v>26</v>
      </c>
      <c r="G56" s="198">
        <f t="shared" si="23"/>
        <v>3776000</v>
      </c>
      <c r="H56" s="82">
        <f>(VLOOKUP($B56,'CC - 02'!$B$9:$AN$97,37,0)+(VLOOKUP($B56,'CC - 02'!$B$9:$AN$97,38,0)))</f>
        <v>0</v>
      </c>
      <c r="I56" s="198">
        <f t="shared" si="24"/>
        <v>0</v>
      </c>
      <c r="J56" s="199">
        <f t="shared" si="25"/>
        <v>26</v>
      </c>
      <c r="K56" s="36">
        <f t="shared" si="25"/>
        <v>3776000</v>
      </c>
      <c r="L56" s="80">
        <f t="shared" si="32"/>
        <v>390000</v>
      </c>
      <c r="M56" s="200">
        <f t="shared" si="26"/>
        <v>4166000</v>
      </c>
      <c r="N56" s="37">
        <f t="shared" si="27"/>
        <v>302080</v>
      </c>
      <c r="O56" s="37">
        <f t="shared" si="28"/>
        <v>56640</v>
      </c>
      <c r="P56" s="37">
        <f t="shared" si="29"/>
        <v>37760</v>
      </c>
      <c r="Q56" s="198">
        <f t="shared" si="30"/>
        <v>3769520</v>
      </c>
      <c r="R56" s="198">
        <f t="shared" si="31"/>
        <v>0</v>
      </c>
      <c r="S56" s="201">
        <f t="shared" si="33"/>
        <v>3769520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21"/>
        <v>Dương Thanh Tuấn</v>
      </c>
      <c r="D57" s="196" t="str">
        <f t="shared" si="22"/>
        <v>Nhân sự</v>
      </c>
      <c r="E57" s="197">
        <f>VLOOKUP(B57,TH!$B$11:$E$56,4,0)</f>
        <v>4056000</v>
      </c>
      <c r="F57" s="82">
        <f>VLOOKUP($B57,'CC - 06 '!$B$9:$AS$103,36,0)</f>
        <v>26</v>
      </c>
      <c r="G57" s="198">
        <f t="shared" si="23"/>
        <v>4056000</v>
      </c>
      <c r="H57" s="82">
        <f>(VLOOKUP($B57,'CC - 02'!$B$9:$AN$97,37,0)+(VLOOKUP($B57,'CC - 02'!$B$9:$AN$97,38,0)))</f>
        <v>0</v>
      </c>
      <c r="I57" s="198">
        <f t="shared" si="24"/>
        <v>0</v>
      </c>
      <c r="J57" s="199">
        <f t="shared" si="25"/>
        <v>26</v>
      </c>
      <c r="K57" s="36">
        <f t="shared" si="25"/>
        <v>4056000</v>
      </c>
      <c r="L57" s="80">
        <f t="shared" si="32"/>
        <v>390000</v>
      </c>
      <c r="M57" s="200">
        <f t="shared" si="26"/>
        <v>4446000</v>
      </c>
      <c r="N57" s="37">
        <f t="shared" si="27"/>
        <v>324480</v>
      </c>
      <c r="O57" s="37">
        <f t="shared" si="28"/>
        <v>60840</v>
      </c>
      <c r="P57" s="37">
        <f t="shared" si="29"/>
        <v>40560</v>
      </c>
      <c r="Q57" s="198">
        <f t="shared" si="30"/>
        <v>4020120</v>
      </c>
      <c r="R57" s="198">
        <f t="shared" si="31"/>
        <v>0</v>
      </c>
      <c r="S57" s="201">
        <f t="shared" si="33"/>
        <v>4020120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21"/>
        <v>Nguyễn Thiện Duyệt</v>
      </c>
      <c r="D58" s="196" t="str">
        <f t="shared" si="22"/>
        <v>XNK</v>
      </c>
      <c r="E58" s="197">
        <f>VLOOKUP(B58,TH!$B$11:$E$56,4,0)</f>
        <v>4840000</v>
      </c>
      <c r="F58" s="82">
        <f>VLOOKUP($B58,'CC - 06 '!$B$9:$AS$103,36,0)</f>
        <v>26</v>
      </c>
      <c r="G58" s="198">
        <f t="shared" si="23"/>
        <v>4840000</v>
      </c>
      <c r="H58" s="82">
        <f>(VLOOKUP($B58,'CC - 02'!$B$9:$AN$97,37,0)+(VLOOKUP($B58,'CC - 02'!$B$9:$AN$97,38,0)))</f>
        <v>0</v>
      </c>
      <c r="I58" s="198">
        <f t="shared" si="24"/>
        <v>0</v>
      </c>
      <c r="J58" s="199">
        <f t="shared" si="25"/>
        <v>26</v>
      </c>
      <c r="K58" s="36">
        <f t="shared" si="25"/>
        <v>4840000</v>
      </c>
      <c r="L58" s="80">
        <f t="shared" si="32"/>
        <v>390000</v>
      </c>
      <c r="M58" s="200">
        <f t="shared" si="26"/>
        <v>5230000</v>
      </c>
      <c r="N58" s="37">
        <f t="shared" si="27"/>
        <v>387200</v>
      </c>
      <c r="O58" s="37">
        <f t="shared" si="28"/>
        <v>72600</v>
      </c>
      <c r="P58" s="37">
        <f t="shared" si="29"/>
        <v>48400</v>
      </c>
      <c r="Q58" s="198">
        <f t="shared" si="30"/>
        <v>4721800</v>
      </c>
      <c r="R58" s="198">
        <f t="shared" si="31"/>
        <v>0</v>
      </c>
      <c r="S58" s="201">
        <f t="shared" si="33"/>
        <v>4721800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208</v>
      </c>
      <c r="C59" s="195" t="s">
        <v>203</v>
      </c>
      <c r="D59" s="196" t="str">
        <f t="shared" si="22"/>
        <v>Kế toán</v>
      </c>
      <c r="E59" s="197">
        <f>VLOOKUP(B59,TH!$B$11:$E$56,4,0)</f>
        <v>4362000</v>
      </c>
      <c r="F59" s="82">
        <f>VLOOKUP($B59,'CC - 06 '!$B$9:$AS$103,36,0)</f>
        <v>26</v>
      </c>
      <c r="G59" s="198">
        <f t="shared" si="23"/>
        <v>4362000</v>
      </c>
      <c r="H59" s="82">
        <f>(VLOOKUP($B59,'CC - 03'!$B$9:$AN$94,37,0)+(VLOOKUP($B59,'CC - 03'!$B$9:$AN$94,38,0)))</f>
        <v>0</v>
      </c>
      <c r="I59" s="198">
        <f t="shared" si="24"/>
        <v>0</v>
      </c>
      <c r="J59" s="199">
        <f t="shared" si="25"/>
        <v>26</v>
      </c>
      <c r="K59" s="36">
        <f t="shared" si="25"/>
        <v>4362000</v>
      </c>
      <c r="L59" s="80">
        <f t="shared" si="32"/>
        <v>390000</v>
      </c>
      <c r="M59" s="200">
        <f t="shared" si="26"/>
        <v>4752000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:Q60" si="34">M59-SUM(N59:P59)</f>
        <v>4293990</v>
      </c>
      <c r="R59" s="198">
        <f t="shared" si="31"/>
        <v>0</v>
      </c>
      <c r="S59" s="201">
        <f t="shared" si="33"/>
        <v>4293990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207</v>
      </c>
      <c r="C60" s="195" t="s">
        <v>204</v>
      </c>
      <c r="D60" s="196" t="str">
        <f t="shared" si="22"/>
        <v>Kế toán</v>
      </c>
      <c r="E60" s="197">
        <f>VLOOKUP(B60,TH!$B$11:$E$56,4,0)</f>
        <v>4362000</v>
      </c>
      <c r="F60" s="82">
        <f>VLOOKUP($B60,'CC - 06 '!$B$9:$AS$103,36,0)</f>
        <v>26</v>
      </c>
      <c r="G60" s="198">
        <f t="shared" si="23"/>
        <v>4362000</v>
      </c>
      <c r="H60" s="82">
        <f>(VLOOKUP($B60,'CC - 03'!$B$9:$AN$94,37,0)+(VLOOKUP($B60,'CC - 03'!$B$9:$AN$94,38,0)))</f>
        <v>0</v>
      </c>
      <c r="I60" s="198">
        <f t="shared" si="24"/>
        <v>0</v>
      </c>
      <c r="J60" s="199">
        <f t="shared" si="25"/>
        <v>26</v>
      </c>
      <c r="K60" s="36">
        <f t="shared" si="25"/>
        <v>4362000</v>
      </c>
      <c r="L60" s="80">
        <f t="shared" si="32"/>
        <v>390000</v>
      </c>
      <c r="M60" s="200">
        <f t="shared" si="26"/>
        <v>4752000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si="34"/>
        <v>4293990</v>
      </c>
      <c r="R60" s="198">
        <f t="shared" si="31"/>
        <v>0</v>
      </c>
      <c r="S60" s="201">
        <f t="shared" si="33"/>
        <v>4293990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521" t="s">
        <v>25</v>
      </c>
      <c r="B61" s="522"/>
      <c r="C61" s="522"/>
      <c r="D61" s="522"/>
      <c r="E61" s="205">
        <f>SUM(E52:E60)</f>
        <v>46373000</v>
      </c>
      <c r="F61" s="205"/>
      <c r="G61" s="205">
        <f t="shared" ref="G61:S61" si="35">SUM(G52:G60)</f>
        <v>44703615</v>
      </c>
      <c r="H61" s="205">
        <f t="shared" si="35"/>
        <v>0</v>
      </c>
      <c r="I61" s="205">
        <f t="shared" si="35"/>
        <v>0</v>
      </c>
      <c r="J61" s="205">
        <f t="shared" si="35"/>
        <v>230</v>
      </c>
      <c r="K61" s="206">
        <f t="shared" si="35"/>
        <v>44703615</v>
      </c>
      <c r="L61" s="206">
        <f t="shared" si="35"/>
        <v>3450000</v>
      </c>
      <c r="M61" s="206">
        <f t="shared" si="35"/>
        <v>48153615</v>
      </c>
      <c r="N61" s="206">
        <f t="shared" si="35"/>
        <v>3709840</v>
      </c>
      <c r="O61" s="206">
        <f t="shared" si="35"/>
        <v>695595</v>
      </c>
      <c r="P61" s="206">
        <f t="shared" si="35"/>
        <v>463730</v>
      </c>
      <c r="Q61" s="206">
        <f t="shared" si="35"/>
        <v>43284450</v>
      </c>
      <c r="R61" s="206">
        <f t="shared" si="35"/>
        <v>0</v>
      </c>
      <c r="S61" s="206">
        <f t="shared" si="35"/>
        <v>43284450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30   tháng   06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B26:C26"/>
    <mergeCell ref="A31:D31"/>
    <mergeCell ref="D44:Q44"/>
    <mergeCell ref="F6:G6"/>
    <mergeCell ref="H6:I6"/>
    <mergeCell ref="J6:J7"/>
    <mergeCell ref="K6:K7"/>
    <mergeCell ref="B48:B50"/>
    <mergeCell ref="C48:C50"/>
    <mergeCell ref="D48:D50"/>
    <mergeCell ref="E48:E50"/>
    <mergeCell ref="F48:K48"/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 </vt:lpstr>
      <vt:lpstr>L - 06</vt:lpstr>
      <vt:lpstr>Sheet2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 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2017-06-10T02:13:10Z</cp:lastPrinted>
  <dcterms:created xsi:type="dcterms:W3CDTF">2011-06-27T04:19:15Z</dcterms:created>
  <dcterms:modified xsi:type="dcterms:W3CDTF">2017-06-20T06:49:32Z</dcterms:modified>
</cp:coreProperties>
</file>