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685" windowWidth="21840" windowHeight="7395"/>
  </bookViews>
  <sheets>
    <sheet name="PVCOMBANK" sheetId="30" r:id="rId1"/>
    <sheet name="VPBANK - 2018" sheetId="29" r:id="rId2"/>
    <sheet name="VPBANK - TV" sheetId="32" r:id="rId3"/>
  </sheet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hidden="1">#REF!</definedName>
    <definedName name="_xlnm._FilterDatabase" localSheetId="0" hidden="1">PVCOMBANK!$A$3:$S$19</definedName>
    <definedName name="_xlnm.Print_Area" localSheetId="1">'VPBANK - 2018'!$A$16:$M$32</definedName>
    <definedName name="_xlnm.Print_Area" localSheetId="2">'VPBANK - TV'!#REF!</definedName>
  </definedNames>
  <calcPr calcId="144525"/>
</workbook>
</file>

<file path=xl/calcChain.xml><?xml version="1.0" encoding="utf-8"?>
<calcChain xmlns="http://schemas.openxmlformats.org/spreadsheetml/2006/main">
  <c r="P10" i="30" l="1"/>
  <c r="O10" i="30"/>
  <c r="L10" i="30"/>
  <c r="A10" i="30"/>
  <c r="J20" i="29" l="1"/>
  <c r="U27" i="29"/>
  <c r="S27" i="29"/>
  <c r="W26" i="29"/>
  <c r="T26" i="29"/>
  <c r="V26" i="29" s="1"/>
  <c r="W25" i="29"/>
  <c r="T25" i="29"/>
  <c r="V25" i="29" s="1"/>
  <c r="W24" i="29"/>
  <c r="T24" i="29"/>
  <c r="V24" i="29" s="1"/>
  <c r="R23" i="29"/>
  <c r="T23" i="29" s="1"/>
  <c r="R22" i="29"/>
  <c r="T22" i="29" s="1"/>
  <c r="R21" i="29"/>
  <c r="T21" i="29" s="1"/>
  <c r="R20" i="29"/>
  <c r="T20" i="29" s="1"/>
  <c r="P15" i="32"/>
  <c r="K13" i="32"/>
  <c r="P13" i="32"/>
  <c r="W22" i="29" l="1"/>
  <c r="V22" i="29"/>
  <c r="W23" i="29"/>
  <c r="V23" i="29"/>
  <c r="W20" i="29"/>
  <c r="V20" i="29"/>
  <c r="T27" i="29"/>
  <c r="W21" i="29"/>
  <c r="V21" i="29"/>
  <c r="F13" i="32"/>
  <c r="J22" i="29"/>
  <c r="L22" i="29"/>
  <c r="L21" i="29"/>
  <c r="J21" i="29"/>
  <c r="V27" i="29" l="1"/>
  <c r="W27" i="29"/>
  <c r="L29" i="29"/>
  <c r="J29" i="29"/>
  <c r="F31" i="29" l="1"/>
  <c r="L28" i="29"/>
  <c r="J28" i="29"/>
  <c r="K27" i="29"/>
  <c r="K31" i="29" s="1"/>
  <c r="J27" i="29"/>
  <c r="L26" i="29"/>
  <c r="J26" i="29"/>
  <c r="L25" i="29"/>
  <c r="J25" i="29"/>
  <c r="L24" i="29"/>
  <c r="J24" i="29"/>
  <c r="E24" i="29"/>
  <c r="L23" i="29"/>
  <c r="J23" i="29"/>
  <c r="E23" i="29"/>
  <c r="L20" i="29"/>
  <c r="E20" i="29"/>
  <c r="K10" i="29"/>
  <c r="L27" i="29" l="1"/>
  <c r="L31" i="29"/>
  <c r="J31" i="29"/>
  <c r="E31" i="29"/>
  <c r="J5" i="29"/>
  <c r="L8" i="29"/>
  <c r="J8" i="29"/>
  <c r="N41" i="29" l="1"/>
  <c r="K13" i="29"/>
  <c r="F13" i="29"/>
  <c r="L11" i="29"/>
  <c r="J11" i="29"/>
  <c r="L10" i="29"/>
  <c r="J10" i="29"/>
  <c r="L9" i="29"/>
  <c r="J9" i="29"/>
  <c r="L7" i="29"/>
  <c r="J7" i="29"/>
  <c r="E7" i="29"/>
  <c r="L6" i="29"/>
  <c r="J6" i="29"/>
  <c r="E6" i="29"/>
  <c r="L5" i="29"/>
  <c r="E5" i="29"/>
  <c r="R6" i="29"/>
  <c r="T6" i="29" s="1"/>
  <c r="W6" i="29" s="1"/>
  <c r="R7" i="29"/>
  <c r="T7" i="29" s="1"/>
  <c r="W7" i="29" s="1"/>
  <c r="R8" i="29"/>
  <c r="T8" i="29" s="1"/>
  <c r="W8" i="29" s="1"/>
  <c r="R5" i="29"/>
  <c r="T5" i="29" s="1"/>
  <c r="W5" i="29" s="1"/>
  <c r="J13" i="29" l="1"/>
  <c r="L13" i="29"/>
  <c r="E13" i="29"/>
  <c r="P5" i="30"/>
  <c r="P6" i="30"/>
  <c r="P7" i="30"/>
  <c r="P8" i="30"/>
  <c r="P9" i="30"/>
  <c r="P11" i="30"/>
  <c r="N11" i="30" s="1"/>
  <c r="N19" i="30" s="1"/>
  <c r="P12" i="30"/>
  <c r="P13" i="30"/>
  <c r="P14" i="30"/>
  <c r="P15" i="30"/>
  <c r="P16" i="30"/>
  <c r="P17" i="30"/>
  <c r="P4" i="30"/>
  <c r="O4" i="30"/>
  <c r="O5" i="30"/>
  <c r="O6" i="30"/>
  <c r="O7" i="30"/>
  <c r="O8" i="30"/>
  <c r="O9" i="30"/>
  <c r="L5" i="30"/>
  <c r="L6" i="30"/>
  <c r="L7" i="30"/>
  <c r="L8" i="30"/>
  <c r="L9" i="30"/>
  <c r="L11" i="30"/>
  <c r="L12" i="30"/>
  <c r="L13" i="30"/>
  <c r="L14" i="30"/>
  <c r="L15" i="30"/>
  <c r="L16" i="30"/>
  <c r="L17" i="30"/>
  <c r="L4" i="30"/>
  <c r="F19" i="30"/>
  <c r="M19" i="30"/>
  <c r="K19" i="30"/>
  <c r="J19" i="30"/>
  <c r="I19" i="30"/>
  <c r="G19" i="30"/>
  <c r="E19" i="30"/>
  <c r="O17" i="30"/>
  <c r="A17" i="30"/>
  <c r="O16" i="30"/>
  <c r="A16" i="30"/>
  <c r="O15" i="30"/>
  <c r="A15" i="30"/>
  <c r="O14" i="30"/>
  <c r="A14" i="30"/>
  <c r="O13" i="30"/>
  <c r="A13" i="30"/>
  <c r="O12" i="30"/>
  <c r="A12" i="30"/>
  <c r="O11" i="30"/>
  <c r="A11" i="30"/>
  <c r="A9" i="30"/>
  <c r="A8" i="30"/>
  <c r="A7" i="30"/>
  <c r="A6" i="30"/>
  <c r="A5" i="30"/>
  <c r="A4" i="30"/>
  <c r="L19" i="30" l="1"/>
  <c r="O19" i="30"/>
  <c r="P19" i="30"/>
  <c r="W9" i="29" l="1"/>
  <c r="W10" i="29"/>
  <c r="W11" i="29"/>
  <c r="V6" i="29"/>
  <c r="V7" i="29"/>
  <c r="V8" i="29"/>
  <c r="T9" i="29"/>
  <c r="V9" i="29" s="1"/>
  <c r="T10" i="29"/>
  <c r="V10" i="29" s="1"/>
  <c r="T11" i="29"/>
  <c r="V11" i="29" s="1"/>
  <c r="V5" i="29"/>
  <c r="U12" i="29"/>
  <c r="S12" i="29"/>
  <c r="V12" i="29" l="1"/>
  <c r="W12" i="29"/>
  <c r="T12" i="29"/>
</calcChain>
</file>

<file path=xl/sharedStrings.xml><?xml version="1.0" encoding="utf-8"?>
<sst xmlns="http://schemas.openxmlformats.org/spreadsheetml/2006/main" count="160" uniqueCount="73">
  <si>
    <t>USD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</si>
  <si>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</si>
  <si>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</si>
  <si>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</si>
  <si>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</si>
  <si>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</si>
  <si>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</si>
  <si>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</si>
  <si>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</si>
  <si>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</si>
  <si>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</si>
  <si>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</si>
  <si>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</si>
  <si>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</si>
  <si>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</si>
  <si>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</si>
  <si>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</si>
  <si>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</si>
  <si>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</si>
  <si>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Tỷ giá</t>
  </si>
  <si>
    <t>TC: PVcombank - LA</t>
  </si>
  <si>
    <t>PVCombank</t>
  </si>
  <si>
    <t>ZhouHan</t>
  </si>
  <si>
    <t>STT</t>
  </si>
  <si>
    <t>VAY CCTG</t>
  </si>
  <si>
    <t>NGÀY GỬI</t>
  </si>
  <si>
    <t>SỐ TIỀN</t>
  </si>
  <si>
    <t>CHỨNG CHỈ TIỀN GỬI</t>
  </si>
  <si>
    <t>NGÀY VAY</t>
  </si>
  <si>
    <t>TỔNG CỘNG</t>
  </si>
  <si>
    <t>GHI CHÚ</t>
  </si>
  <si>
    <t>NGÀY ĐẾN HẠN</t>
  </si>
  <si>
    <t>LÃI XUẤT</t>
  </si>
  <si>
    <t>Trả lãi sau</t>
  </si>
  <si>
    <t>Trả lãi trước</t>
  </si>
  <si>
    <t>TIỀN LÃI 6T</t>
  </si>
  <si>
    <t>LD1733206701</t>
  </si>
  <si>
    <t>LD1733800695</t>
  </si>
  <si>
    <t>TIỀN VAY</t>
  </si>
  <si>
    <t>ĐẾN HẠN</t>
  </si>
  <si>
    <t>VAY TÍN CHẤP</t>
  </si>
  <si>
    <t>GỐC ĐẦU KÌ</t>
  </si>
  <si>
    <t>GỐC CUỐI KÌ</t>
  </si>
  <si>
    <t>TRẢ GỐC</t>
  </si>
  <si>
    <t>LÃI VAY</t>
  </si>
  <si>
    <t>CHI TIẾT THÁNG</t>
  </si>
  <si>
    <t>NGÀY TRẢ : 26 HÀNG THÁNG</t>
  </si>
  <si>
    <t>NGÀY TRẢ : 23 HÀNG THÁNG</t>
  </si>
  <si>
    <t>LD1735654094</t>
  </si>
  <si>
    <t>LD1800565098</t>
  </si>
  <si>
    <t>LD1801518698</t>
  </si>
  <si>
    <t>LD1803004548</t>
  </si>
  <si>
    <t>số tháng</t>
  </si>
  <si>
    <t>Tháng 03/2018:</t>
  </si>
  <si>
    <t>Tháng 04/2018:</t>
  </si>
  <si>
    <t>VAY NGẮN HẠN</t>
  </si>
  <si>
    <t>SỐ KU</t>
  </si>
  <si>
    <t>LD1809400699</t>
  </si>
  <si>
    <t>VAY TRUNG HẠN</t>
  </si>
  <si>
    <t>NGÀY TRẢ</t>
  </si>
  <si>
    <t>LD1811701953</t>
  </si>
  <si>
    <t>LD1810201287</t>
  </si>
  <si>
    <t>CÒN LẠI:</t>
  </si>
  <si>
    <t>Tháng 05/2018:</t>
  </si>
  <si>
    <t>TIỀN LÃI</t>
  </si>
  <si>
    <t>LD1734778206</t>
  </si>
  <si>
    <t>LD1806711089</t>
  </si>
  <si>
    <t>LD1808000759</t>
  </si>
  <si>
    <t>LD1810274419</t>
  </si>
  <si>
    <t>LD1811358713</t>
  </si>
  <si>
    <t>LD1811383275</t>
  </si>
  <si>
    <t>LD1813057860</t>
  </si>
  <si>
    <t>LD1813110451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</si>
</sst>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3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3" fontId="23" fillId="3" borderId="1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3" fillId="3" borderId="1">
      <alignment horizontal="centerContinuous" vertical="center" wrapText="1"/>
    </xf>
    <xf numFmtId="3" fontId="23" fillId="3" borderId="1">
      <alignment horizontal="center" vertical="center" wrapText="1"/>
    </xf>
    <xf numFmtId="2" fontId="1" fillId="0" borderId="0" applyFont="0" applyFill="0" applyBorder="0" applyAlignment="0" applyProtection="0"/>
    <xf numFmtId="0" fontId="25" fillId="0" borderId="9" applyNumberFormat="0" applyAlignment="0" applyProtection="0">
      <alignment horizontal="left" vertical="center"/>
    </xf>
    <xf numFmtId="0" fontId="25" fillId="0" borderId="4">
      <alignment horizontal="left" vertical="center"/>
    </xf>
    <xf numFmtId="3" fontId="23" fillId="0" borderId="10"/>
    <xf numFmtId="3" fontId="26" fillId="0" borderId="11"/>
    <xf numFmtId="3" fontId="23" fillId="0" borderId="1">
      <alignment horizontal="center" vertical="center" wrapText="1"/>
    </xf>
    <xf numFmtId="3" fontId="23" fillId="0" borderId="1">
      <alignment horizontal="centerContinuous" vertical="center"/>
    </xf>
    <xf numFmtId="165" fontId="27" fillId="0" borderId="8"/>
    <xf numFmtId="0" fontId="20" fillId="0" borderId="0"/>
    <xf numFmtId="0" fontId="2" fillId="0" borderId="0"/>
    <xf numFmtId="0" fontId="28" fillId="0" borderId="0">
      <alignment horizontal="centerContinuous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30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0" fontId="32" fillId="0" borderId="0"/>
    <xf numFmtId="0" fontId="33" fillId="0" borderId="0"/>
  </cellStyleXfs>
  <cellXfs count="127">
    <xf numFmtId="0" fontId="0" fillId="0" borderId="0" xfId="0"/>
    <xf numFmtId="0" fontId="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vertical="center"/>
    </xf>
    <xf numFmtId="14" fontId="6" fillId="2" borderId="0" xfId="3" applyNumberFormat="1" applyFont="1" applyFill="1" applyAlignment="1">
      <alignment horizontal="center" vertical="center"/>
    </xf>
    <xf numFmtId="14" fontId="5" fillId="2" borderId="0" xfId="3" applyNumberFormat="1" applyFont="1" applyFill="1" applyAlignment="1">
      <alignment horizontal="center" vertical="center"/>
    </xf>
    <xf numFmtId="164" fontId="5" fillId="2" borderId="0" xfId="4" applyNumberFormat="1" applyFont="1" applyFill="1" applyAlignment="1">
      <alignment vertical="center"/>
    </xf>
    <xf numFmtId="43" fontId="5" fillId="2" borderId="0" xfId="4" applyFont="1" applyFill="1" applyAlignment="1">
      <alignment vertical="center"/>
    </xf>
    <xf numFmtId="14" fontId="7" fillId="2" borderId="0" xfId="4" applyNumberFormat="1" applyFont="1" applyFill="1" applyAlignment="1">
      <alignment horizontal="center" vertical="center"/>
    </xf>
    <xf numFmtId="164" fontId="7" fillId="2" borderId="0" xfId="4" applyNumberFormat="1" applyFont="1" applyFill="1" applyAlignment="1">
      <alignment vertical="center"/>
    </xf>
    <xf numFmtId="14" fontId="8" fillId="2" borderId="5" xfId="3" applyNumberFormat="1" applyFont="1" applyFill="1" applyBorder="1" applyAlignment="1">
      <alignment horizontal="center"/>
    </xf>
    <xf numFmtId="0" fontId="9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0" fillId="2" borderId="0" xfId="3" applyFont="1" applyFill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 wrapText="1"/>
    </xf>
    <xf numFmtId="164" fontId="10" fillId="2" borderId="1" xfId="4" applyNumberFormat="1" applyFont="1" applyFill="1" applyBorder="1" applyAlignment="1">
      <alignment horizontal="center" vertical="center" wrapText="1"/>
    </xf>
    <xf numFmtId="43" fontId="10" fillId="2" borderId="1" xfId="4" applyFont="1" applyFill="1" applyBorder="1" applyAlignment="1">
      <alignment horizontal="center" vertical="center"/>
    </xf>
    <xf numFmtId="14" fontId="13" fillId="2" borderId="1" xfId="4" applyNumberFormat="1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14" fontId="14" fillId="2" borderId="3" xfId="3" applyNumberFormat="1" applyFont="1" applyFill="1" applyBorder="1" applyAlignment="1">
      <alignment horizontal="center" vertical="center" wrapText="1"/>
    </xf>
    <xf numFmtId="43" fontId="14" fillId="2" borderId="3" xfId="4" applyFont="1" applyFill="1" applyBorder="1" applyAlignment="1">
      <alignment vertical="center"/>
    </xf>
    <xf numFmtId="43" fontId="15" fillId="2" borderId="3" xfId="4" applyFont="1" applyFill="1" applyBorder="1" applyAlignment="1">
      <alignment vertical="center"/>
    </xf>
    <xf numFmtId="43" fontId="14" fillId="2" borderId="0" xfId="4" applyFont="1" applyFill="1" applyBorder="1" applyAlignment="1">
      <alignment vertical="center"/>
    </xf>
    <xf numFmtId="49" fontId="14" fillId="2" borderId="2" xfId="4" applyNumberFormat="1" applyFont="1" applyFill="1" applyBorder="1" applyAlignment="1">
      <alignment vertical="center"/>
    </xf>
    <xf numFmtId="14" fontId="14" fillId="2" borderId="2" xfId="3" applyNumberFormat="1" applyFont="1" applyFill="1" applyBorder="1" applyAlignment="1">
      <alignment horizontal="center" vertical="center" wrapText="1"/>
    </xf>
    <xf numFmtId="43" fontId="14" fillId="2" borderId="2" xfId="4" applyFont="1" applyFill="1" applyBorder="1" applyAlignment="1">
      <alignment vertical="center"/>
    </xf>
    <xf numFmtId="164" fontId="14" fillId="2" borderId="2" xfId="4" applyNumberFormat="1" applyFont="1" applyFill="1" applyBorder="1" applyAlignment="1">
      <alignment vertical="center"/>
    </xf>
    <xf numFmtId="43" fontId="15" fillId="2" borderId="2" xfId="4" applyFont="1" applyFill="1" applyBorder="1" applyAlignment="1">
      <alignment vertical="center"/>
    </xf>
    <xf numFmtId="14" fontId="16" fillId="2" borderId="1" xfId="3" applyNumberFormat="1" applyFont="1" applyFill="1" applyBorder="1" applyAlignment="1">
      <alignment horizontal="center" vertical="center" wrapText="1"/>
    </xf>
    <xf numFmtId="164" fontId="17" fillId="2" borderId="1" xfId="4" applyNumberFormat="1" applyFont="1" applyFill="1" applyBorder="1" applyAlignment="1">
      <alignment vertical="center"/>
    </xf>
    <xf numFmtId="43" fontId="17" fillId="2" borderId="1" xfId="4" applyFont="1" applyFill="1" applyBorder="1" applyAlignment="1">
      <alignment vertical="center"/>
    </xf>
    <xf numFmtId="43" fontId="17" fillId="2" borderId="1" xfId="4" applyFont="1" applyFill="1" applyBorder="1" applyAlignment="1">
      <alignment horizontal="center" vertical="center"/>
    </xf>
    <xf numFmtId="0" fontId="15" fillId="2" borderId="3" xfId="4" applyNumberFormat="1" applyFont="1" applyFill="1" applyBorder="1" applyAlignment="1">
      <alignment horizontal="center" vertical="center"/>
    </xf>
    <xf numFmtId="43" fontId="15" fillId="2" borderId="2" xfId="4" applyFont="1" applyFill="1" applyBorder="1" applyAlignment="1">
      <alignment horizontal="center" vertical="center"/>
    </xf>
    <xf numFmtId="14" fontId="14" fillId="2" borderId="7" xfId="3" applyNumberFormat="1" applyFont="1" applyFill="1" applyBorder="1" applyAlignment="1">
      <alignment horizontal="center" vertical="center" wrapText="1"/>
    </xf>
    <xf numFmtId="43" fontId="14" fillId="2" borderId="7" xfId="4" applyFont="1" applyFill="1" applyBorder="1" applyAlignment="1">
      <alignment vertical="center"/>
    </xf>
    <xf numFmtId="164" fontId="14" fillId="2" borderId="7" xfId="4" applyNumberFormat="1" applyFont="1" applyFill="1" applyBorder="1" applyAlignment="1">
      <alignment vertical="center"/>
    </xf>
    <xf numFmtId="14" fontId="17" fillId="2" borderId="1" xfId="4" applyNumberFormat="1" applyFont="1" applyFill="1" applyBorder="1" applyAlignment="1">
      <alignment horizontal="center" vertical="center"/>
    </xf>
    <xf numFmtId="43" fontId="18" fillId="2" borderId="1" xfId="4" applyFont="1" applyFill="1" applyBorder="1" applyAlignment="1">
      <alignment vertical="center"/>
    </xf>
    <xf numFmtId="43" fontId="18" fillId="2" borderId="1" xfId="4" applyFont="1" applyFill="1" applyBorder="1" applyAlignment="1">
      <alignment horizontal="center" vertical="center"/>
    </xf>
    <xf numFmtId="43" fontId="19" fillId="2" borderId="0" xfId="4" applyFont="1" applyFill="1" applyAlignment="1">
      <alignment vertical="center"/>
    </xf>
    <xf numFmtId="0" fontId="20" fillId="2" borderId="0" xfId="3" applyFont="1" applyFill="1" applyAlignment="1">
      <alignment horizontal="center"/>
    </xf>
    <xf numFmtId="0" fontId="20" fillId="2" borderId="0" xfId="3" applyFont="1" applyFill="1"/>
    <xf numFmtId="14" fontId="20" fillId="2" borderId="0" xfId="3" applyNumberFormat="1" applyFont="1" applyFill="1" applyAlignment="1">
      <alignment horizontal="center"/>
    </xf>
    <xf numFmtId="164" fontId="20" fillId="2" borderId="0" xfId="4" applyNumberFormat="1" applyFont="1" applyFill="1"/>
    <xf numFmtId="43" fontId="20" fillId="2" borderId="0" xfId="3" applyNumberFormat="1" applyFont="1" applyFill="1"/>
    <xf numFmtId="14" fontId="21" fillId="2" borderId="0" xfId="4" applyNumberFormat="1" applyFont="1" applyFill="1" applyAlignment="1">
      <alignment horizontal="center"/>
    </xf>
    <xf numFmtId="164" fontId="21" fillId="2" borderId="0" xfId="4" applyNumberFormat="1" applyFont="1" applyFill="1"/>
    <xf numFmtId="43" fontId="20" fillId="2" borderId="0" xfId="4" applyFont="1" applyFill="1"/>
    <xf numFmtId="164" fontId="22" fillId="2" borderId="0" xfId="4" applyNumberFormat="1" applyFont="1" applyFill="1"/>
    <xf numFmtId="0" fontId="22" fillId="2" borderId="0" xfId="3" applyFont="1" applyFill="1"/>
    <xf numFmtId="0" fontId="22" fillId="2" borderId="0" xfId="3" applyFont="1" applyFill="1" applyAlignment="1">
      <alignment horizontal="center"/>
    </xf>
    <xf numFmtId="43" fontId="22" fillId="2" borderId="0" xfId="4" applyFont="1" applyFill="1"/>
    <xf numFmtId="164" fontId="3" fillId="2" borderId="1" xfId="4" applyNumberFormat="1" applyFont="1" applyFill="1" applyBorder="1" applyAlignment="1">
      <alignment horizontal="center" vertical="center" wrapText="1"/>
    </xf>
    <xf numFmtId="172" fontId="14" fillId="2" borderId="2" xfId="4" applyNumberFormat="1" applyFont="1" applyFill="1" applyBorder="1" applyAlignment="1">
      <alignment horizontal="center" vertical="center"/>
    </xf>
    <xf numFmtId="14" fontId="14" fillId="2" borderId="0" xfId="4" applyNumberFormat="1" applyFont="1" applyFill="1" applyBorder="1" applyAlignment="1">
      <alignment vertical="center"/>
    </xf>
    <xf numFmtId="10" fontId="14" fillId="2" borderId="2" xfId="1" applyNumberFormat="1" applyFont="1" applyFill="1" applyBorder="1" applyAlignment="1">
      <alignment horizontal="center" vertical="center"/>
    </xf>
    <xf numFmtId="43" fontId="20" fillId="2" borderId="0" xfId="1" applyFont="1" applyFill="1"/>
    <xf numFmtId="0" fontId="34" fillId="0" borderId="0" xfId="0" applyFont="1" applyAlignment="1">
      <alignment vertical="center"/>
    </xf>
    <xf numFmtId="0" fontId="34" fillId="0" borderId="3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4" fillId="0" borderId="7" xfId="0" applyFont="1" applyBorder="1" applyAlignment="1">
      <alignment horizontal="center" vertical="center"/>
    </xf>
    <xf numFmtId="0" fontId="34" fillId="0" borderId="7" xfId="0" applyFont="1" applyBorder="1" applyAlignment="1">
      <alignment vertical="center"/>
    </xf>
    <xf numFmtId="43" fontId="34" fillId="0" borderId="3" xfId="1" applyFont="1" applyBorder="1" applyAlignment="1">
      <alignment vertical="center"/>
    </xf>
    <xf numFmtId="43" fontId="34" fillId="0" borderId="2" xfId="1" applyFont="1" applyBorder="1" applyAlignment="1">
      <alignment vertical="center"/>
    </xf>
    <xf numFmtId="43" fontId="34" fillId="0" borderId="7" xfId="1" applyFont="1" applyBorder="1" applyAlignment="1">
      <alignment vertical="center"/>
    </xf>
    <xf numFmtId="164" fontId="34" fillId="0" borderId="3" xfId="1" applyNumberFormat="1" applyFont="1" applyBorder="1" applyAlignment="1">
      <alignment vertical="center"/>
    </xf>
    <xf numFmtId="164" fontId="34" fillId="0" borderId="2" xfId="1" applyNumberFormat="1" applyFont="1" applyBorder="1" applyAlignment="1">
      <alignment vertical="center"/>
    </xf>
    <xf numFmtId="164" fontId="34" fillId="0" borderId="7" xfId="1" applyNumberFormat="1" applyFont="1" applyBorder="1" applyAlignment="1">
      <alignment vertical="center"/>
    </xf>
    <xf numFmtId="14" fontId="34" fillId="0" borderId="3" xfId="0" applyNumberFormat="1" applyFont="1" applyBorder="1" applyAlignment="1">
      <alignment horizontal="center" vertical="center"/>
    </xf>
    <xf numFmtId="14" fontId="34" fillId="0" borderId="2" xfId="0" applyNumberFormat="1" applyFont="1" applyBorder="1" applyAlignment="1">
      <alignment horizontal="center" vertical="center"/>
    </xf>
    <xf numFmtId="14" fontId="34" fillId="0" borderId="7" xfId="0" applyNumberFormat="1" applyFont="1" applyBorder="1" applyAlignment="1">
      <alignment horizontal="center" vertical="center"/>
    </xf>
    <xf numFmtId="10" fontId="34" fillId="0" borderId="3" xfId="0" applyNumberFormat="1" applyFont="1" applyBorder="1" applyAlignment="1">
      <alignment horizontal="center" vertical="center"/>
    </xf>
    <xf numFmtId="10" fontId="34" fillId="0" borderId="2" xfId="0" applyNumberFormat="1" applyFont="1" applyBorder="1" applyAlignment="1">
      <alignment horizontal="center" vertical="center"/>
    </xf>
    <xf numFmtId="10" fontId="34" fillId="0" borderId="7" xfId="0" applyNumberFormat="1" applyFont="1" applyBorder="1" applyAlignment="1">
      <alignment horizontal="center" vertical="center"/>
    </xf>
    <xf numFmtId="164" fontId="34" fillId="0" borderId="2" xfId="1" applyNumberFormat="1" applyFont="1" applyBorder="1" applyAlignment="1">
      <alignment horizontal="center" vertical="center"/>
    </xf>
    <xf numFmtId="164" fontId="34" fillId="0" borderId="3" xfId="1" applyNumberFormat="1" applyFont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43" fontId="35" fillId="0" borderId="0" xfId="1" applyFont="1" applyAlignment="1">
      <alignment vertical="center"/>
    </xf>
    <xf numFmtId="49" fontId="35" fillId="0" borderId="1" xfId="0" applyNumberFormat="1" applyFont="1" applyBorder="1" applyAlignment="1">
      <alignment horizontal="center" vertical="center" wrapText="1"/>
    </xf>
    <xf numFmtId="49" fontId="35" fillId="0" borderId="0" xfId="0" applyNumberFormat="1" applyFont="1" applyAlignment="1">
      <alignment horizontal="center" vertical="center" wrapText="1"/>
    </xf>
    <xf numFmtId="43" fontId="34" fillId="0" borderId="3" xfId="1" applyFont="1" applyBorder="1" applyAlignment="1">
      <alignment horizontal="center" vertical="center"/>
    </xf>
    <xf numFmtId="164" fontId="36" fillId="0" borderId="1" xfId="1" applyNumberFormat="1" applyFont="1" applyBorder="1" applyAlignment="1">
      <alignment vertical="center"/>
    </xf>
    <xf numFmtId="43" fontId="36" fillId="0" borderId="1" xfId="1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43" fontId="36" fillId="0" borderId="1" xfId="0" applyNumberFormat="1" applyFont="1" applyBorder="1" applyAlignment="1">
      <alignment vertical="center"/>
    </xf>
    <xf numFmtId="43" fontId="36" fillId="0" borderId="0" xfId="1" applyFont="1" applyAlignment="1">
      <alignment vertical="center"/>
    </xf>
    <xf numFmtId="0" fontId="37" fillId="0" borderId="0" xfId="0" applyFont="1" applyAlignment="1">
      <alignment vertical="center"/>
    </xf>
    <xf numFmtId="43" fontId="37" fillId="0" borderId="0" xfId="0" applyNumberFormat="1" applyFont="1" applyAlignment="1">
      <alignment horizontal="center" vertical="center" wrapText="1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4" fillId="0" borderId="6" xfId="0" applyFont="1" applyBorder="1" applyAlignment="1">
      <alignment vertical="center"/>
    </xf>
    <xf numFmtId="0" fontId="34" fillId="0" borderId="3" xfId="0" applyNumberFormat="1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164" fontId="38" fillId="0" borderId="0" xfId="0" applyNumberFormat="1" applyFont="1" applyAlignment="1">
      <alignment vertical="center"/>
    </xf>
    <xf numFmtId="0" fontId="36" fillId="0" borderId="13" xfId="0" applyFont="1" applyBorder="1" applyAlignment="1">
      <alignment horizontal="center" vertical="center"/>
    </xf>
    <xf numFmtId="164" fontId="35" fillId="0" borderId="0" xfId="0" applyNumberFormat="1" applyFont="1" applyAlignment="1">
      <alignment horizontal="center" vertical="center" wrapText="1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/>
    </xf>
    <xf numFmtId="43" fontId="19" fillId="2" borderId="1" xfId="4" applyFont="1" applyFill="1" applyBorder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/>
    </xf>
    <xf numFmtId="164" fontId="3" fillId="2" borderId="1" xfId="4" applyNumberFormat="1" applyFont="1" applyFill="1" applyBorder="1" applyAlignment="1">
      <alignment horizontal="center" vertical="center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49" fontId="35" fillId="0" borderId="14" xfId="0" applyNumberFormat="1" applyFont="1" applyBorder="1" applyAlignment="1">
      <alignment horizontal="center" vertical="center" wrapText="1"/>
    </xf>
    <xf numFmtId="49" fontId="35" fillId="0" borderId="15" xfId="0" applyNumberFormat="1" applyFont="1" applyBorder="1" applyAlignment="1">
      <alignment horizontal="center" vertical="center" wrapText="1"/>
    </xf>
    <xf numFmtId="49" fontId="35" fillId="0" borderId="12" xfId="0" applyNumberFormat="1" applyFont="1" applyBorder="1" applyAlignment="1">
      <alignment horizontal="center" vertical="center" wrapText="1"/>
    </xf>
    <xf numFmtId="49" fontId="35" fillId="0" borderId="4" xfId="0" applyNumberFormat="1" applyFont="1" applyBorder="1" applyAlignment="1">
      <alignment horizontal="center" vertical="center" wrapText="1"/>
    </xf>
    <xf numFmtId="49" fontId="35" fillId="0" borderId="13" xfId="0" applyNumberFormat="1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33"/>
  <sheetViews>
    <sheetView tabSelected="1"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P24" sqref="P24"/>
    </sheetView>
  </sheetViews>
  <sheetFormatPr defaultRowHeight="17.25" customHeight="1"/>
  <cols>
    <col min="1" max="1" width="5.140625" style="40" bestFit="1" customWidth="1"/>
    <col min="2" max="2" width="17.5703125" style="41" customWidth="1"/>
    <col min="3" max="4" width="8.28515625" style="42" customWidth="1"/>
    <col min="5" max="5" width="13.42578125" style="43" customWidth="1"/>
    <col min="6" max="6" width="11.7109375" style="47" customWidth="1"/>
    <col min="7" max="7" width="8" style="43" customWidth="1"/>
    <col min="8" max="8" width="7.5703125" style="45" hidden="1" customWidth="1"/>
    <col min="9" max="9" width="11" style="46" hidden="1" customWidth="1"/>
    <col min="10" max="10" width="10" style="46" hidden="1" customWidth="1"/>
    <col min="11" max="11" width="13.85546875" style="43" hidden="1" customWidth="1"/>
    <col min="12" max="12" width="11.5703125" style="47" hidden="1" customWidth="1"/>
    <col min="13" max="13" width="10.7109375" style="48" hidden="1" customWidth="1"/>
    <col min="14" max="14" width="10" style="48" hidden="1" customWidth="1"/>
    <col min="15" max="15" width="9" style="48" hidden="1" customWidth="1"/>
    <col min="16" max="16" width="9" style="49" customWidth="1"/>
    <col min="17" max="17" width="8.42578125" style="50" customWidth="1"/>
    <col min="18" max="18" width="7.7109375" style="50" customWidth="1"/>
    <col min="19" max="19" width="15" style="40" customWidth="1"/>
    <col min="20" max="20" width="15.85546875" style="41" customWidth="1"/>
    <col min="21" max="16384" width="9.140625" style="41"/>
  </cols>
  <sheetData>
    <row r="1" spans="1:20" s="11" customFormat="1" ht="17.25" customHeight="1">
      <c r="A1" s="1"/>
      <c r="B1" s="2"/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05" t="s">
        <v>1</v>
      </c>
      <c r="B2" s="105" t="s">
        <v>2</v>
      </c>
      <c r="C2" s="107" t="s">
        <v>3</v>
      </c>
      <c r="D2" s="107"/>
      <c r="E2" s="108" t="s">
        <v>4</v>
      </c>
      <c r="F2" s="108"/>
      <c r="G2" s="108"/>
      <c r="H2" s="109" t="s">
        <v>5</v>
      </c>
      <c r="I2" s="109"/>
      <c r="J2" s="109"/>
      <c r="K2" s="110" t="s">
        <v>6</v>
      </c>
      <c r="L2" s="110"/>
      <c r="M2" s="103" t="s">
        <v>7</v>
      </c>
      <c r="N2" s="103"/>
      <c r="O2" s="103"/>
      <c r="P2" s="103"/>
      <c r="Q2" s="103"/>
      <c r="R2" s="104" t="s">
        <v>8</v>
      </c>
      <c r="S2" s="105" t="s">
        <v>9</v>
      </c>
    </row>
    <row r="3" spans="1:20" s="12" customFormat="1" ht="33" customHeight="1">
      <c r="A3" s="105"/>
      <c r="B3" s="105"/>
      <c r="C3" s="13" t="s">
        <v>10</v>
      </c>
      <c r="D3" s="13" t="s">
        <v>11</v>
      </c>
      <c r="E3" s="14" t="s">
        <v>12</v>
      </c>
      <c r="F3" s="15" t="s">
        <v>0</v>
      </c>
      <c r="G3" s="52" t="s">
        <v>19</v>
      </c>
      <c r="H3" s="16" t="s">
        <v>13</v>
      </c>
      <c r="I3" s="95" t="s">
        <v>12</v>
      </c>
      <c r="J3" s="95" t="s">
        <v>14</v>
      </c>
      <c r="K3" s="92" t="s">
        <v>12</v>
      </c>
      <c r="L3" s="15" t="s">
        <v>14</v>
      </c>
      <c r="M3" s="93" t="s">
        <v>15</v>
      </c>
      <c r="N3" s="93" t="s">
        <v>16</v>
      </c>
      <c r="O3" s="17" t="s">
        <v>17</v>
      </c>
      <c r="P3" s="94" t="s">
        <v>21</v>
      </c>
      <c r="Q3" s="94" t="s">
        <v>18</v>
      </c>
      <c r="R3" s="104"/>
      <c r="S3" s="105"/>
    </row>
    <row r="4" spans="1:20" s="21" customFormat="1" ht="17.25" customHeight="1">
      <c r="A4" s="31">
        <f t="shared" ref="A4:A17" si="0">ROW()-3</f>
        <v>1</v>
      </c>
      <c r="B4" s="22" t="s">
        <v>49</v>
      </c>
      <c r="C4" s="23">
        <v>43105</v>
      </c>
      <c r="D4" s="23">
        <v>43286</v>
      </c>
      <c r="E4" s="35"/>
      <c r="F4" s="34">
        <v>63000</v>
      </c>
      <c r="G4" s="25"/>
      <c r="H4" s="33"/>
      <c r="I4" s="34"/>
      <c r="J4" s="34"/>
      <c r="K4" s="20"/>
      <c r="L4" s="19">
        <f>F4</f>
        <v>63000</v>
      </c>
      <c r="M4" s="34"/>
      <c r="N4" s="35"/>
      <c r="O4" s="26">
        <f t="shared" ref="O4:O17" si="1">IF((LEFT(B4,4)="1402"),F4*R4*DATEDIF(DATE(YEAR(Q4),MONTH(Q4)-1,IF(MONTH(C4)=(MONTH(Q4)-1),DAY(C4),16)),Q4,"d")/360,0)</f>
        <v>0</v>
      </c>
      <c r="P4" s="26">
        <f>IF((LEFT(B4,2)="ld"),F4*R4*DATEDIF(DATE(YEAR(Q4),MONTH(Q4)-1,DAY(Q4)),Q4,"d")/360,0)</f>
        <v>244.125</v>
      </c>
      <c r="Q4" s="18">
        <v>43153</v>
      </c>
      <c r="R4" s="55">
        <v>4.4999999999999998E-2</v>
      </c>
      <c r="S4" s="32" t="s">
        <v>22</v>
      </c>
    </row>
    <row r="5" spans="1:20" s="21" customFormat="1" ht="17.25" customHeight="1">
      <c r="A5" s="31">
        <f t="shared" si="0"/>
        <v>2</v>
      </c>
      <c r="B5" s="22" t="s">
        <v>50</v>
      </c>
      <c r="C5" s="33">
        <v>43115</v>
      </c>
      <c r="D5" s="23">
        <v>43297</v>
      </c>
      <c r="E5" s="35"/>
      <c r="F5" s="34">
        <v>83500</v>
      </c>
      <c r="G5" s="25"/>
      <c r="H5" s="33"/>
      <c r="I5" s="34"/>
      <c r="J5" s="34"/>
      <c r="K5" s="20"/>
      <c r="L5" s="19">
        <f t="shared" ref="L5:L17" si="2">F5</f>
        <v>83500</v>
      </c>
      <c r="M5" s="34"/>
      <c r="N5" s="35"/>
      <c r="O5" s="26">
        <f t="shared" si="1"/>
        <v>0</v>
      </c>
      <c r="P5" s="26">
        <f t="shared" ref="P5:P17" si="3">IF((LEFT(B5,2)="ld"),F5*R5*DATEDIF(DATE(YEAR(Q5),MONTH(Q5)-1,DAY(Q5)),Q5,"d")/360,0)</f>
        <v>323.5625</v>
      </c>
      <c r="Q5" s="18">
        <v>43153</v>
      </c>
      <c r="R5" s="55">
        <v>4.4999999999999998E-2</v>
      </c>
      <c r="S5" s="32" t="s">
        <v>22</v>
      </c>
    </row>
    <row r="6" spans="1:20" s="21" customFormat="1" ht="17.25" customHeight="1">
      <c r="A6" s="31">
        <f t="shared" si="0"/>
        <v>3</v>
      </c>
      <c r="B6" s="22" t="s">
        <v>51</v>
      </c>
      <c r="C6" s="33">
        <v>43130</v>
      </c>
      <c r="D6" s="23">
        <v>43311</v>
      </c>
      <c r="E6" s="35"/>
      <c r="F6" s="34">
        <v>87500</v>
      </c>
      <c r="G6" s="35"/>
      <c r="H6" s="33"/>
      <c r="I6" s="34"/>
      <c r="J6" s="34"/>
      <c r="K6" s="20"/>
      <c r="L6" s="19">
        <f t="shared" si="2"/>
        <v>87500</v>
      </c>
      <c r="M6" s="34"/>
      <c r="N6" s="35"/>
      <c r="O6" s="26">
        <f t="shared" si="1"/>
        <v>0</v>
      </c>
      <c r="P6" s="26">
        <f t="shared" si="3"/>
        <v>339.0625</v>
      </c>
      <c r="Q6" s="18">
        <v>43153</v>
      </c>
      <c r="R6" s="55">
        <v>4.4999999999999998E-2</v>
      </c>
      <c r="S6" s="32" t="s">
        <v>22</v>
      </c>
    </row>
    <row r="7" spans="1:20" s="21" customFormat="1" ht="17.25" customHeight="1">
      <c r="A7" s="31">
        <f t="shared" si="0"/>
        <v>4</v>
      </c>
      <c r="B7" s="22" t="s">
        <v>66</v>
      </c>
      <c r="C7" s="33">
        <v>43167</v>
      </c>
      <c r="D7" s="23">
        <v>43351</v>
      </c>
      <c r="E7" s="35"/>
      <c r="F7" s="34">
        <v>96000</v>
      </c>
      <c r="G7" s="35"/>
      <c r="H7" s="33"/>
      <c r="I7" s="34"/>
      <c r="J7" s="34"/>
      <c r="K7" s="20"/>
      <c r="L7" s="19">
        <f t="shared" si="2"/>
        <v>96000</v>
      </c>
      <c r="M7" s="34"/>
      <c r="N7" s="35"/>
      <c r="O7" s="26">
        <f t="shared" si="1"/>
        <v>0</v>
      </c>
      <c r="P7" s="26">
        <f t="shared" si="3"/>
        <v>330.66666666666669</v>
      </c>
      <c r="Q7" s="18">
        <v>43153</v>
      </c>
      <c r="R7" s="55">
        <v>0.04</v>
      </c>
      <c r="S7" s="32" t="s">
        <v>22</v>
      </c>
    </row>
    <row r="8" spans="1:20" s="21" customFormat="1" ht="17.25" customHeight="1">
      <c r="A8" s="31">
        <f t="shared" si="0"/>
        <v>5</v>
      </c>
      <c r="B8" s="22" t="s">
        <v>67</v>
      </c>
      <c r="C8" s="33">
        <v>43180</v>
      </c>
      <c r="D8" s="23">
        <v>43364</v>
      </c>
      <c r="E8" s="35"/>
      <c r="F8" s="34">
        <v>89000</v>
      </c>
      <c r="G8" s="35"/>
      <c r="H8" s="33"/>
      <c r="I8" s="34"/>
      <c r="J8" s="34"/>
      <c r="K8" s="20"/>
      <c r="L8" s="19">
        <f t="shared" si="2"/>
        <v>89000</v>
      </c>
      <c r="M8" s="34"/>
      <c r="N8" s="35"/>
      <c r="O8" s="26">
        <f t="shared" si="1"/>
        <v>0</v>
      </c>
      <c r="P8" s="26">
        <f t="shared" si="3"/>
        <v>306.55555555555554</v>
      </c>
      <c r="Q8" s="18">
        <v>43153</v>
      </c>
      <c r="R8" s="55">
        <v>0.04</v>
      </c>
      <c r="S8" s="32" t="s">
        <v>22</v>
      </c>
    </row>
    <row r="9" spans="1:20" s="21" customFormat="1" ht="17.25" customHeight="1">
      <c r="A9" s="31">
        <f t="shared" si="0"/>
        <v>6</v>
      </c>
      <c r="B9" s="22" t="s">
        <v>68</v>
      </c>
      <c r="C9" s="33">
        <v>43202</v>
      </c>
      <c r="D9" s="23">
        <v>43385</v>
      </c>
      <c r="E9" s="35"/>
      <c r="F9" s="34">
        <v>60000</v>
      </c>
      <c r="G9" s="35"/>
      <c r="H9" s="33"/>
      <c r="I9" s="34"/>
      <c r="J9" s="34"/>
      <c r="K9" s="20"/>
      <c r="L9" s="19">
        <f t="shared" si="2"/>
        <v>60000</v>
      </c>
      <c r="M9" s="34"/>
      <c r="N9" s="35"/>
      <c r="O9" s="26">
        <f t="shared" si="1"/>
        <v>0</v>
      </c>
      <c r="P9" s="26">
        <f t="shared" si="3"/>
        <v>206.66666666666666</v>
      </c>
      <c r="Q9" s="18">
        <v>43153</v>
      </c>
      <c r="R9" s="55">
        <v>0.04</v>
      </c>
      <c r="S9" s="32" t="s">
        <v>22</v>
      </c>
    </row>
    <row r="10" spans="1:20" s="21" customFormat="1" ht="17.25" customHeight="1">
      <c r="A10" s="31">
        <f t="shared" si="0"/>
        <v>7</v>
      </c>
      <c r="B10" s="22" t="s">
        <v>69</v>
      </c>
      <c r="C10" s="33">
        <v>43213</v>
      </c>
      <c r="D10" s="23">
        <v>43396</v>
      </c>
      <c r="E10" s="35"/>
      <c r="F10" s="34">
        <v>121000</v>
      </c>
      <c r="G10" s="35"/>
      <c r="H10" s="33"/>
      <c r="I10" s="34"/>
      <c r="J10" s="34"/>
      <c r="K10" s="20"/>
      <c r="L10" s="19">
        <f t="shared" ref="L10" si="4">F10</f>
        <v>121000</v>
      </c>
      <c r="M10" s="34"/>
      <c r="N10" s="35"/>
      <c r="O10" s="26">
        <f t="shared" ref="O10" si="5">IF((LEFT(B10,4)="1402"),F10*R10*DATEDIF(DATE(YEAR(Q10),MONTH(Q10)-1,IF(MONTH(C10)=(MONTH(Q10)-1),DAY(C10),16)),Q10,"d")/360,0)</f>
        <v>0</v>
      </c>
      <c r="P10" s="26">
        <f t="shared" ref="P10" si="6">IF((LEFT(B10,2)="ld"),F10*R10*DATEDIF(DATE(YEAR(Q10),MONTH(Q10)-1,DAY(Q10)),Q10,"d")/360,0)</f>
        <v>416.77777777777777</v>
      </c>
      <c r="Q10" s="18">
        <v>43153</v>
      </c>
      <c r="R10" s="55">
        <v>0.04</v>
      </c>
      <c r="S10" s="32" t="s">
        <v>22</v>
      </c>
    </row>
    <row r="11" spans="1:20" s="21" customFormat="1" ht="17.25" customHeight="1">
      <c r="A11" s="31">
        <f t="shared" si="0"/>
        <v>8</v>
      </c>
      <c r="B11" s="22" t="s">
        <v>70</v>
      </c>
      <c r="C11" s="33">
        <v>43213</v>
      </c>
      <c r="D11" s="23">
        <v>43396</v>
      </c>
      <c r="E11" s="35"/>
      <c r="F11" s="34">
        <v>189000</v>
      </c>
      <c r="G11" s="35"/>
      <c r="H11" s="33"/>
      <c r="I11" s="34"/>
      <c r="J11" s="34"/>
      <c r="K11" s="20"/>
      <c r="L11" s="19">
        <f t="shared" si="2"/>
        <v>189000</v>
      </c>
      <c r="M11" s="34"/>
      <c r="N11" s="35">
        <f>P11*G11</f>
        <v>0</v>
      </c>
      <c r="O11" s="26">
        <f t="shared" si="1"/>
        <v>0</v>
      </c>
      <c r="P11" s="26">
        <f t="shared" si="3"/>
        <v>651</v>
      </c>
      <c r="Q11" s="18">
        <v>43153</v>
      </c>
      <c r="R11" s="55">
        <v>0.04</v>
      </c>
      <c r="S11" s="32" t="s">
        <v>22</v>
      </c>
    </row>
    <row r="12" spans="1:20" s="21" customFormat="1" ht="17.25" customHeight="1">
      <c r="A12" s="31">
        <f t="shared" si="0"/>
        <v>9</v>
      </c>
      <c r="B12" s="22" t="s">
        <v>71</v>
      </c>
      <c r="C12" s="33">
        <v>43230</v>
      </c>
      <c r="D12" s="23">
        <v>43414</v>
      </c>
      <c r="E12" s="35"/>
      <c r="F12" s="34">
        <v>78000</v>
      </c>
      <c r="G12" s="35"/>
      <c r="H12" s="33"/>
      <c r="I12" s="34"/>
      <c r="J12" s="34"/>
      <c r="K12" s="19"/>
      <c r="L12" s="19">
        <f t="shared" si="2"/>
        <v>78000</v>
      </c>
      <c r="M12" s="34"/>
      <c r="N12" s="34"/>
      <c r="O12" s="26">
        <f t="shared" si="1"/>
        <v>0</v>
      </c>
      <c r="P12" s="26">
        <f t="shared" si="3"/>
        <v>302.25</v>
      </c>
      <c r="Q12" s="18">
        <v>43153</v>
      </c>
      <c r="R12" s="55">
        <v>4.4999999999999998E-2</v>
      </c>
      <c r="S12" s="32" t="s">
        <v>22</v>
      </c>
      <c r="T12" s="54"/>
    </row>
    <row r="13" spans="1:20" s="21" customFormat="1" ht="17.25" customHeight="1">
      <c r="A13" s="31">
        <f t="shared" si="0"/>
        <v>10</v>
      </c>
      <c r="B13" s="22" t="s">
        <v>72</v>
      </c>
      <c r="C13" s="33">
        <v>43231</v>
      </c>
      <c r="D13" s="23">
        <v>43416</v>
      </c>
      <c r="E13" s="35"/>
      <c r="F13" s="34">
        <v>89000</v>
      </c>
      <c r="G13" s="35"/>
      <c r="H13" s="33"/>
      <c r="I13" s="34"/>
      <c r="J13" s="34"/>
      <c r="K13" s="20"/>
      <c r="L13" s="19">
        <f t="shared" si="2"/>
        <v>89000</v>
      </c>
      <c r="M13" s="34"/>
      <c r="N13" s="34"/>
      <c r="O13" s="26">
        <f t="shared" si="1"/>
        <v>0</v>
      </c>
      <c r="P13" s="26">
        <f t="shared" si="3"/>
        <v>344.875</v>
      </c>
      <c r="Q13" s="18">
        <v>43153</v>
      </c>
      <c r="R13" s="55">
        <v>4.4999999999999998E-2</v>
      </c>
      <c r="S13" s="32" t="s">
        <v>22</v>
      </c>
    </row>
    <row r="14" spans="1:20" s="21" customFormat="1" ht="17.25" customHeight="1">
      <c r="A14" s="31">
        <f t="shared" si="0"/>
        <v>11</v>
      </c>
      <c r="B14" s="22" t="s">
        <v>36</v>
      </c>
      <c r="C14" s="33">
        <v>43067</v>
      </c>
      <c r="D14" s="23">
        <v>43248</v>
      </c>
      <c r="E14" s="35"/>
      <c r="F14" s="34">
        <v>70000</v>
      </c>
      <c r="G14" s="35"/>
      <c r="H14" s="33"/>
      <c r="I14" s="34"/>
      <c r="J14" s="34"/>
      <c r="K14" s="19"/>
      <c r="L14" s="19">
        <f t="shared" si="2"/>
        <v>70000</v>
      </c>
      <c r="M14" s="34"/>
      <c r="N14" s="34"/>
      <c r="O14" s="26">
        <f t="shared" si="1"/>
        <v>0</v>
      </c>
      <c r="P14" s="26">
        <f t="shared" si="3"/>
        <v>271.25</v>
      </c>
      <c r="Q14" s="18">
        <v>43153</v>
      </c>
      <c r="R14" s="55">
        <v>4.4999999999999998E-2</v>
      </c>
      <c r="S14" s="32" t="s">
        <v>22</v>
      </c>
      <c r="T14" s="54"/>
    </row>
    <row r="15" spans="1:20" s="21" customFormat="1" ht="17.25" customHeight="1">
      <c r="A15" s="31">
        <f t="shared" si="0"/>
        <v>12</v>
      </c>
      <c r="B15" s="22" t="s">
        <v>37</v>
      </c>
      <c r="C15" s="23">
        <v>43073</v>
      </c>
      <c r="D15" s="23">
        <v>43255</v>
      </c>
      <c r="E15" s="25"/>
      <c r="F15" s="24">
        <v>67000</v>
      </c>
      <c r="G15" s="25"/>
      <c r="H15" s="23"/>
      <c r="I15" s="24"/>
      <c r="J15" s="24"/>
      <c r="K15" s="19"/>
      <c r="L15" s="19">
        <f t="shared" si="2"/>
        <v>67000</v>
      </c>
      <c r="M15" s="24"/>
      <c r="N15" s="24"/>
      <c r="O15" s="26">
        <f t="shared" si="1"/>
        <v>0</v>
      </c>
      <c r="P15" s="26">
        <f t="shared" si="3"/>
        <v>259.625</v>
      </c>
      <c r="Q15" s="18">
        <v>43153</v>
      </c>
      <c r="R15" s="55">
        <v>4.4999999999999998E-2</v>
      </c>
      <c r="S15" s="32" t="s">
        <v>22</v>
      </c>
      <c r="T15" s="54"/>
    </row>
    <row r="16" spans="1:20" s="21" customFormat="1" ht="17.25" customHeight="1">
      <c r="A16" s="31">
        <f t="shared" si="0"/>
        <v>13</v>
      </c>
      <c r="B16" s="22" t="s">
        <v>65</v>
      </c>
      <c r="C16" s="23">
        <v>43082</v>
      </c>
      <c r="D16" s="23">
        <v>43264</v>
      </c>
      <c r="E16" s="25"/>
      <c r="F16" s="34">
        <v>84000</v>
      </c>
      <c r="G16" s="25"/>
      <c r="H16" s="33"/>
      <c r="I16" s="34"/>
      <c r="J16" s="34"/>
      <c r="K16" s="20"/>
      <c r="L16" s="19">
        <f t="shared" si="2"/>
        <v>84000</v>
      </c>
      <c r="M16" s="34"/>
      <c r="N16" s="35"/>
      <c r="O16" s="26">
        <f t="shared" si="1"/>
        <v>0</v>
      </c>
      <c r="P16" s="26">
        <f t="shared" si="3"/>
        <v>325.5</v>
      </c>
      <c r="Q16" s="18">
        <v>43153</v>
      </c>
      <c r="R16" s="55">
        <v>4.4999999999999998E-2</v>
      </c>
      <c r="S16" s="32" t="s">
        <v>22</v>
      </c>
    </row>
    <row r="17" spans="1:19" s="21" customFormat="1" ht="17.25" customHeight="1">
      <c r="A17" s="31">
        <f t="shared" si="0"/>
        <v>14</v>
      </c>
      <c r="B17" s="22" t="s">
        <v>48</v>
      </c>
      <c r="C17" s="33">
        <v>43091</v>
      </c>
      <c r="D17" s="23">
        <v>43273</v>
      </c>
      <c r="E17" s="35"/>
      <c r="F17" s="34">
        <v>92500</v>
      </c>
      <c r="G17" s="35"/>
      <c r="H17" s="33"/>
      <c r="I17" s="34"/>
      <c r="J17" s="34"/>
      <c r="K17" s="20"/>
      <c r="L17" s="19">
        <f t="shared" si="2"/>
        <v>92500</v>
      </c>
      <c r="M17" s="34"/>
      <c r="N17" s="35"/>
      <c r="O17" s="26">
        <f t="shared" si="1"/>
        <v>0</v>
      </c>
      <c r="P17" s="26">
        <f t="shared" si="3"/>
        <v>358.4375</v>
      </c>
      <c r="Q17" s="18">
        <v>43153</v>
      </c>
      <c r="R17" s="55">
        <v>4.4999999999999998E-2</v>
      </c>
      <c r="S17" s="32" t="s">
        <v>22</v>
      </c>
    </row>
    <row r="18" spans="1:19" s="21" customFormat="1" ht="17.25" customHeight="1">
      <c r="A18" s="31"/>
      <c r="B18" s="22"/>
      <c r="C18" s="33"/>
      <c r="D18" s="23"/>
      <c r="E18" s="34"/>
      <c r="F18" s="34"/>
      <c r="G18" s="35"/>
      <c r="H18" s="33"/>
      <c r="I18" s="34"/>
      <c r="J18" s="34"/>
      <c r="K18" s="19"/>
      <c r="L18" s="19"/>
      <c r="M18" s="34"/>
      <c r="N18" s="34"/>
      <c r="O18" s="24"/>
      <c r="P18" s="24"/>
      <c r="Q18" s="18"/>
      <c r="R18" s="53"/>
      <c r="S18" s="32"/>
    </row>
    <row r="19" spans="1:19" s="39" customFormat="1" ht="17.25" customHeight="1">
      <c r="A19" s="106" t="s">
        <v>20</v>
      </c>
      <c r="B19" s="106"/>
      <c r="C19" s="36"/>
      <c r="D19" s="36"/>
      <c r="E19" s="28">
        <f>SUM(E4:E18)</f>
        <v>0</v>
      </c>
      <c r="F19" s="29">
        <f>SUM(F4:F18)</f>
        <v>1269500</v>
      </c>
      <c r="G19" s="28">
        <f>SUM(G15:G15)</f>
        <v>0</v>
      </c>
      <c r="H19" s="27"/>
      <c r="I19" s="29">
        <f t="shared" ref="I19:P19" si="7">SUM(I4:I18)</f>
        <v>0</v>
      </c>
      <c r="J19" s="29">
        <f t="shared" si="7"/>
        <v>0</v>
      </c>
      <c r="K19" s="29">
        <f t="shared" si="7"/>
        <v>0</v>
      </c>
      <c r="L19" s="29">
        <f t="shared" si="7"/>
        <v>1269500</v>
      </c>
      <c r="M19" s="29">
        <f t="shared" si="7"/>
        <v>0</v>
      </c>
      <c r="N19" s="29">
        <f t="shared" si="7"/>
        <v>0</v>
      </c>
      <c r="O19" s="29">
        <f t="shared" si="7"/>
        <v>0</v>
      </c>
      <c r="P19" s="29">
        <f t="shared" si="7"/>
        <v>4680.3541666666661</v>
      </c>
      <c r="Q19" s="37"/>
      <c r="R19" s="38"/>
      <c r="S19" s="30"/>
    </row>
    <row r="20" spans="1:19" ht="17.25" customHeight="1">
      <c r="F20" s="44"/>
    </row>
    <row r="21" spans="1:19" ht="17.25" customHeight="1">
      <c r="F21" s="41"/>
      <c r="K21" s="56"/>
    </row>
    <row r="22" spans="1:19" ht="17.25" customHeight="1">
      <c r="F22" s="41"/>
    </row>
    <row r="23" spans="1:19" ht="17.25" customHeight="1">
      <c r="F23" s="41"/>
    </row>
    <row r="25" spans="1:19" ht="17.25" customHeight="1">
      <c r="F25" s="44"/>
    </row>
    <row r="33" spans="1:19" s="49" customFormat="1" ht="17.25" customHeight="1">
      <c r="A33" s="40"/>
      <c r="B33" s="41"/>
      <c r="C33" s="42"/>
      <c r="D33" s="42"/>
      <c r="E33" s="43"/>
      <c r="F33" s="47"/>
      <c r="G33" s="43"/>
      <c r="H33" s="45"/>
      <c r="I33" s="46"/>
      <c r="J33" s="46"/>
      <c r="K33" s="43"/>
      <c r="L33" s="47"/>
      <c r="M33" s="51"/>
      <c r="N33" s="51"/>
      <c r="O33" s="51"/>
      <c r="Q33" s="50"/>
      <c r="R33" s="50"/>
      <c r="S33" s="40"/>
    </row>
  </sheetData>
  <autoFilter ref="A3:S19"/>
  <mergeCells count="10">
    <mergeCell ref="M2:Q2"/>
    <mergeCell ref="R2:R3"/>
    <mergeCell ref="S2:S3"/>
    <mergeCell ref="A19:B19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X41"/>
  <sheetViews>
    <sheetView topLeftCell="A13" workbookViewId="0">
      <selection activeCell="C28" sqref="C28"/>
    </sheetView>
  </sheetViews>
  <sheetFormatPr defaultColWidth="17.140625" defaultRowHeight="20.25" customHeight="1"/>
  <cols>
    <col min="1" max="1" width="4.7109375" style="59" customWidth="1"/>
    <col min="2" max="3" width="9.7109375" style="57" customWidth="1"/>
    <col min="4" max="4" width="7.140625" style="57" customWidth="1"/>
    <col min="5" max="5" width="13.28515625" style="57" hidden="1" customWidth="1"/>
    <col min="6" max="6" width="14.85546875" style="57" customWidth="1"/>
    <col min="7" max="8" width="9.5703125" style="57" customWidth="1"/>
    <col min="9" max="9" width="8.140625" style="57" customWidth="1"/>
    <col min="10" max="10" width="12.7109375" style="57" customWidth="1"/>
    <col min="11" max="11" width="14" style="57" customWidth="1"/>
    <col min="12" max="12" width="14.42578125" style="57" hidden="1" customWidth="1"/>
    <col min="13" max="13" width="13.28515625" style="57" customWidth="1"/>
    <col min="14" max="14" width="3.28515625" style="57" customWidth="1"/>
    <col min="15" max="16" width="9.42578125" style="57" customWidth="1"/>
    <col min="17" max="17" width="7.7109375" style="57" customWidth="1"/>
    <col min="18" max="18" width="7" style="57" customWidth="1"/>
    <col min="19" max="19" width="11" style="57" customWidth="1"/>
    <col min="20" max="20" width="11.7109375" style="57" customWidth="1"/>
    <col min="21" max="21" width="10" style="57" customWidth="1"/>
    <col min="22" max="22" width="9.5703125" style="57" customWidth="1"/>
    <col min="23" max="23" width="11.42578125" style="57" customWidth="1"/>
    <col min="24" max="24" width="8.28515625" style="57" customWidth="1"/>
    <col min="25" max="16384" width="17.140625" style="57"/>
  </cols>
  <sheetData>
    <row r="1" spans="1:24" ht="20.25" customHeight="1">
      <c r="A1" s="79" t="s">
        <v>53</v>
      </c>
      <c r="F1" s="90" t="s">
        <v>47</v>
      </c>
      <c r="P1" s="90" t="s">
        <v>46</v>
      </c>
    </row>
    <row r="2" spans="1:24" s="62" customFormat="1" ht="20.25" customHeight="1">
      <c r="A2" s="123" t="s">
        <v>23</v>
      </c>
      <c r="B2" s="117" t="s">
        <v>27</v>
      </c>
      <c r="C2" s="117"/>
      <c r="D2" s="117"/>
      <c r="E2" s="117"/>
      <c r="F2" s="117"/>
      <c r="G2" s="117" t="s">
        <v>24</v>
      </c>
      <c r="H2" s="117"/>
      <c r="I2" s="117"/>
      <c r="J2" s="117"/>
      <c r="K2" s="117"/>
      <c r="L2" s="117"/>
      <c r="M2" s="117" t="s">
        <v>30</v>
      </c>
      <c r="O2" s="114" t="s">
        <v>40</v>
      </c>
      <c r="P2" s="115"/>
      <c r="Q2" s="115"/>
      <c r="R2" s="115"/>
      <c r="S2" s="115"/>
      <c r="T2" s="115"/>
      <c r="U2" s="115"/>
      <c r="V2" s="115"/>
      <c r="W2" s="116"/>
      <c r="X2" s="117" t="s">
        <v>30</v>
      </c>
    </row>
    <row r="3" spans="1:24" s="62" customFormat="1" ht="20.25" customHeight="1">
      <c r="A3" s="124"/>
      <c r="B3" s="118" t="s">
        <v>25</v>
      </c>
      <c r="C3" s="118" t="s">
        <v>31</v>
      </c>
      <c r="D3" s="118" t="s">
        <v>32</v>
      </c>
      <c r="E3" s="118" t="s">
        <v>35</v>
      </c>
      <c r="F3" s="118" t="s">
        <v>26</v>
      </c>
      <c r="G3" s="118" t="s">
        <v>28</v>
      </c>
      <c r="H3" s="118" t="s">
        <v>31</v>
      </c>
      <c r="I3" s="118" t="s">
        <v>32</v>
      </c>
      <c r="J3" s="123" t="s">
        <v>35</v>
      </c>
      <c r="K3" s="118" t="s">
        <v>0</v>
      </c>
      <c r="L3" s="118" t="s">
        <v>12</v>
      </c>
      <c r="M3" s="117"/>
      <c r="O3" s="118" t="s">
        <v>28</v>
      </c>
      <c r="P3" s="118" t="s">
        <v>39</v>
      </c>
      <c r="Q3" s="118" t="s">
        <v>32</v>
      </c>
      <c r="R3" s="118" t="s">
        <v>52</v>
      </c>
      <c r="S3" s="118" t="s">
        <v>38</v>
      </c>
      <c r="T3" s="120" t="s">
        <v>45</v>
      </c>
      <c r="U3" s="121"/>
      <c r="V3" s="121"/>
      <c r="W3" s="122"/>
      <c r="X3" s="117"/>
    </row>
    <row r="4" spans="1:24" s="82" customFormat="1" ht="34.5" customHeight="1">
      <c r="A4" s="125"/>
      <c r="B4" s="119"/>
      <c r="C4" s="119"/>
      <c r="D4" s="119"/>
      <c r="E4" s="119"/>
      <c r="F4" s="119"/>
      <c r="G4" s="119"/>
      <c r="H4" s="119"/>
      <c r="I4" s="119"/>
      <c r="J4" s="125"/>
      <c r="K4" s="119"/>
      <c r="L4" s="119"/>
      <c r="M4" s="117"/>
      <c r="O4" s="119"/>
      <c r="P4" s="119"/>
      <c r="Q4" s="119"/>
      <c r="R4" s="119"/>
      <c r="S4" s="119"/>
      <c r="T4" s="81" t="s">
        <v>41</v>
      </c>
      <c r="U4" s="81" t="s">
        <v>43</v>
      </c>
      <c r="V4" s="81" t="s">
        <v>44</v>
      </c>
      <c r="W4" s="81" t="s">
        <v>42</v>
      </c>
      <c r="X4" s="117"/>
    </row>
    <row r="5" spans="1:24" ht="20.25" customHeight="1">
      <c r="A5" s="60">
        <v>1</v>
      </c>
      <c r="B5" s="71">
        <v>43157</v>
      </c>
      <c r="C5" s="71">
        <v>43338</v>
      </c>
      <c r="D5" s="74">
        <v>8.7499999999999994E-2</v>
      </c>
      <c r="E5" s="78">
        <f>F5*D5/2</f>
        <v>430062500</v>
      </c>
      <c r="F5" s="68">
        <v>9830000000</v>
      </c>
      <c r="G5" s="71">
        <v>43076</v>
      </c>
      <c r="H5" s="71">
        <v>43227</v>
      </c>
      <c r="I5" s="74">
        <v>2.8000000000000001E-2</v>
      </c>
      <c r="J5" s="83">
        <f t="shared" ref="J5:J11" si="0">K5*I5/12</f>
        <v>1683.1733333333334</v>
      </c>
      <c r="K5" s="65">
        <v>721360</v>
      </c>
      <c r="L5" s="68">
        <f>K5*22728</f>
        <v>16395070080</v>
      </c>
      <c r="M5" s="58" t="s">
        <v>33</v>
      </c>
      <c r="O5" s="71">
        <v>42912</v>
      </c>
      <c r="P5" s="71">
        <v>43277</v>
      </c>
      <c r="Q5" s="74">
        <v>9.1999999999999998E-2</v>
      </c>
      <c r="R5" s="98">
        <f ca="1">DATEDIF(O5,TODAY(),"M")</f>
        <v>10</v>
      </c>
      <c r="S5" s="65">
        <v>44000</v>
      </c>
      <c r="T5" s="65">
        <f ca="1">S5-U5*R5</f>
        <v>7000</v>
      </c>
      <c r="U5" s="65">
        <v>3700</v>
      </c>
      <c r="V5" s="65">
        <f ca="1">T5*Q5/365*30</f>
        <v>52.93150684931507</v>
      </c>
      <c r="W5" s="65">
        <f ca="1">T5-U5</f>
        <v>3300</v>
      </c>
      <c r="X5" s="58"/>
    </row>
    <row r="6" spans="1:24" ht="20.25" customHeight="1">
      <c r="A6" s="61">
        <v>2</v>
      </c>
      <c r="B6" s="72">
        <v>43159</v>
      </c>
      <c r="C6" s="72">
        <v>43340</v>
      </c>
      <c r="D6" s="74">
        <v>8.7499999999999994E-2</v>
      </c>
      <c r="E6" s="78">
        <f t="shared" ref="E6:E7" si="1">F6*D6/2</f>
        <v>424375000</v>
      </c>
      <c r="F6" s="69">
        <v>9700000000</v>
      </c>
      <c r="G6" s="72">
        <v>43085</v>
      </c>
      <c r="H6" s="72">
        <v>43236</v>
      </c>
      <c r="I6" s="75">
        <v>2.8000000000000001E-2</v>
      </c>
      <c r="J6" s="83">
        <f t="shared" si="0"/>
        <v>1083.1333333333334</v>
      </c>
      <c r="K6" s="66">
        <v>464200</v>
      </c>
      <c r="L6" s="69">
        <f>K6*22727</f>
        <v>10549873400</v>
      </c>
      <c r="M6" s="58" t="s">
        <v>33</v>
      </c>
      <c r="O6" s="71">
        <v>43007</v>
      </c>
      <c r="P6" s="71">
        <v>43372</v>
      </c>
      <c r="Q6" s="75">
        <v>9.7000000000000003E-2</v>
      </c>
      <c r="R6" s="98">
        <f t="shared" ref="R6:R8" ca="1" si="2">DATEDIF(O6,TODAY(),"M")</f>
        <v>7</v>
      </c>
      <c r="S6" s="65">
        <v>98840</v>
      </c>
      <c r="T6" s="65">
        <f t="shared" ref="T6:T8" ca="1" si="3">S6-U6*R6</f>
        <v>41160</v>
      </c>
      <c r="U6" s="66">
        <v>8240</v>
      </c>
      <c r="V6" s="65">
        <f t="shared" ref="V6:V11" ca="1" si="4">T6*Q6/365*30</f>
        <v>328.15232876712327</v>
      </c>
      <c r="W6" s="65">
        <f t="shared" ref="W6:W8" ca="1" si="5">T6-U6</f>
        <v>32920</v>
      </c>
      <c r="X6" s="58"/>
    </row>
    <row r="7" spans="1:24" ht="20.25" customHeight="1">
      <c r="A7" s="61">
        <v>3</v>
      </c>
      <c r="B7" s="72">
        <v>43171</v>
      </c>
      <c r="C7" s="72">
        <v>43324</v>
      </c>
      <c r="D7" s="74">
        <v>8.7499999999999994E-2</v>
      </c>
      <c r="E7" s="78">
        <f t="shared" si="1"/>
        <v>440562500</v>
      </c>
      <c r="F7" s="69">
        <v>10070000000</v>
      </c>
      <c r="G7" s="72">
        <v>43090</v>
      </c>
      <c r="H7" s="72">
        <v>43241</v>
      </c>
      <c r="I7" s="75">
        <v>2.8000000000000001E-2</v>
      </c>
      <c r="J7" s="83">
        <f t="shared" si="0"/>
        <v>206.15</v>
      </c>
      <c r="K7" s="66">
        <v>88350</v>
      </c>
      <c r="L7" s="69">
        <f>K7*22726</f>
        <v>2007842100</v>
      </c>
      <c r="M7" s="58" t="s">
        <v>33</v>
      </c>
      <c r="O7" s="71">
        <v>43038</v>
      </c>
      <c r="P7" s="71">
        <v>43434</v>
      </c>
      <c r="Q7" s="75">
        <v>9.7000000000000003E-2</v>
      </c>
      <c r="R7" s="98">
        <f t="shared" ca="1" si="2"/>
        <v>6</v>
      </c>
      <c r="S7" s="65">
        <v>23890</v>
      </c>
      <c r="T7" s="65">
        <f t="shared" ca="1" si="3"/>
        <v>11890</v>
      </c>
      <c r="U7" s="66">
        <v>2000</v>
      </c>
      <c r="V7" s="65">
        <f t="shared" ca="1" si="4"/>
        <v>94.794246575342456</v>
      </c>
      <c r="W7" s="65">
        <f t="shared" ca="1" si="5"/>
        <v>9890</v>
      </c>
      <c r="X7" s="58"/>
    </row>
    <row r="8" spans="1:24" ht="20.25" customHeight="1">
      <c r="A8" s="61">
        <v>4</v>
      </c>
      <c r="B8" s="72">
        <v>43053</v>
      </c>
      <c r="C8" s="72">
        <v>43234</v>
      </c>
      <c r="D8" s="75">
        <v>8.3799999999999999E-2</v>
      </c>
      <c r="E8" s="77">
        <v>487897567</v>
      </c>
      <c r="F8" s="69">
        <v>11580000000</v>
      </c>
      <c r="G8" s="72">
        <v>43182</v>
      </c>
      <c r="H8" s="72">
        <v>43335</v>
      </c>
      <c r="I8" s="75">
        <v>2.8000000000000001E-2</v>
      </c>
      <c r="J8" s="83">
        <f t="shared" si="0"/>
        <v>1026.6666666666667</v>
      </c>
      <c r="K8" s="66">
        <v>440000</v>
      </c>
      <c r="L8" s="69">
        <f>K8*22705</f>
        <v>9990200000</v>
      </c>
      <c r="M8" s="58" t="s">
        <v>34</v>
      </c>
      <c r="O8" s="71">
        <v>43140</v>
      </c>
      <c r="P8" s="71">
        <v>43505</v>
      </c>
      <c r="Q8" s="75">
        <v>0.105</v>
      </c>
      <c r="R8" s="98">
        <f t="shared" ca="1" si="2"/>
        <v>3</v>
      </c>
      <c r="S8" s="65">
        <v>27900</v>
      </c>
      <c r="T8" s="65">
        <f t="shared" ca="1" si="3"/>
        <v>20850</v>
      </c>
      <c r="U8" s="66">
        <v>2350</v>
      </c>
      <c r="V8" s="65">
        <f t="shared" ca="1" si="4"/>
        <v>179.93835616438355</v>
      </c>
      <c r="W8" s="65">
        <f t="shared" ca="1" si="5"/>
        <v>18500</v>
      </c>
      <c r="X8" s="58"/>
    </row>
    <row r="9" spans="1:24" ht="20.25" customHeight="1">
      <c r="A9" s="61"/>
      <c r="B9" s="72"/>
      <c r="C9" s="72"/>
      <c r="D9" s="75"/>
      <c r="E9" s="77"/>
      <c r="F9" s="69"/>
      <c r="G9" s="72">
        <v>43201</v>
      </c>
      <c r="H9" s="72">
        <v>43354</v>
      </c>
      <c r="I9" s="75">
        <v>2.8000000000000001E-2</v>
      </c>
      <c r="J9" s="83">
        <f t="shared" si="0"/>
        <v>602</v>
      </c>
      <c r="K9" s="66">
        <v>258000</v>
      </c>
      <c r="L9" s="69">
        <f>K9*22705</f>
        <v>5857890000</v>
      </c>
      <c r="M9" s="58" t="s">
        <v>34</v>
      </c>
      <c r="O9" s="71"/>
      <c r="P9" s="71"/>
      <c r="Q9" s="75"/>
      <c r="R9" s="74"/>
      <c r="S9" s="65"/>
      <c r="T9" s="65">
        <f t="shared" ref="T9:T11" ca="1" si="6">S9-(MONTH(TODAY())-MONTH(O9)-1)*U9</f>
        <v>0</v>
      </c>
      <c r="U9" s="66"/>
      <c r="V9" s="65">
        <f t="shared" ca="1" si="4"/>
        <v>0</v>
      </c>
      <c r="W9" s="65">
        <f t="shared" ref="W9:W11" ca="1" si="7">S9-(MONTH(TODAY())-MONTH(O9))*U9</f>
        <v>0</v>
      </c>
      <c r="X9" s="58"/>
    </row>
    <row r="10" spans="1:24" ht="20.25" customHeight="1">
      <c r="A10" s="61">
        <v>5</v>
      </c>
      <c r="B10" s="72">
        <v>43061</v>
      </c>
      <c r="C10" s="72">
        <v>43242</v>
      </c>
      <c r="D10" s="75">
        <v>8.3799999999999999E-2</v>
      </c>
      <c r="E10" s="77">
        <v>353494006</v>
      </c>
      <c r="F10" s="69">
        <v>8390000000</v>
      </c>
      <c r="G10" s="72">
        <v>43063</v>
      </c>
      <c r="H10" s="72">
        <v>43214</v>
      </c>
      <c r="I10" s="75">
        <v>2.8000000000000001E-2</v>
      </c>
      <c r="J10" s="83">
        <f t="shared" si="0"/>
        <v>462.93333333333334</v>
      </c>
      <c r="K10" s="66">
        <f>368400-170000</f>
        <v>198400</v>
      </c>
      <c r="L10" s="69">
        <f>K10*22719</f>
        <v>4507449600</v>
      </c>
      <c r="M10" s="58" t="s">
        <v>34</v>
      </c>
      <c r="O10" s="71"/>
      <c r="P10" s="71"/>
      <c r="Q10" s="75"/>
      <c r="R10" s="74"/>
      <c r="S10" s="65"/>
      <c r="T10" s="65">
        <f t="shared" ca="1" si="6"/>
        <v>0</v>
      </c>
      <c r="U10" s="66"/>
      <c r="V10" s="65">
        <f t="shared" ca="1" si="4"/>
        <v>0</v>
      </c>
      <c r="W10" s="65">
        <f t="shared" ca="1" si="7"/>
        <v>0</v>
      </c>
      <c r="X10" s="58"/>
    </row>
    <row r="11" spans="1:24" ht="20.25" customHeight="1">
      <c r="A11" s="61">
        <v>6</v>
      </c>
      <c r="B11" s="72">
        <v>43068</v>
      </c>
      <c r="C11" s="72">
        <v>43249</v>
      </c>
      <c r="D11" s="75">
        <v>8.3799999999999999E-2</v>
      </c>
      <c r="E11" s="77">
        <v>442394167</v>
      </c>
      <c r="F11" s="69">
        <v>10500000000</v>
      </c>
      <c r="G11" s="72">
        <v>43069</v>
      </c>
      <c r="H11" s="72">
        <v>43222</v>
      </c>
      <c r="I11" s="75">
        <v>2.8000000000000001E-2</v>
      </c>
      <c r="J11" s="83">
        <f t="shared" si="0"/>
        <v>1069.3666666666666</v>
      </c>
      <c r="K11" s="66">
        <v>458300</v>
      </c>
      <c r="L11" s="69">
        <f>K11*22714</f>
        <v>10409826200</v>
      </c>
      <c r="M11" s="58" t="s">
        <v>34</v>
      </c>
      <c r="O11" s="71"/>
      <c r="P11" s="71"/>
      <c r="Q11" s="64"/>
      <c r="R11" s="97"/>
      <c r="S11" s="65"/>
      <c r="T11" s="65">
        <f t="shared" ca="1" si="6"/>
        <v>0</v>
      </c>
      <c r="U11" s="67"/>
      <c r="V11" s="65">
        <f t="shared" ca="1" si="4"/>
        <v>0</v>
      </c>
      <c r="W11" s="65">
        <f t="shared" ca="1" si="7"/>
        <v>0</v>
      </c>
      <c r="X11" s="64"/>
    </row>
    <row r="12" spans="1:24" s="87" customFormat="1" ht="20.25" customHeight="1">
      <c r="A12" s="63"/>
      <c r="B12" s="73"/>
      <c r="C12" s="73"/>
      <c r="D12" s="76"/>
      <c r="E12" s="76"/>
      <c r="F12" s="70"/>
      <c r="G12" s="73"/>
      <c r="H12" s="73"/>
      <c r="I12" s="76"/>
      <c r="J12" s="76"/>
      <c r="K12" s="67"/>
      <c r="L12" s="70"/>
      <c r="M12" s="64"/>
      <c r="N12" s="80"/>
      <c r="O12" s="111" t="s">
        <v>29</v>
      </c>
      <c r="P12" s="112"/>
      <c r="Q12" s="113"/>
      <c r="R12" s="96"/>
      <c r="S12" s="88">
        <f>SUM(S5:S11)</f>
        <v>194630</v>
      </c>
      <c r="T12" s="88">
        <f t="shared" ref="T12:W12" ca="1" si="8">SUM(T5:T11)</f>
        <v>80900</v>
      </c>
      <c r="U12" s="88">
        <f t="shared" si="8"/>
        <v>16290</v>
      </c>
      <c r="V12" s="88">
        <f t="shared" ca="1" si="8"/>
        <v>655.81643835616433</v>
      </c>
      <c r="W12" s="88">
        <f t="shared" ca="1" si="8"/>
        <v>64610</v>
      </c>
      <c r="X12" s="86"/>
    </row>
    <row r="13" spans="1:24" s="87" customFormat="1" ht="20.25" customHeight="1">
      <c r="A13" s="111" t="s">
        <v>29</v>
      </c>
      <c r="B13" s="113"/>
      <c r="C13" s="96"/>
      <c r="D13" s="96"/>
      <c r="E13" s="84">
        <f>SUM(E5:E12)</f>
        <v>2578785740</v>
      </c>
      <c r="F13" s="84">
        <f>SUM(F5:F12)</f>
        <v>60070000000</v>
      </c>
      <c r="G13" s="84"/>
      <c r="H13" s="84"/>
      <c r="I13" s="84"/>
      <c r="J13" s="85">
        <f>SUM(J5:J12)</f>
        <v>6133.4233333333341</v>
      </c>
      <c r="K13" s="85">
        <f>SUM(K5:K12)</f>
        <v>2628610</v>
      </c>
      <c r="L13" s="84">
        <f>SUM(L5:L12)</f>
        <v>59718151380</v>
      </c>
      <c r="M13" s="86"/>
      <c r="T13" s="89"/>
    </row>
    <row r="15" spans="1:24" s="62" customFormat="1" ht="20.25" customHeight="1">
      <c r="A15" s="59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U15" s="91"/>
    </row>
    <row r="16" spans="1:24" s="62" customFormat="1" ht="20.25" customHeight="1">
      <c r="A16" s="79" t="s">
        <v>63</v>
      </c>
      <c r="B16" s="57"/>
      <c r="C16" s="57"/>
      <c r="D16" s="57"/>
      <c r="E16" s="57"/>
      <c r="F16" s="90" t="s">
        <v>47</v>
      </c>
      <c r="G16" s="57"/>
      <c r="H16" s="57"/>
      <c r="I16" s="57"/>
      <c r="J16" s="57"/>
      <c r="K16" s="57"/>
      <c r="L16" s="57"/>
      <c r="M16" s="57"/>
      <c r="O16" s="57"/>
      <c r="P16" s="90" t="s">
        <v>46</v>
      </c>
      <c r="Q16" s="57"/>
      <c r="R16" s="57"/>
      <c r="S16" s="57"/>
      <c r="T16" s="57"/>
      <c r="U16" s="57"/>
      <c r="V16" s="57"/>
      <c r="W16" s="57"/>
      <c r="X16" s="57"/>
    </row>
    <row r="17" spans="1:24" s="82" customFormat="1" ht="21.75" customHeight="1">
      <c r="A17" s="123" t="s">
        <v>23</v>
      </c>
      <c r="B17" s="117" t="s">
        <v>27</v>
      </c>
      <c r="C17" s="117"/>
      <c r="D17" s="117"/>
      <c r="E17" s="117"/>
      <c r="F17" s="117"/>
      <c r="G17" s="117" t="s">
        <v>24</v>
      </c>
      <c r="H17" s="117"/>
      <c r="I17" s="117"/>
      <c r="J17" s="117"/>
      <c r="K17" s="117"/>
      <c r="L17" s="117"/>
      <c r="M17" s="117" t="s">
        <v>30</v>
      </c>
      <c r="O17" s="114" t="s">
        <v>40</v>
      </c>
      <c r="P17" s="115"/>
      <c r="Q17" s="115"/>
      <c r="R17" s="115"/>
      <c r="S17" s="115"/>
      <c r="T17" s="115"/>
      <c r="U17" s="115"/>
      <c r="V17" s="115"/>
      <c r="W17" s="116"/>
      <c r="X17" s="117" t="s">
        <v>30</v>
      </c>
    </row>
    <row r="18" spans="1:24" ht="21.75" customHeight="1">
      <c r="A18" s="124"/>
      <c r="B18" s="118" t="s">
        <v>25</v>
      </c>
      <c r="C18" s="118" t="s">
        <v>31</v>
      </c>
      <c r="D18" s="118" t="s">
        <v>32</v>
      </c>
      <c r="E18" s="118" t="s">
        <v>35</v>
      </c>
      <c r="F18" s="118" t="s">
        <v>26</v>
      </c>
      <c r="G18" s="118" t="s">
        <v>28</v>
      </c>
      <c r="H18" s="118" t="s">
        <v>31</v>
      </c>
      <c r="I18" s="118" t="s">
        <v>32</v>
      </c>
      <c r="J18" s="123" t="s">
        <v>64</v>
      </c>
      <c r="K18" s="118" t="s">
        <v>0</v>
      </c>
      <c r="L18" s="118" t="s">
        <v>12</v>
      </c>
      <c r="M18" s="117"/>
      <c r="O18" s="118" t="s">
        <v>28</v>
      </c>
      <c r="P18" s="118" t="s">
        <v>39</v>
      </c>
      <c r="Q18" s="118" t="s">
        <v>32</v>
      </c>
      <c r="R18" s="118" t="s">
        <v>52</v>
      </c>
      <c r="S18" s="118" t="s">
        <v>38</v>
      </c>
      <c r="T18" s="120" t="s">
        <v>45</v>
      </c>
      <c r="U18" s="121"/>
      <c r="V18" s="121"/>
      <c r="W18" s="122"/>
      <c r="X18" s="117"/>
    </row>
    <row r="19" spans="1:24" ht="21.75" customHeight="1">
      <c r="A19" s="125"/>
      <c r="B19" s="119"/>
      <c r="C19" s="119"/>
      <c r="D19" s="119"/>
      <c r="E19" s="119"/>
      <c r="F19" s="119"/>
      <c r="G19" s="119"/>
      <c r="H19" s="119"/>
      <c r="I19" s="119"/>
      <c r="J19" s="125"/>
      <c r="K19" s="119"/>
      <c r="L19" s="119"/>
      <c r="M19" s="117"/>
      <c r="O19" s="119"/>
      <c r="P19" s="119"/>
      <c r="Q19" s="119"/>
      <c r="R19" s="119"/>
      <c r="S19" s="119"/>
      <c r="T19" s="81" t="s">
        <v>41</v>
      </c>
      <c r="U19" s="81" t="s">
        <v>43</v>
      </c>
      <c r="V19" s="81" t="s">
        <v>44</v>
      </c>
      <c r="W19" s="81" t="s">
        <v>42</v>
      </c>
      <c r="X19" s="117"/>
    </row>
    <row r="20" spans="1:24" ht="21.75" customHeight="1">
      <c r="A20" s="60">
        <v>1</v>
      </c>
      <c r="B20" s="71">
        <v>43157</v>
      </c>
      <c r="C20" s="71">
        <v>43338</v>
      </c>
      <c r="D20" s="74">
        <v>8.7499999999999994E-2</v>
      </c>
      <c r="E20" s="78">
        <f>F20*D20/2</f>
        <v>430062500</v>
      </c>
      <c r="F20" s="68">
        <v>9830000000</v>
      </c>
      <c r="G20" s="71">
        <v>43214</v>
      </c>
      <c r="H20" s="71">
        <v>43397</v>
      </c>
      <c r="I20" s="74">
        <v>2.8000000000000001E-2</v>
      </c>
      <c r="J20" s="83">
        <f>K20*I20/12</f>
        <v>791</v>
      </c>
      <c r="K20" s="65">
        <v>339000</v>
      </c>
      <c r="L20" s="68">
        <f>K20*22728</f>
        <v>7704792000</v>
      </c>
      <c r="M20" s="58" t="s">
        <v>33</v>
      </c>
      <c r="O20" s="71">
        <v>42912</v>
      </c>
      <c r="P20" s="71">
        <v>43277</v>
      </c>
      <c r="Q20" s="74">
        <v>9.1999999999999998E-2</v>
      </c>
      <c r="R20" s="98">
        <f ca="1">DATEDIF(O20,TODAY(),"M")</f>
        <v>10</v>
      </c>
      <c r="S20" s="65">
        <v>44000</v>
      </c>
      <c r="T20" s="65">
        <f ca="1">S20-U20*R20</f>
        <v>7000</v>
      </c>
      <c r="U20" s="65">
        <v>3700</v>
      </c>
      <c r="V20" s="65">
        <f ca="1">T20*Q20/365*30</f>
        <v>52.93150684931507</v>
      </c>
      <c r="W20" s="65">
        <f ca="1">T20-U20</f>
        <v>3300</v>
      </c>
      <c r="X20" s="58"/>
    </row>
    <row r="21" spans="1:24" ht="21.75" customHeight="1">
      <c r="A21" s="60">
        <v>1</v>
      </c>
      <c r="B21" s="71"/>
      <c r="C21" s="71"/>
      <c r="D21" s="74"/>
      <c r="E21" s="78"/>
      <c r="F21" s="68"/>
      <c r="G21" s="71">
        <v>43214</v>
      </c>
      <c r="H21" s="71">
        <v>43397</v>
      </c>
      <c r="I21" s="74">
        <v>2.8000000000000001E-2</v>
      </c>
      <c r="J21" s="83">
        <f t="shared" ref="J21" si="9">K21*I21/12</f>
        <v>707</v>
      </c>
      <c r="K21" s="65">
        <v>303000</v>
      </c>
      <c r="L21" s="68">
        <f>K21*22728</f>
        <v>6886584000</v>
      </c>
      <c r="M21" s="58" t="s">
        <v>33</v>
      </c>
      <c r="O21" s="71">
        <v>43007</v>
      </c>
      <c r="P21" s="71">
        <v>43372</v>
      </c>
      <c r="Q21" s="75">
        <v>9.7000000000000003E-2</v>
      </c>
      <c r="R21" s="98">
        <f t="shared" ref="R21:R23" ca="1" si="10">DATEDIF(O21,TODAY(),"M")</f>
        <v>7</v>
      </c>
      <c r="S21" s="65">
        <v>98840</v>
      </c>
      <c r="T21" s="65">
        <f t="shared" ref="T21:T23" ca="1" si="11">S21-U21*R21</f>
        <v>41160</v>
      </c>
      <c r="U21" s="66">
        <v>8240</v>
      </c>
      <c r="V21" s="65">
        <f t="shared" ref="V21:V26" ca="1" si="12">T21*Q21/365*30</f>
        <v>328.15232876712327</v>
      </c>
      <c r="W21" s="65">
        <f t="shared" ref="W21:W23" ca="1" si="13">T21-U21</f>
        <v>32920</v>
      </c>
      <c r="X21" s="58"/>
    </row>
    <row r="22" spans="1:24" ht="21.75" customHeight="1">
      <c r="A22" s="60">
        <v>1</v>
      </c>
      <c r="B22" s="71"/>
      <c r="C22" s="71"/>
      <c r="D22" s="74"/>
      <c r="E22" s="78"/>
      <c r="F22" s="68"/>
      <c r="G22" s="71">
        <v>43216</v>
      </c>
      <c r="H22" s="71">
        <v>43399</v>
      </c>
      <c r="I22" s="74">
        <v>2.8000000000000001E-2</v>
      </c>
      <c r="J22" s="83">
        <f t="shared" ref="J22" si="14">K22*I22/12</f>
        <v>332.26666666666671</v>
      </c>
      <c r="K22" s="65">
        <v>142400</v>
      </c>
      <c r="L22" s="68">
        <f>K22*22728</f>
        <v>3236467200</v>
      </c>
      <c r="M22" s="58" t="s">
        <v>33</v>
      </c>
      <c r="O22" s="71">
        <v>43038</v>
      </c>
      <c r="P22" s="71">
        <v>43434</v>
      </c>
      <c r="Q22" s="75">
        <v>9.7000000000000003E-2</v>
      </c>
      <c r="R22" s="98">
        <f t="shared" ca="1" si="10"/>
        <v>6</v>
      </c>
      <c r="S22" s="65">
        <v>23890</v>
      </c>
      <c r="T22" s="65">
        <f t="shared" ca="1" si="11"/>
        <v>11890</v>
      </c>
      <c r="U22" s="66">
        <v>2000</v>
      </c>
      <c r="V22" s="65">
        <f t="shared" ca="1" si="12"/>
        <v>94.794246575342456</v>
      </c>
      <c r="W22" s="65">
        <f t="shared" ca="1" si="13"/>
        <v>9890</v>
      </c>
      <c r="X22" s="58"/>
    </row>
    <row r="23" spans="1:24" ht="21.75" customHeight="1">
      <c r="A23" s="61">
        <v>2</v>
      </c>
      <c r="B23" s="72">
        <v>43159</v>
      </c>
      <c r="C23" s="72">
        <v>43340</v>
      </c>
      <c r="D23" s="74">
        <v>8.7499999999999994E-2</v>
      </c>
      <c r="E23" s="78">
        <f t="shared" ref="E23:E24" si="15">F23*D23/2</f>
        <v>424375000</v>
      </c>
      <c r="F23" s="69">
        <v>9700000000</v>
      </c>
      <c r="G23" s="72">
        <v>43085</v>
      </c>
      <c r="H23" s="72">
        <v>43236</v>
      </c>
      <c r="I23" s="75">
        <v>2.8000000000000001E-2</v>
      </c>
      <c r="J23" s="83">
        <f t="shared" ref="J23:J28" si="16">K23*I23/12</f>
        <v>1083.1333333333334</v>
      </c>
      <c r="K23" s="66">
        <v>464200</v>
      </c>
      <c r="L23" s="69">
        <f>K23*22727</f>
        <v>10549873400</v>
      </c>
      <c r="M23" s="58" t="s">
        <v>33</v>
      </c>
      <c r="O23" s="71">
        <v>43140</v>
      </c>
      <c r="P23" s="71">
        <v>43505</v>
      </c>
      <c r="Q23" s="75">
        <v>0.105</v>
      </c>
      <c r="R23" s="98">
        <f t="shared" ca="1" si="10"/>
        <v>3</v>
      </c>
      <c r="S23" s="65">
        <v>27900</v>
      </c>
      <c r="T23" s="65">
        <f t="shared" ca="1" si="11"/>
        <v>20850</v>
      </c>
      <c r="U23" s="66">
        <v>2350</v>
      </c>
      <c r="V23" s="65">
        <f t="shared" ca="1" si="12"/>
        <v>179.93835616438355</v>
      </c>
      <c r="W23" s="65">
        <f t="shared" ca="1" si="13"/>
        <v>18500</v>
      </c>
      <c r="X23" s="58"/>
    </row>
    <row r="24" spans="1:24" ht="21.75" customHeight="1">
      <c r="A24" s="61">
        <v>3</v>
      </c>
      <c r="B24" s="72">
        <v>43171</v>
      </c>
      <c r="C24" s="72">
        <v>43324</v>
      </c>
      <c r="D24" s="74">
        <v>8.7499999999999994E-2</v>
      </c>
      <c r="E24" s="78">
        <f t="shared" si="15"/>
        <v>440562500</v>
      </c>
      <c r="F24" s="69">
        <v>10070000000</v>
      </c>
      <c r="G24" s="72">
        <v>43090</v>
      </c>
      <c r="H24" s="72">
        <v>43241</v>
      </c>
      <c r="I24" s="75">
        <v>2.8000000000000001E-2</v>
      </c>
      <c r="J24" s="83">
        <f t="shared" si="16"/>
        <v>206.15</v>
      </c>
      <c r="K24" s="66">
        <v>88350</v>
      </c>
      <c r="L24" s="69">
        <f>K24*22726</f>
        <v>2007842100</v>
      </c>
      <c r="M24" s="58" t="s">
        <v>33</v>
      </c>
      <c r="O24" s="71"/>
      <c r="P24" s="71"/>
      <c r="Q24" s="75"/>
      <c r="R24" s="74"/>
      <c r="S24" s="65"/>
      <c r="T24" s="65">
        <f t="shared" ref="T24:T26" ca="1" si="17">S24-(MONTH(TODAY())-MONTH(O24)-1)*U24</f>
        <v>0</v>
      </c>
      <c r="U24" s="66"/>
      <c r="V24" s="65">
        <f t="shared" ca="1" si="12"/>
        <v>0</v>
      </c>
      <c r="W24" s="65">
        <f t="shared" ref="W24:W26" ca="1" si="18">S24-(MONTH(TODAY())-MONTH(O24))*U24</f>
        <v>0</v>
      </c>
      <c r="X24" s="58"/>
    </row>
    <row r="25" spans="1:24" ht="21.75" customHeight="1">
      <c r="A25" s="61">
        <v>4</v>
      </c>
      <c r="B25" s="72">
        <v>43053</v>
      </c>
      <c r="C25" s="72">
        <v>43234</v>
      </c>
      <c r="D25" s="75">
        <v>8.3799999999999999E-2</v>
      </c>
      <c r="E25" s="77">
        <v>487897567</v>
      </c>
      <c r="F25" s="69">
        <v>11580000000</v>
      </c>
      <c r="G25" s="72">
        <v>43182</v>
      </c>
      <c r="H25" s="72">
        <v>43335</v>
      </c>
      <c r="I25" s="75">
        <v>2.8000000000000001E-2</v>
      </c>
      <c r="J25" s="83">
        <f t="shared" si="16"/>
        <v>1026.6666666666667</v>
      </c>
      <c r="K25" s="66">
        <v>440000</v>
      </c>
      <c r="L25" s="69">
        <f>K25*22705</f>
        <v>9990200000</v>
      </c>
      <c r="M25" s="58" t="s">
        <v>34</v>
      </c>
      <c r="O25" s="71"/>
      <c r="P25" s="71"/>
      <c r="Q25" s="75"/>
      <c r="R25" s="74"/>
      <c r="S25" s="65"/>
      <c r="T25" s="65">
        <f t="shared" ca="1" si="17"/>
        <v>0</v>
      </c>
      <c r="U25" s="66"/>
      <c r="V25" s="65">
        <f t="shared" ca="1" si="12"/>
        <v>0</v>
      </c>
      <c r="W25" s="65">
        <f t="shared" ca="1" si="18"/>
        <v>0</v>
      </c>
      <c r="X25" s="58"/>
    </row>
    <row r="26" spans="1:24" ht="21.75" customHeight="1">
      <c r="A26" s="61"/>
      <c r="B26" s="72"/>
      <c r="C26" s="72"/>
      <c r="D26" s="75"/>
      <c r="E26" s="77"/>
      <c r="F26" s="69"/>
      <c r="G26" s="72">
        <v>43201</v>
      </c>
      <c r="H26" s="72">
        <v>43354</v>
      </c>
      <c r="I26" s="75">
        <v>2.8000000000000001E-2</v>
      </c>
      <c r="J26" s="83">
        <f t="shared" si="16"/>
        <v>602</v>
      </c>
      <c r="K26" s="66">
        <v>258000</v>
      </c>
      <c r="L26" s="69">
        <f>K26*22705</f>
        <v>5857890000</v>
      </c>
      <c r="M26" s="58" t="s">
        <v>34</v>
      </c>
      <c r="O26" s="71"/>
      <c r="P26" s="71"/>
      <c r="Q26" s="64"/>
      <c r="R26" s="97"/>
      <c r="S26" s="65"/>
      <c r="T26" s="65">
        <f t="shared" ca="1" si="17"/>
        <v>0</v>
      </c>
      <c r="U26" s="67"/>
      <c r="V26" s="65">
        <f t="shared" ca="1" si="12"/>
        <v>0</v>
      </c>
      <c r="W26" s="65">
        <f t="shared" ca="1" si="18"/>
        <v>0</v>
      </c>
      <c r="X26" s="64"/>
    </row>
    <row r="27" spans="1:24" s="87" customFormat="1" ht="21.75" customHeight="1">
      <c r="A27" s="61">
        <v>5</v>
      </c>
      <c r="B27" s="72">
        <v>43061</v>
      </c>
      <c r="C27" s="72">
        <v>43242</v>
      </c>
      <c r="D27" s="75">
        <v>8.3799999999999999E-2</v>
      </c>
      <c r="E27" s="77">
        <v>353494006</v>
      </c>
      <c r="F27" s="69">
        <v>8390000000</v>
      </c>
      <c r="G27" s="72">
        <v>43207</v>
      </c>
      <c r="H27" s="72"/>
      <c r="I27" s="75">
        <v>2.8000000000000001E-2</v>
      </c>
      <c r="J27" s="83">
        <f t="shared" si="16"/>
        <v>462.93333333333334</v>
      </c>
      <c r="K27" s="66">
        <f>368400-170000</f>
        <v>198400</v>
      </c>
      <c r="L27" s="69">
        <f>K27*22719</f>
        <v>4507449600</v>
      </c>
      <c r="M27" s="58" t="s">
        <v>34</v>
      </c>
      <c r="N27" s="80"/>
      <c r="O27" s="111" t="s">
        <v>29</v>
      </c>
      <c r="P27" s="112"/>
      <c r="Q27" s="113"/>
      <c r="R27" s="101"/>
      <c r="S27" s="88">
        <f>SUM(S20:S26)</f>
        <v>194630</v>
      </c>
      <c r="T27" s="88">
        <f t="shared" ref="T27:W27" ca="1" si="19">SUM(T20:T26)</f>
        <v>80900</v>
      </c>
      <c r="U27" s="88">
        <f t="shared" si="19"/>
        <v>16290</v>
      </c>
      <c r="V27" s="88">
        <f t="shared" ca="1" si="19"/>
        <v>655.81643835616433</v>
      </c>
      <c r="W27" s="88">
        <f t="shared" ca="1" si="19"/>
        <v>64610</v>
      </c>
      <c r="X27" s="86"/>
    </row>
    <row r="28" spans="1:24" ht="21.75" customHeight="1">
      <c r="A28" s="61">
        <v>6</v>
      </c>
      <c r="B28" s="72">
        <v>43068</v>
      </c>
      <c r="C28" s="72">
        <v>43249</v>
      </c>
      <c r="D28" s="75">
        <v>8.3799999999999999E-2</v>
      </c>
      <c r="E28" s="77">
        <v>442394167</v>
      </c>
      <c r="F28" s="69">
        <v>10500000000</v>
      </c>
      <c r="G28" s="72">
        <v>43208</v>
      </c>
      <c r="H28" s="72"/>
      <c r="I28" s="75">
        <v>2.8000000000000001E-2</v>
      </c>
      <c r="J28" s="83">
        <f t="shared" si="16"/>
        <v>460.83333333333331</v>
      </c>
      <c r="K28" s="66">
        <v>197500</v>
      </c>
      <c r="L28" s="69">
        <f>K28*22714</f>
        <v>4486015000</v>
      </c>
      <c r="M28" s="58" t="s">
        <v>34</v>
      </c>
    </row>
    <row r="29" spans="1:24" ht="21.75" customHeight="1">
      <c r="A29" s="61"/>
      <c r="B29" s="72"/>
      <c r="C29" s="72"/>
      <c r="D29" s="75"/>
      <c r="E29" s="77"/>
      <c r="F29" s="69"/>
      <c r="G29" s="72">
        <v>43209</v>
      </c>
      <c r="H29" s="72"/>
      <c r="I29" s="75">
        <v>2.8000000000000001E-2</v>
      </c>
      <c r="J29" s="83">
        <f t="shared" ref="J29" si="20">K29*I29/12</f>
        <v>462</v>
      </c>
      <c r="K29" s="66">
        <v>198000</v>
      </c>
      <c r="L29" s="69">
        <f>K29*22714</f>
        <v>4497372000</v>
      </c>
      <c r="M29" s="58" t="s">
        <v>34</v>
      </c>
    </row>
    <row r="30" spans="1:24" ht="21.75" customHeight="1">
      <c r="A30" s="63"/>
      <c r="B30" s="73"/>
      <c r="C30" s="73"/>
      <c r="D30" s="76"/>
      <c r="E30" s="76"/>
      <c r="F30" s="70"/>
      <c r="G30" s="73"/>
      <c r="H30" s="73"/>
      <c r="I30" s="76"/>
      <c r="J30" s="76"/>
      <c r="K30" s="67"/>
      <c r="L30" s="70"/>
      <c r="M30" s="64"/>
    </row>
    <row r="31" spans="1:24" s="62" customFormat="1" ht="21.75" customHeight="1">
      <c r="A31" s="111" t="s">
        <v>29</v>
      </c>
      <c r="B31" s="113"/>
      <c r="C31" s="99"/>
      <c r="D31" s="99"/>
      <c r="E31" s="84">
        <f>SUM(E20:E30)</f>
        <v>2578785740</v>
      </c>
      <c r="F31" s="84">
        <f>SUM(F20:F30)</f>
        <v>60070000000</v>
      </c>
      <c r="G31" s="84"/>
      <c r="H31" s="84"/>
      <c r="I31" s="84"/>
      <c r="J31" s="85">
        <f>SUM(J20:J30)</f>
        <v>6133.9833333333336</v>
      </c>
      <c r="K31" s="85">
        <f>SUM(K20:K30)</f>
        <v>2628850</v>
      </c>
      <c r="L31" s="84">
        <f>SUM(L20:L30)</f>
        <v>59724485300</v>
      </c>
      <c r="M31" s="86"/>
      <c r="U31" s="91"/>
    </row>
    <row r="32" spans="1:24" s="62" customFormat="1" ht="20.25" customHeight="1">
      <c r="A32" s="59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spans="1:14" s="82" customFormat="1" ht="34.5" customHeight="1">
      <c r="A33" s="59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100"/>
      <c r="M33" s="57"/>
    </row>
    <row r="41" spans="1:14" s="87" customFormat="1" ht="20.25" customHeight="1">
      <c r="A41" s="59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80">
        <f t="shared" ref="N41" si="21">SUM(N34:N40)</f>
        <v>0</v>
      </c>
    </row>
  </sheetData>
  <mergeCells count="50">
    <mergeCell ref="A31:B31"/>
    <mergeCell ref="A17:A19"/>
    <mergeCell ref="B17:F17"/>
    <mergeCell ref="G17:L17"/>
    <mergeCell ref="M17:M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O12:Q12"/>
    <mergeCell ref="J3:J4"/>
    <mergeCell ref="X2:X4"/>
    <mergeCell ref="O2:W2"/>
    <mergeCell ref="O3:O4"/>
    <mergeCell ref="P3:P4"/>
    <mergeCell ref="Q3:Q4"/>
    <mergeCell ref="S3:S4"/>
    <mergeCell ref="T3:W3"/>
    <mergeCell ref="R3:R4"/>
    <mergeCell ref="A13:B13"/>
    <mergeCell ref="A2:A4"/>
    <mergeCell ref="B2:F2"/>
    <mergeCell ref="G2:L2"/>
    <mergeCell ref="M2:M4"/>
    <mergeCell ref="B3:B4"/>
    <mergeCell ref="C3:C4"/>
    <mergeCell ref="D3:D4"/>
    <mergeCell ref="E3:E4"/>
    <mergeCell ref="F3:F4"/>
    <mergeCell ref="G3:G4"/>
    <mergeCell ref="H3:H4"/>
    <mergeCell ref="I3:I4"/>
    <mergeCell ref="K3:K4"/>
    <mergeCell ref="L3:L4"/>
    <mergeCell ref="O27:Q27"/>
    <mergeCell ref="O17:W17"/>
    <mergeCell ref="X17:X19"/>
    <mergeCell ref="O18:O19"/>
    <mergeCell ref="P18:P19"/>
    <mergeCell ref="Q18:Q19"/>
    <mergeCell ref="R18:R19"/>
    <mergeCell ref="S18:S19"/>
    <mergeCell ref="T18:W18"/>
  </mergeCells>
  <pageMargins left="0.16" right="0.16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21"/>
  <sheetViews>
    <sheetView workbookViewId="0">
      <selection activeCell="M20" sqref="M20"/>
    </sheetView>
  </sheetViews>
  <sheetFormatPr defaultColWidth="17.140625" defaultRowHeight="20.25" customHeight="1"/>
  <cols>
    <col min="1" max="1" width="4.7109375" style="59" customWidth="1"/>
    <col min="2" max="2" width="18.85546875" style="59" customWidth="1"/>
    <col min="3" max="4" width="9.7109375" style="57" customWidth="1"/>
    <col min="5" max="5" width="7.140625" style="57" customWidth="1"/>
    <col min="6" max="6" width="14" style="57" customWidth="1"/>
    <col min="7" max="7" width="9.28515625" style="57" customWidth="1"/>
    <col min="8" max="8" width="2.42578125" style="57" customWidth="1"/>
    <col min="9" max="9" width="6.140625" style="57" customWidth="1"/>
    <col min="10" max="11" width="15.85546875" style="57" customWidth="1"/>
    <col min="12" max="13" width="8.7109375" style="57" customWidth="1"/>
    <col min="14" max="15" width="10.85546875" style="57" customWidth="1"/>
    <col min="16" max="16" width="16.42578125" style="57" customWidth="1"/>
    <col min="17" max="17" width="7.42578125" style="57" customWidth="1"/>
    <col min="18" max="16384" width="17.140625" style="57"/>
  </cols>
  <sheetData>
    <row r="1" spans="1:17" ht="20.25" customHeight="1">
      <c r="A1" s="79" t="s">
        <v>54</v>
      </c>
      <c r="B1" s="79"/>
    </row>
    <row r="2" spans="1:17" s="62" customFormat="1" ht="20.25" customHeight="1">
      <c r="A2" s="123" t="s">
        <v>23</v>
      </c>
      <c r="B2" s="117" t="s">
        <v>55</v>
      </c>
      <c r="C2" s="117"/>
      <c r="D2" s="117"/>
      <c r="E2" s="117"/>
      <c r="F2" s="117"/>
      <c r="G2" s="117" t="s">
        <v>30</v>
      </c>
      <c r="I2" s="123" t="s">
        <v>23</v>
      </c>
      <c r="J2" s="117" t="s">
        <v>58</v>
      </c>
      <c r="K2" s="117"/>
      <c r="L2" s="117"/>
      <c r="M2" s="117"/>
      <c r="N2" s="117"/>
      <c r="O2" s="114" t="s">
        <v>43</v>
      </c>
      <c r="P2" s="116"/>
      <c r="Q2" s="117" t="s">
        <v>30</v>
      </c>
    </row>
    <row r="3" spans="1:17" s="62" customFormat="1" ht="20.25" customHeight="1">
      <c r="A3" s="124"/>
      <c r="B3" s="117" t="s">
        <v>56</v>
      </c>
      <c r="C3" s="126" t="s">
        <v>28</v>
      </c>
      <c r="D3" s="126" t="s">
        <v>31</v>
      </c>
      <c r="E3" s="126" t="s">
        <v>32</v>
      </c>
      <c r="F3" s="126" t="s">
        <v>0</v>
      </c>
      <c r="G3" s="117"/>
      <c r="I3" s="124"/>
      <c r="J3" s="117" t="s">
        <v>56</v>
      </c>
      <c r="K3" s="126" t="s">
        <v>12</v>
      </c>
      <c r="L3" s="126" t="s">
        <v>32</v>
      </c>
      <c r="M3" s="126" t="s">
        <v>28</v>
      </c>
      <c r="N3" s="126" t="s">
        <v>31</v>
      </c>
      <c r="O3" s="126" t="s">
        <v>59</v>
      </c>
      <c r="P3" s="126" t="s">
        <v>12</v>
      </c>
      <c r="Q3" s="117"/>
    </row>
    <row r="4" spans="1:17" s="82" customFormat="1" ht="34.5" customHeight="1">
      <c r="A4" s="125"/>
      <c r="B4" s="117"/>
      <c r="C4" s="126"/>
      <c r="D4" s="126"/>
      <c r="E4" s="126"/>
      <c r="F4" s="126"/>
      <c r="G4" s="117"/>
      <c r="I4" s="125"/>
      <c r="J4" s="117"/>
      <c r="K4" s="126"/>
      <c r="L4" s="126"/>
      <c r="M4" s="126"/>
      <c r="N4" s="126"/>
      <c r="O4" s="126"/>
      <c r="P4" s="126"/>
      <c r="Q4" s="117"/>
    </row>
    <row r="5" spans="1:17" ht="20.25" customHeight="1">
      <c r="A5" s="60">
        <v>1</v>
      </c>
      <c r="B5" s="60" t="s">
        <v>61</v>
      </c>
      <c r="C5" s="71">
        <v>43202</v>
      </c>
      <c r="D5" s="71">
        <v>43385</v>
      </c>
      <c r="E5" s="74">
        <v>3.4000000000000002E-2</v>
      </c>
      <c r="F5" s="65">
        <v>87000</v>
      </c>
      <c r="G5" s="58"/>
      <c r="I5" s="60">
        <v>1</v>
      </c>
      <c r="J5" s="60" t="s">
        <v>57</v>
      </c>
      <c r="K5" s="78">
        <v>16832700000</v>
      </c>
      <c r="L5" s="74">
        <v>0.10199999999999999</v>
      </c>
      <c r="M5" s="72">
        <v>43194</v>
      </c>
      <c r="N5" s="72">
        <v>46235</v>
      </c>
      <c r="O5" s="71">
        <v>43217</v>
      </c>
      <c r="P5" s="68">
        <v>3000000000</v>
      </c>
      <c r="Q5" s="58"/>
    </row>
    <row r="6" spans="1:17" ht="20.25" customHeight="1">
      <c r="A6" s="61">
        <v>2</v>
      </c>
      <c r="B6" s="60" t="s">
        <v>60</v>
      </c>
      <c r="C6" s="72">
        <v>43217</v>
      </c>
      <c r="D6" s="72">
        <v>43400</v>
      </c>
      <c r="E6" s="74">
        <v>3.4000000000000002E-2</v>
      </c>
      <c r="F6" s="66">
        <v>126300</v>
      </c>
      <c r="G6" s="58"/>
      <c r="I6" s="61">
        <v>2</v>
      </c>
      <c r="J6" s="60"/>
      <c r="K6" s="78"/>
      <c r="L6" s="74"/>
      <c r="M6" s="60"/>
      <c r="N6" s="72"/>
      <c r="O6" s="72"/>
      <c r="P6" s="69"/>
      <c r="Q6" s="58"/>
    </row>
    <row r="7" spans="1:17" ht="20.25" customHeight="1">
      <c r="A7" s="60">
        <v>3</v>
      </c>
      <c r="B7" s="60"/>
      <c r="C7" s="72"/>
      <c r="D7" s="72"/>
      <c r="E7" s="74"/>
      <c r="F7" s="66"/>
      <c r="G7" s="58"/>
      <c r="I7" s="60">
        <v>3</v>
      </c>
      <c r="J7" s="60"/>
      <c r="K7" s="78"/>
      <c r="L7" s="74"/>
      <c r="M7" s="60"/>
      <c r="N7" s="72"/>
      <c r="O7" s="72"/>
      <c r="P7" s="69"/>
      <c r="Q7" s="58"/>
    </row>
    <row r="8" spans="1:17" ht="20.25" customHeight="1">
      <c r="A8" s="61">
        <v>4</v>
      </c>
      <c r="B8" s="61"/>
      <c r="C8" s="72"/>
      <c r="D8" s="72"/>
      <c r="E8" s="75"/>
      <c r="F8" s="66"/>
      <c r="G8" s="58"/>
      <c r="I8" s="61">
        <v>4</v>
      </c>
      <c r="J8" s="61"/>
      <c r="K8" s="78"/>
      <c r="L8" s="74"/>
      <c r="M8" s="61"/>
      <c r="N8" s="72"/>
      <c r="O8" s="72"/>
      <c r="P8" s="69"/>
      <c r="Q8" s="58"/>
    </row>
    <row r="9" spans="1:17" ht="20.25" customHeight="1">
      <c r="A9" s="60">
        <v>5</v>
      </c>
      <c r="B9" s="60"/>
      <c r="C9" s="72"/>
      <c r="D9" s="72"/>
      <c r="E9" s="75"/>
      <c r="F9" s="66"/>
      <c r="G9" s="58"/>
      <c r="I9" s="60">
        <v>5</v>
      </c>
      <c r="J9" s="60"/>
      <c r="K9" s="78"/>
      <c r="L9" s="74"/>
      <c r="M9" s="60"/>
      <c r="N9" s="72"/>
      <c r="O9" s="72"/>
      <c r="P9" s="69"/>
      <c r="Q9" s="58"/>
    </row>
    <row r="10" spans="1:17" ht="20.25" customHeight="1">
      <c r="A10" s="61">
        <v>6</v>
      </c>
      <c r="B10" s="61"/>
      <c r="C10" s="72"/>
      <c r="D10" s="72"/>
      <c r="E10" s="75"/>
      <c r="F10" s="66"/>
      <c r="G10" s="58"/>
      <c r="I10" s="61">
        <v>6</v>
      </c>
      <c r="J10" s="61"/>
      <c r="K10" s="78"/>
      <c r="L10" s="74"/>
      <c r="M10" s="61"/>
      <c r="N10" s="72"/>
      <c r="O10" s="72"/>
      <c r="P10" s="69"/>
      <c r="Q10" s="58"/>
    </row>
    <row r="11" spans="1:17" ht="20.25" customHeight="1">
      <c r="A11" s="60">
        <v>7</v>
      </c>
      <c r="B11" s="60"/>
      <c r="C11" s="72"/>
      <c r="D11" s="72"/>
      <c r="E11" s="75"/>
      <c r="F11" s="66"/>
      <c r="G11" s="58"/>
      <c r="I11" s="60">
        <v>7</v>
      </c>
      <c r="J11" s="60"/>
      <c r="K11" s="78"/>
      <c r="L11" s="74"/>
      <c r="M11" s="60"/>
      <c r="N11" s="72"/>
      <c r="O11" s="72"/>
      <c r="P11" s="69"/>
      <c r="Q11" s="58"/>
    </row>
    <row r="12" spans="1:17" s="87" customFormat="1" ht="20.25" customHeight="1">
      <c r="A12" s="63"/>
      <c r="B12" s="63"/>
      <c r="C12" s="73"/>
      <c r="D12" s="73"/>
      <c r="E12" s="76"/>
      <c r="F12" s="67"/>
      <c r="G12" s="64"/>
      <c r="I12" s="63"/>
      <c r="J12" s="63"/>
      <c r="K12" s="78"/>
      <c r="L12" s="63"/>
      <c r="M12" s="63"/>
      <c r="N12" s="73"/>
      <c r="O12" s="73"/>
      <c r="P12" s="70"/>
      <c r="Q12" s="64"/>
    </row>
    <row r="13" spans="1:17" s="87" customFormat="1" ht="20.25" customHeight="1">
      <c r="A13" s="111" t="s">
        <v>29</v>
      </c>
      <c r="B13" s="112"/>
      <c r="C13" s="113"/>
      <c r="D13" s="101"/>
      <c r="E13" s="101"/>
      <c r="F13" s="85">
        <f>SUM(F5:F12)</f>
        <v>213300</v>
      </c>
      <c r="G13" s="86"/>
      <c r="I13" s="111" t="s">
        <v>29</v>
      </c>
      <c r="J13" s="112"/>
      <c r="K13" s="84">
        <f t="shared" ref="K13" si="0">SUM(K5:K12)</f>
        <v>16832700000</v>
      </c>
      <c r="L13" s="84"/>
      <c r="M13" s="84"/>
      <c r="N13" s="84"/>
      <c r="O13" s="84"/>
      <c r="P13" s="84">
        <f>SUM(P5:P12)</f>
        <v>3000000000</v>
      </c>
      <c r="Q13" s="86"/>
    </row>
    <row r="15" spans="1:17" s="62" customFormat="1" ht="20.25" customHeight="1">
      <c r="A15" s="59"/>
      <c r="B15" s="59"/>
      <c r="C15" s="57"/>
      <c r="D15" s="57"/>
      <c r="E15" s="57"/>
      <c r="F15" s="57"/>
      <c r="G15" s="57"/>
      <c r="N15" s="62" t="s">
        <v>62</v>
      </c>
      <c r="P15" s="102">
        <f>K13-P13</f>
        <v>13832700000</v>
      </c>
    </row>
    <row r="21" spans="1:7" s="87" customFormat="1" ht="20.25" customHeight="1">
      <c r="A21" s="59"/>
      <c r="B21" s="59"/>
      <c r="C21" s="57"/>
      <c r="D21" s="57"/>
      <c r="E21" s="57"/>
      <c r="F21" s="57"/>
      <c r="G21" s="57"/>
    </row>
  </sheetData>
  <mergeCells count="21">
    <mergeCell ref="B2:F2"/>
    <mergeCell ref="B3:B4"/>
    <mergeCell ref="A13:C13"/>
    <mergeCell ref="F3:F4"/>
    <mergeCell ref="I2:I4"/>
    <mergeCell ref="A2:A4"/>
    <mergeCell ref="G2:G4"/>
    <mergeCell ref="C3:C4"/>
    <mergeCell ref="D3:D4"/>
    <mergeCell ref="E3:E4"/>
    <mergeCell ref="I13:J13"/>
    <mergeCell ref="Q2:Q4"/>
    <mergeCell ref="J3:J4"/>
    <mergeCell ref="N3:N4"/>
    <mergeCell ref="O3:O4"/>
    <mergeCell ref="P3:P4"/>
    <mergeCell ref="J2:N2"/>
    <mergeCell ref="O2:P2"/>
    <mergeCell ref="K3:K4"/>
    <mergeCell ref="L3:L4"/>
    <mergeCell ref="M3:M4"/>
  </mergeCells>
  <pageMargins left="0.16" right="0.1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PVCOMBANK</vt:lpstr>
      <vt:lpstr>VPBANK - 2018</vt:lpstr>
      <vt:lpstr>VPBANK - TV</vt:lpstr>
      <vt:lpstr>'VPBANK - 2018'!Print_Area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2018-05-02T08:43:29Z</cp:lastPrinted>
  <dcterms:created xsi:type="dcterms:W3CDTF">2016-07-02T08:51:17Z</dcterms:created>
  <dcterms:modified xsi:type="dcterms:W3CDTF">2018-05-15T01:56:46Z</dcterms:modified>
</cp:coreProperties>
</file>