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25" windowWidth="13020" windowHeight="8655" activeTab="5"/>
  </bookViews>
  <sheets>
    <sheet name="TH" sheetId="5" r:id="rId1"/>
    <sheet name="UNC - PV" sheetId="2" r:id="rId2"/>
    <sheet name="UNC - PV (3)" sheetId="20" r:id="rId3"/>
    <sheet name="UNC - PV (2)" sheetId="19" r:id="rId4"/>
    <sheet name="UNC - PV (4)" sheetId="21" r:id="rId5"/>
    <sheet name="UNC - KM" sheetId="18" r:id="rId6"/>
    <sheet name="UNC - EIB" sheetId="6" r:id="rId7"/>
    <sheet name="LC - PV" sheetId="4" r:id="rId8"/>
    <sheet name="LC - EIB" sheetId="7" r:id="rId9"/>
    <sheet name="U&amp;P" sheetId="8" r:id="rId10"/>
  </sheets>
  <externalReferences>
    <externalReference r:id="rId11"/>
  </externalReferences>
  <definedNames>
    <definedName name="_Fill" localSheetId="9" hidden="1">#REF!</definedName>
    <definedName name="_Fill" localSheetId="3" hidden="1">#REF!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0" hidden="1">TH!$B$3:$X$344</definedName>
    <definedName name="dgd" hidden="1">#REF!</definedName>
    <definedName name="Dong">IF(Loai="p1",ROW(Loai)-1,"")</definedName>
    <definedName name="DS">TH!$A$4:$Q$343</definedName>
    <definedName name="Loai">OFFSET(TH!$R$4,,,COUNTA(TH!$R$4:$R$39914))</definedName>
    <definedName name="N_1">TH!$R$4:$R$343</definedName>
    <definedName name="_xlnm.Print_Area" localSheetId="8">'LC - EIB'!$A$1:$Q$33</definedName>
    <definedName name="_xlnm.Print_Area" localSheetId="7">'LC - PV'!$A$1:$N$18</definedName>
    <definedName name="_xlnm.Print_Area" localSheetId="6">'UNC - EIB'!$A$1:$P$32</definedName>
    <definedName name="_xlnm.Print_Area" localSheetId="1">'UNC - PV'!$A$1:$M$17</definedName>
    <definedName name="_xlnm.Print_Area" localSheetId="3">'UNC - PV (2)'!$A$1:$M$16</definedName>
    <definedName name="_xlnm.Print_Area" localSheetId="2">'UNC - PV (3)'!$A$1:$M$16</definedName>
    <definedName name="_xlnm.Print_Area" localSheetId="4">'UNC - PV (4)'!$A$1:$M$16</definedName>
  </definedNames>
  <calcPr calcId="144525"/>
</workbook>
</file>

<file path=xl/calcChain.xml><?xml version="1.0" encoding="utf-8"?>
<calcChain xmlns="http://schemas.openxmlformats.org/spreadsheetml/2006/main">
  <c r="B328" i="5" l="1"/>
  <c r="B329" i="5"/>
  <c r="B330" i="5"/>
  <c r="B331" i="5"/>
  <c r="B332" i="5"/>
  <c r="B333" i="5"/>
  <c r="B334" i="5"/>
  <c r="B335" i="5"/>
  <c r="P327" i="5" l="1"/>
  <c r="R335" i="5"/>
  <c r="A335" i="5"/>
  <c r="R334" i="5"/>
  <c r="A334" i="5"/>
  <c r="R333" i="5"/>
  <c r="A333" i="5"/>
  <c r="R332" i="5"/>
  <c r="A332" i="5"/>
  <c r="R331" i="5"/>
  <c r="A331" i="5"/>
  <c r="R330" i="5"/>
  <c r="A330" i="5"/>
  <c r="R329" i="5"/>
  <c r="A329" i="5"/>
  <c r="R328" i="5"/>
  <c r="A328" i="5"/>
  <c r="R339" i="5"/>
  <c r="B339" i="5"/>
  <c r="A339" i="5"/>
  <c r="R338" i="5"/>
  <c r="B338" i="5"/>
  <c r="A338" i="5"/>
  <c r="R337" i="5"/>
  <c r="B337" i="5"/>
  <c r="A337" i="5"/>
  <c r="R336" i="5"/>
  <c r="B336" i="5"/>
  <c r="A336" i="5"/>
  <c r="R341" i="5"/>
  <c r="B341" i="5"/>
  <c r="A341" i="5"/>
  <c r="R340" i="5"/>
  <c r="B340" i="5"/>
  <c r="A340" i="5"/>
  <c r="R342" i="5"/>
  <c r="B342" i="5"/>
  <c r="A342" i="5"/>
  <c r="P326" i="5" l="1"/>
  <c r="R325" i="5"/>
  <c r="B325" i="5"/>
  <c r="A325" i="5"/>
  <c r="P324" i="5" l="1"/>
  <c r="P323" i="5"/>
  <c r="A323" i="5"/>
  <c r="B323" i="5"/>
  <c r="R323" i="5"/>
  <c r="P322" i="5" l="1"/>
  <c r="P321" i="5" l="1"/>
  <c r="P315" i="5" l="1"/>
  <c r="R315" i="5" s="1"/>
  <c r="B315" i="5"/>
  <c r="A315" i="5"/>
  <c r="R314" i="5" l="1"/>
  <c r="B314" i="5"/>
  <c r="A314" i="5"/>
  <c r="P312" i="5" l="1"/>
  <c r="P309" i="5" l="1"/>
  <c r="P308" i="5" l="1"/>
  <c r="P300" i="5" l="1"/>
  <c r="R312" i="5" l="1"/>
  <c r="B312" i="5"/>
  <c r="A312" i="5"/>
  <c r="R311" i="5"/>
  <c r="B311" i="5"/>
  <c r="A311" i="5"/>
  <c r="R310" i="5"/>
  <c r="B310" i="5"/>
  <c r="A310" i="5"/>
  <c r="R309" i="5"/>
  <c r="B309" i="5"/>
  <c r="A309" i="5"/>
  <c r="R308" i="5"/>
  <c r="B308" i="5"/>
  <c r="A308" i="5"/>
  <c r="R307" i="5"/>
  <c r="B307" i="5"/>
  <c r="A307" i="5"/>
  <c r="R306" i="5"/>
  <c r="B306" i="5"/>
  <c r="A306" i="5"/>
  <c r="R305" i="5"/>
  <c r="B305" i="5"/>
  <c r="A305" i="5"/>
  <c r="R304" i="5"/>
  <c r="B304" i="5"/>
  <c r="A304" i="5"/>
  <c r="R303" i="5"/>
  <c r="B303" i="5"/>
  <c r="A303" i="5"/>
  <c r="R302" i="5"/>
  <c r="B302" i="5"/>
  <c r="A302" i="5"/>
  <c r="R301" i="5"/>
  <c r="B301" i="5"/>
  <c r="A301" i="5"/>
  <c r="R300" i="5"/>
  <c r="B300" i="5"/>
  <c r="A300" i="5"/>
  <c r="R317" i="5"/>
  <c r="B317" i="5"/>
  <c r="A317" i="5"/>
  <c r="R316" i="5"/>
  <c r="B316" i="5"/>
  <c r="A316" i="5"/>
  <c r="R313" i="5"/>
  <c r="B313" i="5"/>
  <c r="A313" i="5"/>
  <c r="R322" i="5"/>
  <c r="B322" i="5"/>
  <c r="A322" i="5"/>
  <c r="R321" i="5"/>
  <c r="B321" i="5"/>
  <c r="A321" i="5"/>
  <c r="R320" i="5"/>
  <c r="B320" i="5"/>
  <c r="A320" i="5"/>
  <c r="R319" i="5"/>
  <c r="B319" i="5"/>
  <c r="A319" i="5"/>
  <c r="R318" i="5"/>
  <c r="B318" i="5"/>
  <c r="A318" i="5"/>
  <c r="P296" i="5" l="1"/>
  <c r="P295" i="5" l="1"/>
  <c r="P288" i="5" l="1"/>
  <c r="P287" i="5" l="1"/>
  <c r="P286" i="5"/>
  <c r="P285" i="5" l="1"/>
  <c r="L6" i="21" l="1"/>
  <c r="K6" i="21"/>
  <c r="E5" i="21"/>
  <c r="A1" i="21"/>
  <c r="R286" i="5"/>
  <c r="B286" i="5"/>
  <c r="A286" i="5"/>
  <c r="R285" i="5"/>
  <c r="B285" i="5"/>
  <c r="A285" i="5"/>
  <c r="R284" i="5"/>
  <c r="B284" i="5"/>
  <c r="A284" i="5"/>
  <c r="R283" i="5"/>
  <c r="B283" i="5"/>
  <c r="A283" i="5"/>
  <c r="R282" i="5"/>
  <c r="B282" i="5"/>
  <c r="A282" i="5"/>
  <c r="R281" i="5"/>
  <c r="B281" i="5"/>
  <c r="A281" i="5"/>
  <c r="R292" i="5"/>
  <c r="B292" i="5"/>
  <c r="A292" i="5"/>
  <c r="R291" i="5"/>
  <c r="B291" i="5"/>
  <c r="A291" i="5"/>
  <c r="R290" i="5"/>
  <c r="B290" i="5"/>
  <c r="A290" i="5"/>
  <c r="R289" i="5"/>
  <c r="B289" i="5"/>
  <c r="A289" i="5"/>
  <c r="R288" i="5"/>
  <c r="B288" i="5"/>
  <c r="A288" i="5"/>
  <c r="R287" i="5"/>
  <c r="B287" i="5"/>
  <c r="A287" i="5"/>
  <c r="R298" i="5"/>
  <c r="B298" i="5"/>
  <c r="A298" i="5"/>
  <c r="R297" i="5"/>
  <c r="B297" i="5"/>
  <c r="A297" i="5"/>
  <c r="R296" i="5"/>
  <c r="B296" i="5"/>
  <c r="A296" i="5"/>
  <c r="R295" i="5"/>
  <c r="B295" i="5"/>
  <c r="A295" i="5"/>
  <c r="R294" i="5"/>
  <c r="B294" i="5"/>
  <c r="A294" i="5"/>
  <c r="R293" i="5"/>
  <c r="B293" i="5"/>
  <c r="A293" i="5"/>
  <c r="P276" i="5" l="1"/>
  <c r="P275" i="5" l="1"/>
  <c r="P274" i="5" l="1"/>
  <c r="P273" i="5" l="1"/>
  <c r="P272" i="5" l="1"/>
  <c r="R261" i="5" l="1"/>
  <c r="R264" i="5"/>
  <c r="R265" i="5"/>
  <c r="R266" i="5"/>
  <c r="R268" i="5"/>
  <c r="R271" i="5"/>
  <c r="R272" i="5"/>
  <c r="R273" i="5"/>
  <c r="R274" i="5"/>
  <c r="R275" i="5"/>
  <c r="R276" i="5"/>
  <c r="R277" i="5"/>
  <c r="R278" i="5"/>
  <c r="P270" i="5" l="1"/>
  <c r="R270" i="5" s="1"/>
  <c r="P269" i="5" l="1"/>
  <c r="R269" i="5" s="1"/>
  <c r="P267" i="5" l="1"/>
  <c r="R267" i="5" s="1"/>
  <c r="B265" i="5" l="1"/>
  <c r="A265" i="5"/>
  <c r="P263" i="5" l="1"/>
  <c r="R263" i="5" s="1"/>
  <c r="P262" i="5"/>
  <c r="R262" i="5" s="1"/>
  <c r="P260" i="5" l="1"/>
  <c r="R260" i="5" s="1"/>
  <c r="P259" i="5" l="1"/>
  <c r="R259" i="5" s="1"/>
  <c r="P258" i="5"/>
  <c r="R258" i="5" s="1"/>
  <c r="B259" i="5"/>
  <c r="A259" i="5"/>
  <c r="B258" i="5"/>
  <c r="A258" i="5"/>
  <c r="P256" i="5" l="1"/>
  <c r="P255" i="5" l="1"/>
  <c r="B269" i="5" l="1"/>
  <c r="A269" i="5"/>
  <c r="B268" i="5"/>
  <c r="A268" i="5"/>
  <c r="B267" i="5"/>
  <c r="A267" i="5"/>
  <c r="B266" i="5"/>
  <c r="A266" i="5"/>
  <c r="B264" i="5"/>
  <c r="A264" i="5"/>
  <c r="B263" i="5"/>
  <c r="A263" i="5"/>
  <c r="B262" i="5"/>
  <c r="A262" i="5"/>
  <c r="B261" i="5"/>
  <c r="A261" i="5"/>
  <c r="B260" i="5"/>
  <c r="A260" i="5"/>
  <c r="R257" i="5"/>
  <c r="B257" i="5"/>
  <c r="A257" i="5"/>
  <c r="R256" i="5"/>
  <c r="B256" i="5"/>
  <c r="A256" i="5"/>
  <c r="R255" i="5"/>
  <c r="B255" i="5"/>
  <c r="A255" i="5"/>
  <c r="R254" i="5"/>
  <c r="B254" i="5"/>
  <c r="A254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R299" i="5"/>
  <c r="B299" i="5"/>
  <c r="A299" i="5"/>
  <c r="R280" i="5"/>
  <c r="B280" i="5"/>
  <c r="A280" i="5"/>
  <c r="R279" i="5"/>
  <c r="B279" i="5"/>
  <c r="A279" i="5"/>
  <c r="B278" i="5"/>
  <c r="A278" i="5"/>
  <c r="B277" i="5"/>
  <c r="A277" i="5"/>
  <c r="B276" i="5"/>
  <c r="A276" i="5"/>
  <c r="E7" i="18"/>
  <c r="P252" i="5"/>
  <c r="P246" i="5" l="1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6" i="5"/>
  <c r="R97" i="5"/>
  <c r="R98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6" i="5"/>
  <c r="R197" i="5"/>
  <c r="R199" i="5"/>
  <c r="R200" i="5"/>
  <c r="R201" i="5"/>
  <c r="R202" i="5"/>
  <c r="R203" i="5"/>
  <c r="R204" i="5"/>
  <c r="R206" i="5"/>
  <c r="R207" i="5"/>
  <c r="R208" i="5"/>
  <c r="R209" i="5"/>
  <c r="R210" i="5"/>
  <c r="R211" i="5"/>
  <c r="R212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5" i="5"/>
  <c r="R236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324" i="5"/>
  <c r="R326" i="5"/>
  <c r="R327" i="5"/>
  <c r="R343" i="5"/>
  <c r="P237" i="5" l="1"/>
  <c r="R237" i="5" s="1"/>
  <c r="B242" i="5" l="1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P234" i="5"/>
  <c r="R234" i="5" s="1"/>
  <c r="P233" i="5"/>
  <c r="R233" i="5" s="1"/>
  <c r="B228" i="5" l="1"/>
  <c r="A228" i="5"/>
  <c r="B226" i="5" l="1"/>
  <c r="A226" i="5"/>
  <c r="B225" i="5"/>
  <c r="A225" i="5"/>
  <c r="P213" i="5" l="1"/>
  <c r="R213" i="5" s="1"/>
  <c r="L6" i="20" l="1"/>
  <c r="K6" i="20"/>
  <c r="E5" i="20"/>
  <c r="A1" i="20"/>
  <c r="L6" i="19"/>
  <c r="K6" i="19"/>
  <c r="E5" i="19"/>
  <c r="A1" i="19"/>
  <c r="P198" i="5" l="1"/>
  <c r="R198" i="5" s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51" i="5"/>
  <c r="A251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A1" i="18"/>
  <c r="K7" i="2" l="1"/>
  <c r="E6" i="2"/>
  <c r="P195" i="5" l="1"/>
  <c r="R195" i="5" s="1"/>
  <c r="P194" i="5"/>
  <c r="R194" i="5" s="1"/>
  <c r="P181" i="5" l="1"/>
  <c r="R181" i="5" s="1"/>
  <c r="B183" i="5" l="1"/>
  <c r="A183" i="5"/>
  <c r="B182" i="5"/>
  <c r="A182" i="5"/>
  <c r="B181" i="5"/>
  <c r="A181" i="5"/>
  <c r="B180" i="5"/>
  <c r="A180" i="5"/>
  <c r="B179" i="5"/>
  <c r="A179" i="5"/>
  <c r="B178" i="5"/>
  <c r="A178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252" i="5"/>
  <c r="A252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71" i="5" l="1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324" i="5"/>
  <c r="A324" i="5"/>
  <c r="B253" i="5"/>
  <c r="A253" i="5"/>
  <c r="B159" i="5" l="1"/>
  <c r="A159" i="5"/>
  <c r="B158" i="5"/>
  <c r="A158" i="5"/>
  <c r="B157" i="5"/>
  <c r="A157" i="5"/>
  <c r="B156" i="5"/>
  <c r="A156" i="5"/>
  <c r="B326" i="5"/>
  <c r="A326" i="5"/>
  <c r="B327" i="5"/>
  <c r="A327" i="5"/>
  <c r="P124" i="5" l="1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A127" i="5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40" i="5"/>
  <c r="A137" i="5"/>
  <c r="A133" i="5"/>
  <c r="A132" i="5"/>
  <c r="A138" i="5"/>
  <c r="A134" i="5"/>
  <c r="A128" i="5"/>
  <c r="A139" i="5"/>
  <c r="A136" i="5"/>
  <c r="A146" i="5"/>
  <c r="A142" i="5"/>
  <c r="A147" i="5"/>
  <c r="A143" i="5"/>
  <c r="A148" i="5"/>
  <c r="A144" i="5"/>
  <c r="A141" i="5"/>
  <c r="A145" i="5"/>
  <c r="P99" i="5"/>
  <c r="R99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R95" i="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343" i="5"/>
  <c r="B88" i="5"/>
  <c r="B89" i="5"/>
  <c r="B90" i="5"/>
  <c r="B91" i="5"/>
  <c r="B92" i="5"/>
  <c r="B93" i="5"/>
  <c r="B94" i="5"/>
  <c r="B95" i="5"/>
  <c r="R5" i="5"/>
  <c r="B74" i="5"/>
  <c r="B73" i="5"/>
  <c r="P70" i="5"/>
  <c r="R70" i="5" s="1"/>
  <c r="P69" i="5"/>
  <c r="R69" i="5" s="1"/>
  <c r="P65" i="5"/>
  <c r="R65" i="5" s="1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 s="1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343" i="5"/>
  <c r="B4" i="5"/>
  <c r="A1" i="2"/>
  <c r="L7" i="2"/>
  <c r="E15" i="2" l="1"/>
  <c r="F6" i="19"/>
  <c r="E14" i="19"/>
  <c r="L9" i="19"/>
  <c r="E15" i="21"/>
  <c r="E14" i="21"/>
  <c r="F10" i="21"/>
  <c r="F6" i="21"/>
  <c r="L9" i="21"/>
  <c r="E15" i="20"/>
  <c r="E15" i="19"/>
  <c r="E14" i="20"/>
  <c r="F11" i="20"/>
  <c r="F9" i="20"/>
  <c r="F10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H10" i="6"/>
  <c r="C23" i="6"/>
  <c r="I13" i="4"/>
  <c r="N13" i="4"/>
  <c r="C9" i="7"/>
  <c r="L17" i="7"/>
  <c r="C6" i="6"/>
  <c r="E16" i="2"/>
  <c r="C13" i="7"/>
  <c r="F9" i="18"/>
  <c r="F8" i="2"/>
  <c r="F7" i="21"/>
  <c r="F7" i="20"/>
  <c r="F7" i="19"/>
  <c r="C20" i="6"/>
  <c r="C21" i="7"/>
  <c r="F9" i="4"/>
</calcChain>
</file>

<file path=xl/sharedStrings.xml><?xml version="1.0" encoding="utf-8"?>
<sst xmlns="http://schemas.openxmlformats.org/spreadsheetml/2006/main" count="2613" uniqueCount="501">
  <si>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</si>
  <si>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</si>
  <si>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</si>
  <si>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</si>
  <si>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</si>
  <si>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</si>
  <si>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</si>
  <si>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</si>
  <si>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</si>
  <si>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</si>
  <si>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</si>
  <si>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</si>
  <si>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</si>
  <si>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</si>
  <si>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</si>
  <si>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</si>
  <si>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</si>
  <si>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</si>
  <si>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</si>
  <si>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</si>
  <si>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</si>
  <si>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</si>
  <si>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</si>
  <si>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</si>
  <si>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</si>
  <si>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</si>
  <si>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</si>
  <si>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</si>
  <si>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</si>
  <si>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</si>
  <si>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</si>
  <si>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</si>
  <si>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</si>
  <si>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</si>
  <si>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</si>
  <si>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</si>
  <si>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</si>
  <si>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</si>
  <si>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</si>
  <si>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</si>
  <si>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</si>
  <si>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</si>
  <si>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</si>
  <si>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</si>
  <si>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</si>
  <si>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</si>
  <si>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</si>
  <si>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</si>
  <si>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</si>
  <si>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</si>
  <si>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</si>
  <si>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</si>
  <si>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</si>
  <si>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</si>
  <si>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</si>
  <si>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</si>
  <si>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</si>
  <si>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</si>
  <si>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</si>
  <si>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</si>
  <si>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</si>
  <si>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</si>
  <si>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</si>
  <si>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</si>
  <si>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</si>
  <si>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</si>
  <si>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</si>
  <si>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</si>
  <si>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</si>
  <si>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</si>
  <si>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</si>
  <si>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</si>
  <si>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</si>
  <si>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</si>
  <si>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</si>
  <si>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</si>
  <si>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</si>
  <si>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</si>
  <si>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</si>
  <si>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</si>
  <si>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</si>
  <si>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</si>
  <si>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</si>
  <si>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</si>
  <si>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</si>
  <si>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</si>
  <si>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</si>
  <si>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</si>
  <si>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</si>
  <si>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</si>
  <si>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</si>
  <si>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</si>
  <si>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</si>
  <si>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</si>
  <si>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</si>
  <si>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</si>
  <si>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</si>
  <si>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</si>
  <si>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</si>
  <si>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</si>
  <si>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</si>
  <si>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</si>
  <si>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</si>
  <si>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</si>
  <si>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</si>
  <si>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</si>
  <si>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</si>
  <si>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</si>
  <si>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</si>
  <si>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</si>
  <si>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</si>
  <si>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</si>
  <si>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</si>
  <si>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</si>
  <si>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</si>
  <si>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</si>
  <si>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</si>
  <si>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</si>
  <si>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</si>
  <si>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</si>
  <si>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</si>
  <si>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</si>
  <si>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</si>
  <si>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</si>
  <si>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</si>
  <si>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</si>
  <si>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</si>
  <si>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</si>
  <si>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</si>
  <si>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</si>
  <si>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</si>
  <si>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</si>
  <si>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</si>
  <si>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</si>
  <si>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</si>
  <si>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</si>
  <si>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</si>
  <si>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</si>
  <si>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</si>
  <si>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</si>
  <si>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</si>
  <si>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</si>
  <si>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</si>
  <si>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</si>
  <si>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</si>
  <si>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</si>
  <si>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</si>
  <si>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</si>
  <si>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</si>
  <si>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</si>
  <si>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</si>
  <si>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</si>
  <si>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</si>
  <si>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</si>
  <si>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</si>
  <si>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</si>
  <si>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</si>
  <si>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</si>
  <si>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</si>
  <si>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</si>
  <si>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</si>
  <si>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</si>
  <si>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</si>
  <si>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</si>
  <si>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</si>
  <si>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</si>
  <si>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</si>
  <si>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</si>
  <si>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</si>
  <si>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</si>
  <si>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</si>
  <si>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</si>
  <si>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</si>
  <si>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</si>
  <si>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</si>
  <si>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</si>
  <si>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</si>
  <si>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</si>
  <si>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</si>
  <si>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</si>
  <si>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</si>
  <si>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</si>
  <si>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</si>
  <si>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</si>
  <si>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</si>
  <si>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</si>
  <si>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</si>
  <si>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</si>
  <si>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</si>
  <si>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</si>
  <si>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</si>
  <si>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</si>
  <si>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</si>
  <si>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</si>
  <si>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</si>
  <si>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</si>
  <si>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</si>
  <si>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</si>
  <si>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</si>
  <si>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</si>
  <si>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</si>
  <si>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</si>
  <si>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</si>
  <si>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</si>
  <si>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</si>
  <si>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</si>
  <si>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</si>
  <si>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</si>
  <si>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</si>
  <si>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</si>
  <si>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</si>
  <si>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</si>
  <si>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</si>
  <si>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</si>
  <si>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</si>
  <si>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</si>
  <si>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</si>
  <si>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</si>
  <si>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</si>
  <si>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</si>
  <si>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</si>
  <si>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</si>
  <si>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</si>
  <si>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</si>
  <si>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</si>
  <si>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</si>
  <si>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</si>
  <si>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</si>
  <si>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</si>
  <si>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</si>
  <si>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</si>
  <si>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</si>
  <si>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</si>
  <si>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</si>
  <si>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</si>
  <si>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</si>
  <si>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</si>
  <si>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</si>
  <si>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</si>
  <si>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</si>
  <si>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</si>
  <si>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</si>
  <si>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</si>
  <si>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</si>
  <si>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</si>
  <si>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</si>
  <si>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</si>
  <si>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</si>
  <si>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</si>
  <si>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</si>
  <si>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</si>
  <si>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</si>
  <si>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</si>
  <si>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</si>
  <si>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</si>
  <si>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</si>
  <si>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</si>
  <si>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</si>
  <si>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</si>
  <si>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</si>
  <si>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</si>
  <si>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</si>
  <si>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</si>
  <si>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</si>
  <si>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</si>
  <si>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</si>
  <si>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</si>
  <si>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</si>
  <si>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</si>
  <si>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</si>
  <si>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</si>
  <si>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</si>
  <si>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</si>
  <si>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</si>
  <si>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</si>
  <si>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</si>
  <si>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</si>
  <si>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</si>
  <si>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</si>
  <si>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</si>
  <si>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</si>
  <si>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</si>
  <si>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</si>
  <si>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</si>
  <si>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</si>
  <si>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</si>
  <si>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</si>
  <si>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</si>
  <si>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</si>
  <si>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</si>
  <si>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</si>
  <si>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</si>
  <si>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</si>
  <si>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</si>
  <si>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</si>
  <si>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</si>
  <si>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</si>
  <si>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</si>
  <si>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</si>
  <si>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</si>
  <si>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</si>
  <si>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</si>
  <si>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</si>
  <si>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</si>
  <si>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</si>
  <si>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</si>
  <si>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</si>
  <si>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</si>
  <si>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</si>
  <si>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</si>
  <si>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</si>
  <si>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</si>
  <si>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</si>
  <si>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</si>
  <si>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</si>
  <si>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</si>
  <si>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</si>
  <si>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</si>
  <si>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</si>
  <si>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</si>
  <si>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</si>
  <si>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</si>
  <si>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</si>
  <si>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</si>
  <si>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</si>
  <si>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</si>
  <si>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</si>
  <si>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</si>
  <si>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</si>
  <si>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</si>
  <si>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</si>
  <si>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</si>
  <si>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</si>
  <si>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</si>
  <si>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</si>
  <si>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</si>
  <si>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</si>
  <si>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</si>
  <si>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</si>
  <si>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</si>
  <si>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</si>
  <si>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</si>
  <si>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</si>
  <si>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</si>
  <si>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</si>
  <si>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</si>
  <si>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</si>
  <si>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</si>
  <si>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</si>
  <si>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</si>
  <si>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</si>
  <si>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</si>
  <si>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</si>
  <si>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</si>
  <si>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</si>
  <si>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</si>
  <si>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</si>
  <si>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</si>
  <si>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</si>
  <si>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</si>
  <si>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</si>
  <si>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</si>
  <si>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</si>
  <si>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</si>
  <si>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</si>
  <si>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</si>
  <si>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</si>
  <si>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</si>
  <si>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</si>
  <si>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</si>
  <si>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</si>
  <si>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</si>
  <si>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</si>
  <si>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</si>
  <si>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</si>
  <si>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</si>
  <si>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</si>
  <si>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</si>
  <si>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</si>
  <si>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</si>
  <si>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</si>
  <si>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</si>
  <si>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</si>
  <si>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</si>
  <si>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</si>
  <si>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</si>
  <si>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</si>
  <si>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</si>
  <si>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</si>
  <si>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</si>
  <si>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</si>
  <si>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</si>
  <si>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</si>
  <si>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</si>
  <si>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</si>
  <si>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</si>
  <si>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</si>
  <si>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</si>
  <si>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</si>
  <si>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</si>
  <si>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</si>
  <si>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</si>
  <si>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</si>
  <si>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</si>
  <si>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</si>
  <si>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</si>
  <si>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</si>
  <si>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</si>
  <si>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</si>
  <si>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</si>
  <si>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</si>
  <si>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</si>
  <si>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</si>
  <si>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</si>
  <si>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</si>
  <si>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</si>
  <si>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</si>
  <si>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</si>
  <si>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</si>
  <si>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</si>
  <si>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</si>
  <si>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</si>
  <si>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</si>
  <si>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</si>
  <si>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</si>
  <si>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</si>
  <si>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</si>
  <si>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</si>
  <si>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</si>
  <si>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</si>
  <si>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</si>
  <si>
    <t>Chuyển tiền theo KUNN số 20 -10206/2017/KUNN/PVN-DN.GĐ</t>
  </si>
  <si>
    <t>Chuyển tiền theo KUNN số 21 -10206/2017/KUNN/PVN-DN.GĐ</t>
  </si>
  <si>
    <t>125 660 843</t>
  </si>
  <si>
    <t>Chuyển tiền theo KUNN số 22 -10206/2017/KUNN/PVN-DN.GĐ</t>
  </si>
  <si>
    <t>Chuyển tiền theo KUNN số 23 -10206/2017/KUNN/PVN-DN.GĐ</t>
  </si>
  <si>
    <t>MKH: PB06030022841- Tiền điện kỳ 2/10 năm 2017</t>
  </si>
  <si>
    <t>CTY TNHH XK THỦY SẢN HẢI VIỆT</t>
  </si>
  <si>
    <t>119 0000 16692</t>
  </si>
  <si>
    <t>NH Công Thương - CN Bình Thuận</t>
  </si>
  <si>
    <t>Thanh toán tiền mực</t>
  </si>
  <si>
    <t>050039699831</t>
  </si>
  <si>
    <t>TRUNG TAM CHAT LUONG NONG LAM THUY SAN VUNG 4</t>
  </si>
  <si>
    <t>THANH TOAN PHI KIEM NGHIEM T09 VA10/2017</t>
  </si>
  <si>
    <t>Chuyển tiền theo KUNN số 24 -10206/2017/KUNN/PVN-DN.GĐ</t>
  </si>
  <si>
    <t>Chuyển tiền theo KUNN số 25 -10206/2017/KUNN/PVN-DN.GĐ</t>
  </si>
  <si>
    <t>210314851008898</t>
  </si>
  <si>
    <t>070047382171</t>
  </si>
  <si>
    <t>060005977811</t>
  </si>
  <si>
    <t>0421000457457</t>
  </si>
  <si>
    <t>8168219</t>
  </si>
  <si>
    <t>060005980634</t>
  </si>
  <si>
    <t>531002503669</t>
  </si>
  <si>
    <t>Chuyển tiền theo KUNN số 26 -10206/2017/KUNN/PVN-DN.GĐ</t>
  </si>
  <si>
    <t>CÔNG TY TNHH MTV BTFOOD</t>
  </si>
  <si>
    <t>174848779</t>
  </si>
  <si>
    <t>ACB - CN Thủ Đức</t>
  </si>
  <si>
    <t>Thanh toán tiền đường</t>
  </si>
  <si>
    <t>Chuyển tiền theo KUNN số 27 -10206/2017/KUNN/PVN-DN.GĐ</t>
  </si>
  <si>
    <t>Chuyển tiền theo KUNN số 28 -10206/2017/KUNN/PVN-DN.GĐ</t>
  </si>
  <si>
    <t>Chuyển tiền theo KUNN số 29 -10206/2017/KUNN/PVN-DN.GĐ</t>
  </si>
  <si>
    <t>Chuyển tiền theo KUNN số 30 -10206/2017/KUNN/PVN-DN.GĐ</t>
  </si>
  <si>
    <t>0071001293855</t>
  </si>
  <si>
    <t>Chuyển tiền theo KUNN số 31 -10206/2017/KUNN/PVN-DN.GĐ</t>
  </si>
  <si>
    <t>Chuyển tiền theo KUNN số 32 -10206/2017/KUNN/PVN-DN.GĐ</t>
  </si>
  <si>
    <t>Chuyển tiền theo KUNN số 33 -10206/2017/KUNN/PVN-DN.GĐ</t>
  </si>
  <si>
    <t>Chuyển tiền theo KUNN số 34 -10206/2017/KUNN/PVN-DN.GĐ</t>
  </si>
  <si>
    <t>MKH: PB06030022841- Tiền điện kỳ 2&amp;3/12 năm 2017</t>
  </si>
  <si>
    <t>Chuyển tiền theo KUNN số 35 -10206/2017/KUNN/PVN-DN.GĐ</t>
  </si>
  <si>
    <t>060005954609</t>
  </si>
  <si>
    <t>Chuyển tiền theo KUNN số 36 -10206/2017/KUNN/PVN-DN.GĐ</t>
  </si>
  <si>
    <t>Chuyển tiền theo KUNN số 37 -10206/2017/KUNN/PVN-DN.GĐ</t>
  </si>
  <si>
    <t>Chuyển tiền theo KUNN số 38 -10206/2017/KUNN/PVN-DN.GĐ</t>
  </si>
  <si>
    <t>MKH: PB06030022841- Tiền điện kỳ 1/01 năm 2018</t>
  </si>
  <si>
    <t>Chuyển tiền theo KUNN số 39 -10206/2017/KUNN/PVN-DN.GĐ</t>
  </si>
  <si>
    <t>Chuyển tiền theo KUNN số 40 -10206/2017/KUNN/PVN-DN.GĐ</t>
  </si>
  <si>
    <t>MKH: PB06030022841- Tiền điện kỳ 2&amp;3/01 năm 2018</t>
  </si>
  <si>
    <t>Chuyển tiền theo KUNN số 41 -10206/2017/KUNN/PVN-DN.GĐ</t>
  </si>
  <si>
    <t>Thanh toán cước vận chuyển và phí liên quan - AAAS</t>
  </si>
  <si>
    <t>Thanh toán phí kiểm nghiệm T01/2018</t>
  </si>
  <si>
    <t>Chuyển tiền theo KUNN số 42 -10206/2017/KUNN/PVN-DN.GĐ</t>
  </si>
  <si>
    <t>MKH: PB06030022841- Tiền điện tháng 02 năm 2018</t>
  </si>
  <si>
    <t>Thanh toán tiền nước, phí CSHT  T01 &amp; T02/2018 -Hải Sơn</t>
  </si>
  <si>
    <t>Chuyển tiền theo KUNN số 43 -10206/2017/KUNN/PVN-DN.GĐ</t>
  </si>
  <si>
    <t>Thanh toán tiền đường bột ngọt - BTFood</t>
  </si>
  <si>
    <t>Chuyển tiền theo KUNN số 44 -10206/2017/KUNN/PVN-DN.GĐ</t>
  </si>
  <si>
    <t>Chuyển tiền theo KUNN số 45 -10206/2017/KUNN/PVN-DN.GĐ</t>
  </si>
  <si>
    <t>Thanh toan tiền gia công</t>
  </si>
  <si>
    <t>CÔNG TY TNHH THẨM ĐỊNH GIÁ ĐẠI VIỆT</t>
  </si>
  <si>
    <t>0331000398768</t>
  </si>
  <si>
    <t>VCB - CN SÀI GÒN</t>
  </si>
  <si>
    <t>THANH TOÁN 50% TIỀN THẨM ĐỊNH GIÁ</t>
  </si>
  <si>
    <t>Chuyển tiền theo KUNN số 46 -10206/2017/KUNN/PVN-DN.GĐ</t>
  </si>
  <si>
    <t>MKH: PB06030022841- Tiền điện kỳ 1&amp;2/03 năm 2018</t>
  </si>
  <si>
    <t>Chuyển tiền theo KUNN số 48 -10206/2017/KUNN/PVN-DN.GĐ</t>
  </si>
  <si>
    <t>Chuyển tiền theo KUNN số 49 -10206/2017/KUNN/PVN-DN.GĐ</t>
  </si>
  <si>
    <t>TAMP</t>
  </si>
  <si>
    <t>Chuyển tiền theo KUNN số 52 -10206/2017/KUNN/PVN-DN.GĐ</t>
  </si>
  <si>
    <t>Chuyển tiền theo KUNN số 53 -10206/2017/KUNN/PVN-DN.GĐ</t>
  </si>
  <si>
    <t>Chuyển tiền theo KUNN số 56 -10206/2017/KUNN/PVN-DN.GĐ</t>
  </si>
  <si>
    <t>MKH: PB06030022841- Tiền điện kỳ 2&amp;3/04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</si>
</sst>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6" fillId="0" borderId="3" xfId="0" quotePrefix="1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quotePrefix="1" applyFont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/>
    </xf>
    <xf numFmtId="164" fontId="6" fillId="0" borderId="2" xfId="1" applyNumberFormat="1" applyFont="1" applyFill="1" applyBorder="1" applyAlignment="1">
      <alignment vertical="center"/>
    </xf>
    <xf numFmtId="49" fontId="46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43" fontId="3" fillId="0" borderId="5" xfId="1" applyFont="1" applyBorder="1" applyAlignment="1"/>
    <xf numFmtId="0" fontId="22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9" fillId="2" borderId="2" xfId="0" quotePrefix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quotePrefix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R344"/>
  <sheetViews>
    <sheetView topLeftCell="B1" zoomScale="90" zoomScaleNormal="90" workbookViewId="0">
      <pane xSplit="5" ySplit="3" topLeftCell="I312" activePane="bottomRight" state="frozen"/>
      <selection activeCell="B1" sqref="B1"/>
      <selection pane="topRight" activeCell="G1" sqref="G1"/>
      <selection pane="bottomLeft" activeCell="B4" sqref="B4"/>
      <selection pane="bottomRight" activeCell="N325" sqref="N325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79" t="s">
        <v>1</v>
      </c>
      <c r="C2" s="176" t="s">
        <v>12</v>
      </c>
      <c r="D2" s="177"/>
      <c r="E2" s="178"/>
      <c r="F2" s="176" t="s">
        <v>20</v>
      </c>
      <c r="G2" s="177"/>
      <c r="H2" s="177"/>
      <c r="I2" s="177"/>
      <c r="J2" s="177"/>
      <c r="K2" s="177"/>
      <c r="L2" s="177"/>
      <c r="M2" s="178"/>
      <c r="N2" s="171" t="s">
        <v>0</v>
      </c>
      <c r="O2" s="175" t="s">
        <v>21</v>
      </c>
      <c r="P2" s="175"/>
      <c r="Q2" s="173" t="s">
        <v>22</v>
      </c>
      <c r="R2" s="58"/>
    </row>
    <row r="3" spans="1:18" s="59" customFormat="1" ht="36.75" customHeight="1">
      <c r="A3" s="58"/>
      <c r="B3" s="17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72"/>
      <c r="O3" s="61" t="s">
        <v>28</v>
      </c>
      <c r="P3" s="61" t="s">
        <v>29</v>
      </c>
      <c r="Q3" s="174"/>
      <c r="R3" s="58"/>
    </row>
    <row r="4" spans="1:18" s="57" customFormat="1" ht="18.75" hidden="1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hidden="1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343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hidden="1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hidden="1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hidden="1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hidden="1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hidden="1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hidden="1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hidden="1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hidden="1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hidden="1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hidden="1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hidden="1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hidden="1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hidden="1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hidden="1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hidden="1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hidden="1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hidden="1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hidden="1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hidden="1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hidden="1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hidden="1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hidden="1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hidden="1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hidden="1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hidden="1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hidden="1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hidden="1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hidden="1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hidden="1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hidden="1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hidden="1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hidden="1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hidden="1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hidden="1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hidden="1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450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hidden="1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hidden="1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hidden="1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hidden="1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hidden="1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hidden="1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hidden="1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hidden="1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hidden="1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hidden="1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hidden="1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hidden="1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hidden="1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hidden="1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hidden="1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hidden="1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hidden="1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hidden="1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hidden="1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hidden="1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hidden="1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hidden="1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hidden="1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hidden="1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hidden="1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hidden="1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hidden="1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hidden="1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hidden="1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hidden="1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hidden="1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hidden="1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hidden="1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hidden="1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hidden="1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hidden="1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71" t="s">
        <v>419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hidden="1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hidden="1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hidden="1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hidden="1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hidden="1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hidden="1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150" customFormat="1" ht="18.75" hidden="1" customHeight="1">
      <c r="A104" s="137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138">
        <f t="shared" si="0"/>
        <v>101</v>
      </c>
      <c r="C104" s="138" t="s">
        <v>82</v>
      </c>
      <c r="D104" s="139">
        <v>42676</v>
      </c>
      <c r="E104" s="140" t="s">
        <v>85</v>
      </c>
      <c r="F104" s="141" t="s">
        <v>189</v>
      </c>
      <c r="G104" s="142" t="s">
        <v>385</v>
      </c>
      <c r="H104" s="141" t="s">
        <v>190</v>
      </c>
      <c r="I104" s="143" t="s">
        <v>10</v>
      </c>
      <c r="J104" s="144"/>
      <c r="K104" s="139"/>
      <c r="L104" s="145"/>
      <c r="M104" s="145"/>
      <c r="N104" s="141" t="s">
        <v>191</v>
      </c>
      <c r="O104" s="146"/>
      <c r="P104" s="147">
        <v>58750000</v>
      </c>
      <c r="Q104" s="148" t="s">
        <v>193</v>
      </c>
      <c r="R104" s="149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hidden="1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hidden="1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hidden="1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hidden="1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hidden="1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hidden="1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hidden="1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hidden="1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hidden="1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hidden="1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hidden="1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hidden="1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hidden="1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hidden="1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hidden="1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hidden="1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hidden="1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hidden="1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134" t="s">
        <v>446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hidden="1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hidden="1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hidden="1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324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71" t="s">
        <v>452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52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165" customFormat="1" ht="18.75" customHeight="1">
      <c r="A176" s="153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154">
        <f t="shared" si="12"/>
        <v>173</v>
      </c>
      <c r="C176" s="154" t="s">
        <v>144</v>
      </c>
      <c r="D176" s="155">
        <v>42933</v>
      </c>
      <c r="E176" s="156" t="s">
        <v>25</v>
      </c>
      <c r="F176" s="167" t="s">
        <v>442</v>
      </c>
      <c r="G176" s="168" t="s">
        <v>409</v>
      </c>
      <c r="H176" s="167" t="s">
        <v>179</v>
      </c>
      <c r="I176" s="169" t="s">
        <v>10</v>
      </c>
      <c r="J176" s="170"/>
      <c r="K176" s="155"/>
      <c r="L176" s="156"/>
      <c r="M176" s="156"/>
      <c r="N176" s="167" t="s">
        <v>443</v>
      </c>
      <c r="O176" s="161"/>
      <c r="P176" s="162">
        <v>3065000</v>
      </c>
      <c r="Q176" s="163"/>
      <c r="R176" s="16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165" customFormat="1" ht="18.75" customHeight="1">
      <c r="A177" s="153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154">
        <f t="shared" si="12"/>
        <v>174</v>
      </c>
      <c r="C177" s="154" t="s">
        <v>144</v>
      </c>
      <c r="D177" s="155">
        <v>42933</v>
      </c>
      <c r="E177" s="156" t="s">
        <v>26</v>
      </c>
      <c r="F177" s="167" t="s">
        <v>177</v>
      </c>
      <c r="G177" s="168" t="s">
        <v>410</v>
      </c>
      <c r="H177" s="167" t="s">
        <v>181</v>
      </c>
      <c r="I177" s="169" t="s">
        <v>10</v>
      </c>
      <c r="J177" s="170"/>
      <c r="K177" s="155"/>
      <c r="L177" s="156"/>
      <c r="M177" s="156"/>
      <c r="N177" s="167" t="s">
        <v>392</v>
      </c>
      <c r="O177" s="161"/>
      <c r="P177" s="162">
        <v>700000</v>
      </c>
      <c r="Q177" s="163"/>
      <c r="R177" s="16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71" t="s">
        <v>451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hidden="1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hidden="1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71" t="s">
        <v>448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97" customFormat="1" ht="18.75" customHeight="1">
      <c r="A211" s="13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89">
        <f t="shared" si="14"/>
        <v>208</v>
      </c>
      <c r="C211" s="89" t="s">
        <v>144</v>
      </c>
      <c r="D211" s="94">
        <v>43011</v>
      </c>
      <c r="E211" s="92" t="s">
        <v>26</v>
      </c>
      <c r="F211" s="91" t="s">
        <v>378</v>
      </c>
      <c r="G211" s="136" t="s">
        <v>449</v>
      </c>
      <c r="H211" s="91" t="s">
        <v>380</v>
      </c>
      <c r="I211" s="89" t="s">
        <v>10</v>
      </c>
      <c r="J211" s="93"/>
      <c r="K211" s="94"/>
      <c r="L211" s="92"/>
      <c r="M211" s="92"/>
      <c r="N211" s="91" t="s">
        <v>359</v>
      </c>
      <c r="O211" s="95"/>
      <c r="P211" s="96">
        <v>200000000</v>
      </c>
      <c r="Q211" s="103"/>
      <c r="R211" s="97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71" t="s">
        <v>451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71" t="s">
        <v>462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71" t="s">
        <v>447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hidden="1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hidden="1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71" t="s">
        <v>441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9:B251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hidden="1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6"/>
        <v>228</v>
      </c>
      <c r="C231" s="62" t="s">
        <v>128</v>
      </c>
      <c r="D231" s="67">
        <v>43034</v>
      </c>
      <c r="E231" s="65" t="s">
        <v>26</v>
      </c>
      <c r="F231" s="107" t="s">
        <v>132</v>
      </c>
      <c r="G231" s="107" t="s">
        <v>131</v>
      </c>
      <c r="H231" s="107" t="s">
        <v>130</v>
      </c>
      <c r="I231" s="105" t="s">
        <v>10</v>
      </c>
      <c r="J231" s="108"/>
      <c r="K231" s="67"/>
      <c r="L231" s="65"/>
      <c r="M231" s="65"/>
      <c r="N231" s="64" t="s">
        <v>129</v>
      </c>
      <c r="O231" s="68">
        <v>233000</v>
      </c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hidden="1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si="16"/>
        <v>229</v>
      </c>
      <c r="C232" s="62" t="s">
        <v>128</v>
      </c>
      <c r="D232" s="67">
        <v>43034</v>
      </c>
      <c r="E232" s="65" t="s">
        <v>84</v>
      </c>
      <c r="F232" s="107" t="s">
        <v>133</v>
      </c>
      <c r="G232" s="107" t="s">
        <v>134</v>
      </c>
      <c r="H232" s="107" t="s">
        <v>130</v>
      </c>
      <c r="I232" s="105" t="s">
        <v>10</v>
      </c>
      <c r="J232" s="66"/>
      <c r="K232" s="67"/>
      <c r="L232" s="65"/>
      <c r="M232" s="65"/>
      <c r="N232" s="107" t="s">
        <v>334</v>
      </c>
      <c r="O232" s="68"/>
      <c r="P232" s="69">
        <v>4700000000</v>
      </c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6"/>
        <v>230</v>
      </c>
      <c r="C233" s="62" t="s">
        <v>144</v>
      </c>
      <c r="D233" s="67">
        <v>43038</v>
      </c>
      <c r="E233" s="65" t="s">
        <v>23</v>
      </c>
      <c r="F233" s="107" t="s">
        <v>132</v>
      </c>
      <c r="G233" s="71" t="s">
        <v>405</v>
      </c>
      <c r="H233" s="64" t="s">
        <v>163</v>
      </c>
      <c r="I233" s="105" t="s">
        <v>10</v>
      </c>
      <c r="J233" s="56"/>
      <c r="K233" s="67"/>
      <c r="L233" s="65"/>
      <c r="M233" s="65"/>
      <c r="N233" s="64" t="s">
        <v>431</v>
      </c>
      <c r="O233" s="68"/>
      <c r="P233" s="69">
        <f>189000*22708</f>
        <v>4291812000</v>
      </c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6"/>
        <v>231</v>
      </c>
      <c r="C234" s="62" t="s">
        <v>144</v>
      </c>
      <c r="D234" s="67">
        <v>43038</v>
      </c>
      <c r="E234" s="65" t="s">
        <v>24</v>
      </c>
      <c r="F234" s="107" t="s">
        <v>132</v>
      </c>
      <c r="G234" s="71" t="s">
        <v>405</v>
      </c>
      <c r="H234" s="64" t="s">
        <v>163</v>
      </c>
      <c r="I234" s="105" t="s">
        <v>10</v>
      </c>
      <c r="J234" s="56"/>
      <c r="K234" s="67"/>
      <c r="L234" s="65"/>
      <c r="M234" s="65"/>
      <c r="N234" s="64" t="s">
        <v>432</v>
      </c>
      <c r="O234" s="68"/>
      <c r="P234" s="69">
        <f>40100*22708</f>
        <v>910590800</v>
      </c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6"/>
        <v>232</v>
      </c>
      <c r="C235" s="62" t="s">
        <v>144</v>
      </c>
      <c r="D235" s="67">
        <v>43038</v>
      </c>
      <c r="E235" s="65" t="s">
        <v>25</v>
      </c>
      <c r="F235" s="107" t="s">
        <v>132</v>
      </c>
      <c r="G235" s="71" t="s">
        <v>433</v>
      </c>
      <c r="H235" s="64" t="s">
        <v>398</v>
      </c>
      <c r="I235" s="105" t="s">
        <v>10</v>
      </c>
      <c r="J235" s="66"/>
      <c r="K235" s="67"/>
      <c r="L235" s="65"/>
      <c r="M235" s="65"/>
      <c r="N235" s="64" t="s">
        <v>164</v>
      </c>
      <c r="O235" s="68"/>
      <c r="P235" s="69">
        <v>200000000</v>
      </c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6"/>
        <v>233</v>
      </c>
      <c r="C236" s="62" t="s">
        <v>144</v>
      </c>
      <c r="D236" s="67">
        <v>43041</v>
      </c>
      <c r="E236" s="65" t="s">
        <v>23</v>
      </c>
      <c r="F236" s="107" t="s">
        <v>132</v>
      </c>
      <c r="G236" s="107" t="s">
        <v>261</v>
      </c>
      <c r="H236" s="107" t="s">
        <v>130</v>
      </c>
      <c r="I236" s="105" t="s">
        <v>10</v>
      </c>
      <c r="J236" s="66"/>
      <c r="K236" s="67"/>
      <c r="L236" s="65"/>
      <c r="M236" s="65"/>
      <c r="N236" s="64" t="s">
        <v>399</v>
      </c>
      <c r="O236" s="68">
        <v>564500</v>
      </c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6"/>
        <v>234</v>
      </c>
      <c r="C237" s="62" t="s">
        <v>144</v>
      </c>
      <c r="D237" s="67">
        <v>43041</v>
      </c>
      <c r="E237" s="65" t="s">
        <v>24</v>
      </c>
      <c r="F237" s="107" t="s">
        <v>132</v>
      </c>
      <c r="G237" s="71" t="s">
        <v>405</v>
      </c>
      <c r="H237" s="64" t="s">
        <v>163</v>
      </c>
      <c r="I237" s="105" t="s">
        <v>10</v>
      </c>
      <c r="J237" s="56"/>
      <c r="K237" s="67"/>
      <c r="L237" s="65"/>
      <c r="M237" s="65"/>
      <c r="N237" s="64" t="s">
        <v>434</v>
      </c>
      <c r="O237" s="68"/>
      <c r="P237" s="69">
        <f>68400*22702</f>
        <v>1552816800</v>
      </c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165" customFormat="1" ht="18.75" customHeight="1">
      <c r="A238" s="153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154">
        <f t="shared" si="16"/>
        <v>235</v>
      </c>
      <c r="C238" s="154" t="s">
        <v>144</v>
      </c>
      <c r="D238" s="155">
        <v>43042</v>
      </c>
      <c r="E238" s="156" t="s">
        <v>23</v>
      </c>
      <c r="F238" s="157" t="s">
        <v>153</v>
      </c>
      <c r="G238" s="166" t="s">
        <v>469</v>
      </c>
      <c r="H238" s="157" t="s">
        <v>155</v>
      </c>
      <c r="I238" s="158" t="s">
        <v>10</v>
      </c>
      <c r="J238" s="159"/>
      <c r="K238" s="160"/>
      <c r="L238" s="158"/>
      <c r="M238" s="158"/>
      <c r="N238" s="157" t="s">
        <v>156</v>
      </c>
      <c r="O238" s="161"/>
      <c r="P238" s="162">
        <v>40000000</v>
      </c>
      <c r="Q238" s="163"/>
      <c r="R238" s="164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6"/>
        <v>236</v>
      </c>
      <c r="C239" s="62" t="s">
        <v>144</v>
      </c>
      <c r="D239" s="67">
        <v>43042</v>
      </c>
      <c r="E239" s="65" t="s">
        <v>24</v>
      </c>
      <c r="F239" s="107" t="s">
        <v>133</v>
      </c>
      <c r="G239" s="107" t="s">
        <v>134</v>
      </c>
      <c r="H239" s="107" t="s">
        <v>130</v>
      </c>
      <c r="I239" s="105" t="s">
        <v>10</v>
      </c>
      <c r="J239" s="66"/>
      <c r="K239" s="67"/>
      <c r="L239" s="65"/>
      <c r="M239" s="65"/>
      <c r="N239" s="107" t="s">
        <v>334</v>
      </c>
      <c r="O239" s="68"/>
      <c r="P239" s="69">
        <v>600000000</v>
      </c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hidden="1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6"/>
        <v>237</v>
      </c>
      <c r="C240" s="62" t="s">
        <v>128</v>
      </c>
      <c r="D240" s="67">
        <v>43045</v>
      </c>
      <c r="E240" s="65" t="s">
        <v>23</v>
      </c>
      <c r="F240" s="107" t="s">
        <v>132</v>
      </c>
      <c r="G240" s="107" t="s">
        <v>131</v>
      </c>
      <c r="H240" s="107" t="s">
        <v>130</v>
      </c>
      <c r="I240" s="105" t="s">
        <v>10</v>
      </c>
      <c r="J240" s="108"/>
      <c r="K240" s="67"/>
      <c r="L240" s="65"/>
      <c r="M240" s="65"/>
      <c r="N240" s="64" t="s">
        <v>129</v>
      </c>
      <c r="O240" s="68">
        <v>563800</v>
      </c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hidden="1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>
        <f t="shared" si="16"/>
        <v>238</v>
      </c>
      <c r="C241" s="62" t="s">
        <v>128</v>
      </c>
      <c r="D241" s="67">
        <v>43045</v>
      </c>
      <c r="E241" s="65" t="s">
        <v>24</v>
      </c>
      <c r="F241" s="107" t="s">
        <v>133</v>
      </c>
      <c r="G241" s="107" t="s">
        <v>134</v>
      </c>
      <c r="H241" s="107" t="s">
        <v>130</v>
      </c>
      <c r="I241" s="105" t="s">
        <v>10</v>
      </c>
      <c r="J241" s="66"/>
      <c r="K241" s="67"/>
      <c r="L241" s="65"/>
      <c r="M241" s="65"/>
      <c r="N241" s="107" t="s">
        <v>334</v>
      </c>
      <c r="O241" s="68"/>
      <c r="P241" s="69">
        <v>12800000000</v>
      </c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6"/>
        <v>239</v>
      </c>
      <c r="C242" s="62" t="s">
        <v>144</v>
      </c>
      <c r="D242" s="67">
        <v>43045</v>
      </c>
      <c r="E242" s="65" t="s">
        <v>25</v>
      </c>
      <c r="F242" s="107" t="s">
        <v>132</v>
      </c>
      <c r="G242" s="71" t="s">
        <v>405</v>
      </c>
      <c r="H242" s="64" t="s">
        <v>163</v>
      </c>
      <c r="I242" s="105" t="s">
        <v>10</v>
      </c>
      <c r="J242" s="56"/>
      <c r="K242" s="67"/>
      <c r="L242" s="65"/>
      <c r="M242" s="65"/>
      <c r="N242" s="64" t="s">
        <v>435</v>
      </c>
      <c r="O242" s="68"/>
      <c r="P242" s="69">
        <v>1861400000</v>
      </c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ref="B243:B250" si="17">IF(C243&lt;&gt;"",ROW()-3,"")</f>
        <v>240</v>
      </c>
      <c r="C243" s="62" t="s">
        <v>144</v>
      </c>
      <c r="D243" s="67">
        <v>43047</v>
      </c>
      <c r="E243" s="65" t="s">
        <v>23</v>
      </c>
      <c r="F243" s="107" t="s">
        <v>132</v>
      </c>
      <c r="G243" s="71" t="s">
        <v>397</v>
      </c>
      <c r="H243" s="64" t="s">
        <v>398</v>
      </c>
      <c r="I243" s="105" t="s">
        <v>10</v>
      </c>
      <c r="J243" s="66"/>
      <c r="K243" s="67"/>
      <c r="L243" s="65"/>
      <c r="M243" s="65"/>
      <c r="N243" s="64" t="s">
        <v>399</v>
      </c>
      <c r="O243" s="68">
        <v>519000</v>
      </c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7"/>
        <v>241</v>
      </c>
      <c r="C244" s="62" t="s">
        <v>144</v>
      </c>
      <c r="D244" s="67">
        <v>43048</v>
      </c>
      <c r="E244" s="65" t="s">
        <v>23</v>
      </c>
      <c r="F244" s="64" t="s">
        <v>366</v>
      </c>
      <c r="G244" s="71" t="s">
        <v>408</v>
      </c>
      <c r="H244" s="64" t="s">
        <v>368</v>
      </c>
      <c r="I244" s="65" t="s">
        <v>35</v>
      </c>
      <c r="J244" s="66"/>
      <c r="K244" s="67"/>
      <c r="L244" s="65"/>
      <c r="M244" s="65"/>
      <c r="N244" s="64" t="s">
        <v>436</v>
      </c>
      <c r="O244" s="68"/>
      <c r="P244" s="69">
        <v>36547610</v>
      </c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s="57" customFormat="1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7"/>
        <v>242</v>
      </c>
      <c r="C245" s="62" t="s">
        <v>144</v>
      </c>
      <c r="D245" s="67">
        <v>43048</v>
      </c>
      <c r="E245" s="65" t="s">
        <v>24</v>
      </c>
      <c r="F245" s="64" t="s">
        <v>437</v>
      </c>
      <c r="G245" s="64" t="s">
        <v>438</v>
      </c>
      <c r="H245" s="64" t="s">
        <v>439</v>
      </c>
      <c r="I245" s="65" t="s">
        <v>333</v>
      </c>
      <c r="J245" s="66"/>
      <c r="K245" s="67"/>
      <c r="L245" s="65"/>
      <c r="M245" s="65"/>
      <c r="N245" s="64" t="s">
        <v>440</v>
      </c>
      <c r="O245" s="68"/>
      <c r="P245" s="69">
        <v>800000000</v>
      </c>
      <c r="Q245" s="104"/>
      <c r="R245" s="131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s="57" customFormat="1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f t="shared" si="17"/>
        <v>243</v>
      </c>
      <c r="C246" s="62" t="s">
        <v>144</v>
      </c>
      <c r="D246" s="67">
        <v>43053</v>
      </c>
      <c r="E246" s="65" t="s">
        <v>23</v>
      </c>
      <c r="F246" s="107" t="s">
        <v>132</v>
      </c>
      <c r="G246" s="71" t="s">
        <v>405</v>
      </c>
      <c r="H246" s="64" t="s">
        <v>163</v>
      </c>
      <c r="I246" s="105" t="s">
        <v>10</v>
      </c>
      <c r="J246" s="56"/>
      <c r="K246" s="67"/>
      <c r="L246" s="65"/>
      <c r="M246" s="65"/>
      <c r="N246" s="64" t="s">
        <v>444</v>
      </c>
      <c r="O246" s="68"/>
      <c r="P246" s="69">
        <f>103808.14*22700</f>
        <v>2356444778</v>
      </c>
      <c r="Q246" s="104"/>
      <c r="R246" s="131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s="57" customFormat="1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si="17"/>
        <v>244</v>
      </c>
      <c r="C247" s="62" t="s">
        <v>144</v>
      </c>
      <c r="D247" s="67">
        <v>43053</v>
      </c>
      <c r="E247" s="65" t="s">
        <v>24</v>
      </c>
      <c r="F247" s="107" t="s">
        <v>132</v>
      </c>
      <c r="G247" s="71" t="s">
        <v>397</v>
      </c>
      <c r="H247" s="64" t="s">
        <v>398</v>
      </c>
      <c r="I247" s="105" t="s">
        <v>10</v>
      </c>
      <c r="J247" s="66"/>
      <c r="K247" s="67"/>
      <c r="L247" s="65"/>
      <c r="M247" s="65"/>
      <c r="N247" s="64" t="s">
        <v>399</v>
      </c>
      <c r="O247" s="68">
        <v>510000</v>
      </c>
      <c r="P247" s="69"/>
      <c r="Q247" s="104"/>
      <c r="R247" s="131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s="57" customFormat="1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7"/>
        <v>245</v>
      </c>
      <c r="C248" s="62" t="s">
        <v>144</v>
      </c>
      <c r="D248" s="67">
        <v>43053</v>
      </c>
      <c r="E248" s="65" t="s">
        <v>25</v>
      </c>
      <c r="F248" s="107" t="s">
        <v>132</v>
      </c>
      <c r="G248" s="71" t="s">
        <v>405</v>
      </c>
      <c r="H248" s="64" t="s">
        <v>163</v>
      </c>
      <c r="I248" s="105" t="s">
        <v>10</v>
      </c>
      <c r="J248" s="56"/>
      <c r="K248" s="67"/>
      <c r="L248" s="65"/>
      <c r="M248" s="65"/>
      <c r="N248" s="64" t="s">
        <v>445</v>
      </c>
      <c r="O248" s="68"/>
      <c r="P248" s="69">
        <v>2020300000</v>
      </c>
      <c r="Q248" s="104"/>
      <c r="R248" s="131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s="57" customFormat="1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7"/>
        <v>246</v>
      </c>
      <c r="C249" s="62" t="s">
        <v>144</v>
      </c>
      <c r="D249" s="67">
        <v>43054</v>
      </c>
      <c r="E249" s="65" t="s">
        <v>23</v>
      </c>
      <c r="F249" s="64" t="s">
        <v>437</v>
      </c>
      <c r="G249" s="64" t="s">
        <v>438</v>
      </c>
      <c r="H249" s="64" t="s">
        <v>439</v>
      </c>
      <c r="I249" s="65" t="s">
        <v>333</v>
      </c>
      <c r="J249" s="66"/>
      <c r="K249" s="67"/>
      <c r="L249" s="65"/>
      <c r="M249" s="65"/>
      <c r="N249" s="64" t="s">
        <v>440</v>
      </c>
      <c r="O249" s="68"/>
      <c r="P249" s="69">
        <v>2062550000</v>
      </c>
      <c r="Q249" s="104"/>
      <c r="R249" s="131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s="57" customFormat="1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7"/>
        <v>247</v>
      </c>
      <c r="C250" s="62" t="s">
        <v>144</v>
      </c>
      <c r="D250" s="67">
        <v>43061</v>
      </c>
      <c r="E250" s="65" t="s">
        <v>23</v>
      </c>
      <c r="F250" s="107" t="s">
        <v>132</v>
      </c>
      <c r="G250" s="71" t="s">
        <v>397</v>
      </c>
      <c r="H250" s="64" t="s">
        <v>398</v>
      </c>
      <c r="I250" s="105" t="s">
        <v>10</v>
      </c>
      <c r="J250" s="66"/>
      <c r="K250" s="67"/>
      <c r="L250" s="65"/>
      <c r="M250" s="65"/>
      <c r="N250" s="64" t="s">
        <v>399</v>
      </c>
      <c r="O250" s="68">
        <v>3600</v>
      </c>
      <c r="P250" s="69"/>
      <c r="Q250" s="104"/>
      <c r="R250" s="131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s="57" customFormat="1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si="16"/>
        <v>248</v>
      </c>
      <c r="C251" s="62" t="s">
        <v>144</v>
      </c>
      <c r="D251" s="67">
        <v>43063</v>
      </c>
      <c r="E251" s="65" t="s">
        <v>23</v>
      </c>
      <c r="F251" s="107" t="s">
        <v>133</v>
      </c>
      <c r="G251" s="107" t="s">
        <v>134</v>
      </c>
      <c r="H251" s="107" t="s">
        <v>130</v>
      </c>
      <c r="I251" s="105" t="s">
        <v>10</v>
      </c>
      <c r="J251" s="66"/>
      <c r="K251" s="67"/>
      <c r="L251" s="65"/>
      <c r="M251" s="65"/>
      <c r="N251" s="107" t="s">
        <v>334</v>
      </c>
      <c r="O251" s="68"/>
      <c r="P251" s="69">
        <v>80000000</v>
      </c>
      <c r="Q251" s="104"/>
      <c r="R251" s="131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s="57" customFormat="1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2"/>
        <v>249</v>
      </c>
      <c r="C252" s="62" t="s">
        <v>144</v>
      </c>
      <c r="D252" s="67">
        <v>43067</v>
      </c>
      <c r="E252" s="65" t="s">
        <v>23</v>
      </c>
      <c r="F252" s="107" t="s">
        <v>132</v>
      </c>
      <c r="G252" s="71" t="s">
        <v>405</v>
      </c>
      <c r="H252" s="64" t="s">
        <v>163</v>
      </c>
      <c r="I252" s="105" t="s">
        <v>10</v>
      </c>
      <c r="J252" s="56"/>
      <c r="K252" s="67"/>
      <c r="L252" s="65"/>
      <c r="M252" s="65"/>
      <c r="N252" s="64" t="s">
        <v>453</v>
      </c>
      <c r="O252" s="68"/>
      <c r="P252" s="69">
        <f>70000*22707</f>
        <v>1589490000</v>
      </c>
      <c r="Q252" s="104"/>
      <c r="R252" s="131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s="57" customFormat="1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0"/>
        <v>250</v>
      </c>
      <c r="C253" s="62" t="s">
        <v>144</v>
      </c>
      <c r="D253" s="67">
        <v>43067</v>
      </c>
      <c r="E253" s="65" t="s">
        <v>24</v>
      </c>
      <c r="F253" s="107" t="s">
        <v>133</v>
      </c>
      <c r="G253" s="107" t="s">
        <v>134</v>
      </c>
      <c r="H253" s="107" t="s">
        <v>130</v>
      </c>
      <c r="I253" s="105" t="s">
        <v>10</v>
      </c>
      <c r="J253" s="66"/>
      <c r="K253" s="67"/>
      <c r="L253" s="65"/>
      <c r="M253" s="65"/>
      <c r="N253" s="107" t="s">
        <v>334</v>
      </c>
      <c r="O253" s="68"/>
      <c r="P253" s="69">
        <v>850000000</v>
      </c>
      <c r="Q253" s="104"/>
      <c r="R253" s="131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s="57" customFormat="1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ref="B254:B269" si="18">IF(C254&lt;&gt;"",ROW()-3,"")</f>
        <v>251</v>
      </c>
      <c r="C254" s="62" t="s">
        <v>144</v>
      </c>
      <c r="D254" s="67">
        <v>43068</v>
      </c>
      <c r="E254" s="65" t="s">
        <v>23</v>
      </c>
      <c r="F254" s="64" t="s">
        <v>454</v>
      </c>
      <c r="G254" s="71" t="s">
        <v>455</v>
      </c>
      <c r="H254" s="64" t="s">
        <v>456</v>
      </c>
      <c r="I254" s="105" t="s">
        <v>10</v>
      </c>
      <c r="J254" s="66"/>
      <c r="K254" s="67"/>
      <c r="L254" s="65"/>
      <c r="M254" s="65"/>
      <c r="N254" s="64" t="s">
        <v>457</v>
      </c>
      <c r="O254" s="68"/>
      <c r="P254" s="69">
        <v>28600000</v>
      </c>
      <c r="Q254" s="104"/>
      <c r="R254" s="131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s="57" customFormat="1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>
        <f t="shared" si="18"/>
        <v>252</v>
      </c>
      <c r="C255" s="62" t="s">
        <v>144</v>
      </c>
      <c r="D255" s="67">
        <v>43070</v>
      </c>
      <c r="E255" s="65" t="s">
        <v>23</v>
      </c>
      <c r="F255" s="107" t="s">
        <v>132</v>
      </c>
      <c r="G255" s="71" t="s">
        <v>405</v>
      </c>
      <c r="H255" s="64" t="s">
        <v>163</v>
      </c>
      <c r="I255" s="105" t="s">
        <v>10</v>
      </c>
      <c r="J255" s="56"/>
      <c r="K255" s="67"/>
      <c r="L255" s="65"/>
      <c r="M255" s="65"/>
      <c r="N255" s="64" t="s">
        <v>458</v>
      </c>
      <c r="O255" s="68"/>
      <c r="P255" s="69">
        <f>40500*22703</f>
        <v>919471500</v>
      </c>
      <c r="Q255" s="104"/>
      <c r="R255" s="131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s="57" customFormat="1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8"/>
        <v>253</v>
      </c>
      <c r="C256" s="62" t="s">
        <v>144</v>
      </c>
      <c r="D256" s="67">
        <v>43073</v>
      </c>
      <c r="E256" s="65" t="s">
        <v>23</v>
      </c>
      <c r="F256" s="107" t="s">
        <v>132</v>
      </c>
      <c r="G256" s="71" t="s">
        <v>405</v>
      </c>
      <c r="H256" s="64" t="s">
        <v>163</v>
      </c>
      <c r="I256" s="105" t="s">
        <v>10</v>
      </c>
      <c r="J256" s="56"/>
      <c r="K256" s="67"/>
      <c r="L256" s="65"/>
      <c r="M256" s="65"/>
      <c r="N256" s="64" t="s">
        <v>459</v>
      </c>
      <c r="O256" s="68"/>
      <c r="P256" s="69">
        <f>67000*22705</f>
        <v>1521235000</v>
      </c>
      <c r="Q256" s="104"/>
      <c r="R256" s="131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s="57" customFormat="1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>
        <f t="shared" si="18"/>
        <v>254</v>
      </c>
      <c r="C257" s="62" t="s">
        <v>144</v>
      </c>
      <c r="D257" s="67">
        <v>43074</v>
      </c>
      <c r="E257" s="65" t="s">
        <v>23</v>
      </c>
      <c r="F257" s="107" t="s">
        <v>133</v>
      </c>
      <c r="G257" s="107" t="s">
        <v>134</v>
      </c>
      <c r="H257" s="107" t="s">
        <v>130</v>
      </c>
      <c r="I257" s="105" t="s">
        <v>10</v>
      </c>
      <c r="J257" s="66"/>
      <c r="K257" s="67"/>
      <c r="L257" s="65"/>
      <c r="M257" s="65"/>
      <c r="N257" s="107" t="s">
        <v>334</v>
      </c>
      <c r="O257" s="68"/>
      <c r="P257" s="69">
        <v>600000000</v>
      </c>
      <c r="Q257" s="104"/>
      <c r="R257" s="131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s="57" customFormat="1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>
        <f t="shared" ref="B258:B259" si="19">IF(C258&lt;&gt;"",ROW()-3,"")</f>
        <v>255</v>
      </c>
      <c r="C258" s="62" t="s">
        <v>144</v>
      </c>
      <c r="D258" s="67">
        <v>43082</v>
      </c>
      <c r="E258" s="65" t="s">
        <v>24</v>
      </c>
      <c r="F258" s="107" t="s">
        <v>132</v>
      </c>
      <c r="G258" s="71" t="s">
        <v>405</v>
      </c>
      <c r="H258" s="64" t="s">
        <v>163</v>
      </c>
      <c r="I258" s="105" t="s">
        <v>10</v>
      </c>
      <c r="J258" s="56"/>
      <c r="K258" s="67"/>
      <c r="L258" s="65"/>
      <c r="M258" s="65"/>
      <c r="N258" s="64" t="s">
        <v>460</v>
      </c>
      <c r="O258" s="68"/>
      <c r="P258" s="69">
        <f>84000*22705</f>
        <v>1907220000</v>
      </c>
      <c r="Q258" s="104"/>
      <c r="R258" s="131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s="57" customFormat="1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>
        <f t="shared" si="19"/>
        <v>256</v>
      </c>
      <c r="C259" s="62" t="s">
        <v>144</v>
      </c>
      <c r="D259" s="67">
        <v>43082</v>
      </c>
      <c r="E259" s="65" t="s">
        <v>25</v>
      </c>
      <c r="F259" s="107" t="s">
        <v>132</v>
      </c>
      <c r="G259" s="71" t="s">
        <v>405</v>
      </c>
      <c r="H259" s="64" t="s">
        <v>163</v>
      </c>
      <c r="I259" s="105" t="s">
        <v>10</v>
      </c>
      <c r="J259" s="56"/>
      <c r="K259" s="67"/>
      <c r="L259" s="65"/>
      <c r="M259" s="65"/>
      <c r="N259" s="64" t="s">
        <v>461</v>
      </c>
      <c r="O259" s="68"/>
      <c r="P259" s="69">
        <f>40100*22705</f>
        <v>910470500</v>
      </c>
      <c r="Q259" s="104"/>
      <c r="R259" s="131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s="57" customFormat="1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>
        <f t="shared" si="18"/>
        <v>257</v>
      </c>
      <c r="C260" s="62" t="s">
        <v>144</v>
      </c>
      <c r="D260" s="67">
        <v>43088</v>
      </c>
      <c r="E260" s="65" t="s">
        <v>23</v>
      </c>
      <c r="F260" s="107" t="s">
        <v>133</v>
      </c>
      <c r="G260" s="107" t="s">
        <v>134</v>
      </c>
      <c r="H260" s="107" t="s">
        <v>130</v>
      </c>
      <c r="I260" s="105" t="s">
        <v>10</v>
      </c>
      <c r="J260" s="66"/>
      <c r="K260" s="67"/>
      <c r="L260" s="65"/>
      <c r="M260" s="65"/>
      <c r="N260" s="107" t="s">
        <v>334</v>
      </c>
      <c r="O260" s="68"/>
      <c r="P260" s="69">
        <f>6050000000-200000000</f>
        <v>5850000000</v>
      </c>
      <c r="Q260" s="104"/>
      <c r="R260" s="131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s="57" customFormat="1" ht="18.75" hidden="1" customHeight="1">
      <c r="A261" s="55" t="str">
        <f>IF(AND(C261="pv",E261='UNC - PV'!$S$2,D261='UNC - PV'!$Q$2),"x",IF(AND(LEFT(C261,3)="eib",E261='UNC - EIB'!$V$2,D261='UNC - EIB'!$T$2),"x1",IF(AND(C261="pv",E261='LC - PV'!$R$2,D261='LC - PV'!$P$2),"x2",IF(AND(LEFT(C261,3)="eib",E261='LC - EIB'!$U$2,D261='LC - EIB'!$S$2),"x3",""))))</f>
        <v/>
      </c>
      <c r="B261" s="62">
        <f t="shared" si="18"/>
        <v>258</v>
      </c>
      <c r="C261" s="62" t="s">
        <v>104</v>
      </c>
      <c r="D261" s="67">
        <v>43090</v>
      </c>
      <c r="E261" s="65" t="s">
        <v>23</v>
      </c>
      <c r="F261" s="107" t="s">
        <v>133</v>
      </c>
      <c r="G261" s="107" t="s">
        <v>134</v>
      </c>
      <c r="H261" s="107" t="s">
        <v>130</v>
      </c>
      <c r="I261" s="105" t="s">
        <v>10</v>
      </c>
      <c r="J261" s="66"/>
      <c r="K261" s="67"/>
      <c r="L261" s="65"/>
      <c r="M261" s="65"/>
      <c r="N261" s="64" t="s">
        <v>129</v>
      </c>
      <c r="O261" s="68">
        <v>122300</v>
      </c>
      <c r="P261" s="69"/>
      <c r="Q261" s="104"/>
      <c r="R261" s="131" t="str">
        <f>IF(AND(C261="pv",D261='UNC - PV'!$Q$2,LEFT(E261,1)="u",'UNC - PV'!$O$2="vnđ",TH!P261&lt;&gt;""),"p",IF(AND(C261="pv",D261='UNC - PV'!$Q$2,LEFT(E261,1)="u",'UNC - PV'!$O$2="usd",TH!O261&lt;&gt;""),"p1",IF(AND(C261="pv",D261='LC - PV'!$P$2,LEFT(E261,1)="l"),"p2",IF(AND(LEFT(C261,3)="EIB",D261='UNC - EIB'!$T$2,LEFT(E261,1)="u",'UNC - EIB'!$R$2="vnđ",TH!P261&lt;&gt;""),"e",IF(AND(LEFT(C261,3)="EIB",D261='UNC - EIB'!$T$2,LEFT(E261,1)="U",'UNC - EIB'!$R$2="usd",TH!O261&lt;&gt;""),"e1",IF(AND(LEFT(C261,3)="EIB",D261='LC - EIB'!$S$2,LEFT(E261,1)="l"),"e2",""))))))</f>
        <v/>
      </c>
    </row>
    <row r="262" spans="1:18" s="57" customFormat="1" ht="18.75" customHeight="1">
      <c r="A262" s="55" t="str">
        <f>IF(AND(C262="pv",E262='UNC - PV'!$S$2,D262='UNC - PV'!$Q$2),"x",IF(AND(LEFT(C262,3)="eib",E262='UNC - EIB'!$V$2,D262='UNC - EIB'!$T$2),"x1",IF(AND(C262="pv",E262='LC - PV'!$R$2,D262='LC - PV'!$P$2),"x2",IF(AND(LEFT(C262,3)="eib",E262='LC - EIB'!$U$2,D262='LC - EIB'!$S$2),"x3",""))))</f>
        <v/>
      </c>
      <c r="B262" s="62">
        <f t="shared" si="18"/>
        <v>259</v>
      </c>
      <c r="C262" s="62" t="s">
        <v>144</v>
      </c>
      <c r="D262" s="67">
        <v>43091</v>
      </c>
      <c r="E262" s="65" t="s">
        <v>23</v>
      </c>
      <c r="F262" s="107" t="s">
        <v>132</v>
      </c>
      <c r="G262" s="71" t="s">
        <v>405</v>
      </c>
      <c r="H262" s="64" t="s">
        <v>163</v>
      </c>
      <c r="I262" s="105" t="s">
        <v>10</v>
      </c>
      <c r="J262" s="56"/>
      <c r="K262" s="67"/>
      <c r="L262" s="65"/>
      <c r="M262" s="65"/>
      <c r="N262" s="64" t="s">
        <v>463</v>
      </c>
      <c r="O262" s="68"/>
      <c r="P262" s="69">
        <f>23662*22702</f>
        <v>537174724</v>
      </c>
      <c r="Q262" s="104"/>
      <c r="R262" s="131" t="str">
        <f>IF(AND(C262="pv",D262='UNC - PV'!$Q$2,LEFT(E262,1)="u",'UNC - PV'!$O$2="vnđ",TH!P262&lt;&gt;""),"p",IF(AND(C262="pv",D262='UNC - PV'!$Q$2,LEFT(E262,1)="u",'UNC - PV'!$O$2="usd",TH!O262&lt;&gt;""),"p1",IF(AND(C262="pv",D262='LC - PV'!$P$2,LEFT(E262,1)="l"),"p2",IF(AND(LEFT(C262,3)="EIB",D262='UNC - EIB'!$T$2,LEFT(E262,1)="u",'UNC - EIB'!$R$2="vnđ",TH!P262&lt;&gt;""),"e",IF(AND(LEFT(C262,3)="EIB",D262='UNC - EIB'!$T$2,LEFT(E262,1)="U",'UNC - EIB'!$R$2="usd",TH!O262&lt;&gt;""),"e1",IF(AND(LEFT(C262,3)="EIB",D262='LC - EIB'!$S$2,LEFT(E262,1)="l"),"e2",""))))))</f>
        <v/>
      </c>
    </row>
    <row r="263" spans="1:18" s="57" customFormat="1" ht="18.75" customHeight="1">
      <c r="A263" s="55" t="str">
        <f>IF(AND(C263="pv",E263='UNC - PV'!$S$2,D263='UNC - PV'!$Q$2),"x",IF(AND(LEFT(C263,3)="eib",E263='UNC - EIB'!$V$2,D263='UNC - EIB'!$T$2),"x1",IF(AND(C263="pv",E263='LC - PV'!$R$2,D263='LC - PV'!$P$2),"x2",IF(AND(LEFT(C263,3)="eib",E263='LC - EIB'!$U$2,D263='LC - EIB'!$S$2),"x3",""))))</f>
        <v/>
      </c>
      <c r="B263" s="62">
        <f t="shared" si="18"/>
        <v>260</v>
      </c>
      <c r="C263" s="62" t="s">
        <v>144</v>
      </c>
      <c r="D263" s="67">
        <v>43091</v>
      </c>
      <c r="E263" s="65" t="s">
        <v>24</v>
      </c>
      <c r="F263" s="107" t="s">
        <v>132</v>
      </c>
      <c r="G263" s="71" t="s">
        <v>405</v>
      </c>
      <c r="H263" s="64" t="s">
        <v>163</v>
      </c>
      <c r="I263" s="105" t="s">
        <v>10</v>
      </c>
      <c r="J263" s="56"/>
      <c r="K263" s="67"/>
      <c r="L263" s="65"/>
      <c r="M263" s="65"/>
      <c r="N263" s="64" t="s">
        <v>464</v>
      </c>
      <c r="O263" s="68"/>
      <c r="P263" s="69">
        <f>92500*22702</f>
        <v>2099935000</v>
      </c>
      <c r="Q263" s="104"/>
      <c r="R263" s="131" t="str">
        <f>IF(AND(C263="pv",D263='UNC - PV'!$Q$2,LEFT(E263,1)="u",'UNC - PV'!$O$2="vnđ",TH!P263&lt;&gt;""),"p",IF(AND(C263="pv",D263='UNC - PV'!$Q$2,LEFT(E263,1)="u",'UNC - PV'!$O$2="usd",TH!O263&lt;&gt;""),"p1",IF(AND(C263="pv",D263='LC - PV'!$P$2,LEFT(E263,1)="l"),"p2",IF(AND(LEFT(C263,3)="EIB",D263='UNC - EIB'!$T$2,LEFT(E263,1)="u",'UNC - EIB'!$R$2="vnđ",TH!P263&lt;&gt;""),"e",IF(AND(LEFT(C263,3)="EIB",D263='UNC - EIB'!$T$2,LEFT(E263,1)="U",'UNC - EIB'!$R$2="usd",TH!O263&lt;&gt;""),"e1",IF(AND(LEFT(C263,3)="EIB",D263='LC - EIB'!$S$2,LEFT(E263,1)="l"),"e2",""))))))</f>
        <v/>
      </c>
    </row>
    <row r="264" spans="1:18" s="57" customFormat="1" ht="18.75" customHeight="1">
      <c r="A264" s="55" t="str">
        <f>IF(AND(C264="pv",E264='UNC - PV'!$S$2,D264='UNC - PV'!$Q$2),"x",IF(AND(LEFT(C264,3)="eib",E264='UNC - EIB'!$V$2,D264='UNC - EIB'!$T$2),"x1",IF(AND(C264="pv",E264='LC - PV'!$R$2,D264='LC - PV'!$P$2),"x2",IF(AND(LEFT(C264,3)="eib",E264='LC - EIB'!$U$2,D264='LC - EIB'!$S$2),"x3",""))))</f>
        <v/>
      </c>
      <c r="B264" s="62">
        <f t="shared" si="18"/>
        <v>261</v>
      </c>
      <c r="C264" s="62" t="s">
        <v>144</v>
      </c>
      <c r="D264" s="67">
        <v>43095</v>
      </c>
      <c r="E264" s="65" t="s">
        <v>23</v>
      </c>
      <c r="F264" s="107" t="s">
        <v>133</v>
      </c>
      <c r="G264" s="107" t="s">
        <v>134</v>
      </c>
      <c r="H264" s="107" t="s">
        <v>130</v>
      </c>
      <c r="I264" s="105" t="s">
        <v>10</v>
      </c>
      <c r="J264" s="66"/>
      <c r="K264" s="67"/>
      <c r="L264" s="65"/>
      <c r="M264" s="65"/>
      <c r="N264" s="107" t="s">
        <v>334</v>
      </c>
      <c r="O264" s="68"/>
      <c r="P264" s="69">
        <v>3590000000</v>
      </c>
      <c r="Q264" s="104"/>
      <c r="R264" s="131" t="str">
        <f>IF(AND(C264="pv",D264='UNC - PV'!$Q$2,LEFT(E264,1)="u",'UNC - PV'!$O$2="vnđ",TH!P264&lt;&gt;""),"p",IF(AND(C264="pv",D264='UNC - PV'!$Q$2,LEFT(E264,1)="u",'UNC - PV'!$O$2="usd",TH!O264&lt;&gt;""),"p1",IF(AND(C264="pv",D264='LC - PV'!$P$2,LEFT(E264,1)="l"),"p2",IF(AND(LEFT(C264,3)="EIB",D264='UNC - EIB'!$T$2,LEFT(E264,1)="u",'UNC - EIB'!$R$2="vnđ",TH!P264&lt;&gt;""),"e",IF(AND(LEFT(C264,3)="EIB",D264='UNC - EIB'!$T$2,LEFT(E264,1)="U",'UNC - EIB'!$R$2="usd",TH!O264&lt;&gt;""),"e1",IF(AND(LEFT(C264,3)="EIB",D264='LC - EIB'!$S$2,LEFT(E264,1)="l"),"e2",""))))))</f>
        <v/>
      </c>
    </row>
    <row r="265" spans="1:18" s="57" customFormat="1" ht="18.75" hidden="1" customHeight="1">
      <c r="A265" s="55" t="str">
        <f>IF(AND(C265="pv",E265='UNC - PV'!$S$2,D265='UNC - PV'!$Q$2),"x",IF(AND(LEFT(C265,3)="eib",E265='UNC - EIB'!$V$2,D265='UNC - EIB'!$T$2),"x1",IF(AND(C265="pv",E265='LC - PV'!$R$2,D265='LC - PV'!$P$2),"x2",IF(AND(LEFT(C265,3)="eib",E265='LC - EIB'!$U$2,D265='LC - EIB'!$S$2),"x3",""))))</f>
        <v/>
      </c>
      <c r="B265" s="62">
        <f t="shared" ref="B265" si="20">IF(C265&lt;&gt;"",ROW()-3,"")</f>
        <v>262</v>
      </c>
      <c r="C265" s="62" t="s">
        <v>104</v>
      </c>
      <c r="D265" s="67">
        <v>43096</v>
      </c>
      <c r="E265" s="65" t="s">
        <v>23</v>
      </c>
      <c r="F265" s="107" t="s">
        <v>133</v>
      </c>
      <c r="G265" s="107" t="s">
        <v>134</v>
      </c>
      <c r="H265" s="107" t="s">
        <v>130</v>
      </c>
      <c r="I265" s="105" t="s">
        <v>10</v>
      </c>
      <c r="J265" s="66"/>
      <c r="K265" s="67"/>
      <c r="L265" s="65"/>
      <c r="M265" s="65"/>
      <c r="N265" s="64" t="s">
        <v>129</v>
      </c>
      <c r="O265" s="68">
        <v>258500</v>
      </c>
      <c r="P265" s="69"/>
      <c r="Q265" s="104"/>
      <c r="R265" s="131" t="str">
        <f>IF(AND(C265="pv",D265='UNC - PV'!$Q$2,LEFT(E265,1)="u",'UNC - PV'!$O$2="vnđ",TH!P265&lt;&gt;""),"p",IF(AND(C265="pv",D265='UNC - PV'!$Q$2,LEFT(E265,1)="u",'UNC - PV'!$O$2="usd",TH!O265&lt;&gt;""),"p1",IF(AND(C265="pv",D265='LC - PV'!$P$2,LEFT(E265,1)="l"),"p2",IF(AND(LEFT(C265,3)="EIB",D265='UNC - EIB'!$T$2,LEFT(E265,1)="u",'UNC - EIB'!$R$2="vnđ",TH!P265&lt;&gt;""),"e",IF(AND(LEFT(C265,3)="EIB",D265='UNC - EIB'!$T$2,LEFT(E265,1)="U",'UNC - EIB'!$R$2="usd",TH!O265&lt;&gt;""),"e1",IF(AND(LEFT(C265,3)="EIB",D265='LC - EIB'!$S$2,LEFT(E265,1)="l"),"e2",""))))))</f>
        <v/>
      </c>
    </row>
    <row r="266" spans="1:18" s="57" customFormat="1" ht="18.75" hidden="1" customHeight="1">
      <c r="A266" s="55" t="str">
        <f>IF(AND(C266="pv",E266='UNC - PV'!$S$2,D266='UNC - PV'!$Q$2),"x",IF(AND(LEFT(C266,3)="eib",E266='UNC - EIB'!$V$2,D266='UNC - EIB'!$T$2),"x1",IF(AND(C266="pv",E266='LC - PV'!$R$2,D266='LC - PV'!$P$2),"x2",IF(AND(LEFT(C266,3)="eib",E266='LC - EIB'!$U$2,D266='LC - EIB'!$S$2),"x3",""))))</f>
        <v/>
      </c>
      <c r="B266" s="62">
        <f t="shared" si="18"/>
        <v>263</v>
      </c>
      <c r="C266" s="62" t="s">
        <v>128</v>
      </c>
      <c r="D266" s="67">
        <v>43097</v>
      </c>
      <c r="E266" s="65" t="s">
        <v>23</v>
      </c>
      <c r="F266" s="107" t="s">
        <v>133</v>
      </c>
      <c r="G266" s="107" t="s">
        <v>134</v>
      </c>
      <c r="H266" s="107" t="s">
        <v>130</v>
      </c>
      <c r="I266" s="105" t="s">
        <v>10</v>
      </c>
      <c r="J266" s="66"/>
      <c r="K266" s="67"/>
      <c r="L266" s="65"/>
      <c r="M266" s="65"/>
      <c r="N266" s="107" t="s">
        <v>334</v>
      </c>
      <c r="O266" s="68"/>
      <c r="P266" s="69">
        <v>5619134000</v>
      </c>
      <c r="Q266" s="104"/>
      <c r="R266" s="131" t="str">
        <f>IF(AND(C266="pv",D266='UNC - PV'!$Q$2,LEFT(E266,1)="u",'UNC - PV'!$O$2="vnđ",TH!P266&lt;&gt;""),"p",IF(AND(C266="pv",D266='UNC - PV'!$Q$2,LEFT(E266,1)="u",'UNC - PV'!$O$2="usd",TH!O266&lt;&gt;""),"p1",IF(AND(C266="pv",D266='LC - PV'!$P$2,LEFT(E266,1)="l"),"p2",IF(AND(LEFT(C266,3)="EIB",D266='UNC - EIB'!$T$2,LEFT(E266,1)="u",'UNC - EIB'!$R$2="vnđ",TH!P266&lt;&gt;""),"e",IF(AND(LEFT(C266,3)="EIB",D266='UNC - EIB'!$T$2,LEFT(E266,1)="U",'UNC - EIB'!$R$2="usd",TH!O266&lt;&gt;""),"e1",IF(AND(LEFT(C266,3)="EIB",D266='LC - EIB'!$S$2,LEFT(E266,1)="l"),"e2",""))))))</f>
        <v/>
      </c>
    </row>
    <row r="267" spans="1:18" s="57" customFormat="1" ht="18.75" customHeight="1">
      <c r="A267" s="55" t="str">
        <f>IF(AND(C267="pv",E267='UNC - PV'!$S$2,D267='UNC - PV'!$Q$2),"x",IF(AND(LEFT(C267,3)="eib",E267='UNC - EIB'!$V$2,D267='UNC - EIB'!$T$2),"x1",IF(AND(C267="pv",E267='LC - PV'!$R$2,D267='LC - PV'!$P$2),"x2",IF(AND(LEFT(C267,3)="eib",E267='LC - EIB'!$U$2,D267='LC - EIB'!$S$2),"x3",""))))</f>
        <v/>
      </c>
      <c r="B267" s="62">
        <f t="shared" si="18"/>
        <v>264</v>
      </c>
      <c r="C267" s="62" t="s">
        <v>144</v>
      </c>
      <c r="D267" s="67">
        <v>43097</v>
      </c>
      <c r="E267" s="65" t="s">
        <v>24</v>
      </c>
      <c r="F267" s="107" t="s">
        <v>132</v>
      </c>
      <c r="G267" s="71" t="s">
        <v>405</v>
      </c>
      <c r="H267" s="64" t="s">
        <v>163</v>
      </c>
      <c r="I267" s="105" t="s">
        <v>10</v>
      </c>
      <c r="J267" s="56"/>
      <c r="K267" s="67"/>
      <c r="L267" s="65"/>
      <c r="M267" s="65"/>
      <c r="N267" s="64" t="s">
        <v>465</v>
      </c>
      <c r="O267" s="68"/>
      <c r="P267" s="69">
        <f>26200*22700</f>
        <v>594740000</v>
      </c>
      <c r="Q267" s="104"/>
      <c r="R267" s="131" t="str">
        <f>IF(AND(C267="pv",D267='UNC - PV'!$Q$2,LEFT(E267,1)="u",'UNC - PV'!$O$2="vnđ",TH!P267&lt;&gt;""),"p",IF(AND(C267="pv",D267='UNC - PV'!$Q$2,LEFT(E267,1)="u",'UNC - PV'!$O$2="usd",TH!O267&lt;&gt;""),"p1",IF(AND(C267="pv",D267='LC - PV'!$P$2,LEFT(E267,1)="l"),"p2",IF(AND(LEFT(C267,3)="EIB",D267='UNC - EIB'!$T$2,LEFT(E267,1)="u",'UNC - EIB'!$R$2="vnđ",TH!P267&lt;&gt;""),"e",IF(AND(LEFT(C267,3)="EIB",D267='UNC - EIB'!$T$2,LEFT(E267,1)="U",'UNC - EIB'!$R$2="usd",TH!O267&lt;&gt;""),"e1",IF(AND(LEFT(C267,3)="EIB",D267='LC - EIB'!$S$2,LEFT(E267,1)="l"),"e2",""))))))</f>
        <v/>
      </c>
    </row>
    <row r="268" spans="1:18" s="57" customFormat="1" ht="18.75" customHeight="1">
      <c r="A268" s="55" t="str">
        <f>IF(AND(C268="pv",E268='UNC - PV'!$S$2,D268='UNC - PV'!$Q$2),"x",IF(AND(LEFT(C268,3)="eib",E268='UNC - EIB'!$V$2,D268='UNC - EIB'!$T$2),"x1",IF(AND(C268="pv",E268='LC - PV'!$R$2,D268='LC - PV'!$P$2),"x2",IF(AND(LEFT(C268,3)="eib",E268='LC - EIB'!$U$2,D268='LC - EIB'!$S$2),"x3",""))))</f>
        <v/>
      </c>
      <c r="B268" s="62">
        <f t="shared" si="18"/>
        <v>265</v>
      </c>
      <c r="C268" s="62" t="s">
        <v>144</v>
      </c>
      <c r="D268" s="67">
        <v>43098</v>
      </c>
      <c r="E268" s="65" t="s">
        <v>23</v>
      </c>
      <c r="F268" s="64" t="s">
        <v>275</v>
      </c>
      <c r="G268" s="64" t="s">
        <v>276</v>
      </c>
      <c r="H268" s="64" t="s">
        <v>277</v>
      </c>
      <c r="I268" s="65" t="s">
        <v>278</v>
      </c>
      <c r="J268" s="66"/>
      <c r="K268" s="67"/>
      <c r="L268" s="65"/>
      <c r="M268" s="65"/>
      <c r="N268" s="64" t="s">
        <v>274</v>
      </c>
      <c r="O268" s="68"/>
      <c r="P268" s="69">
        <v>44307122</v>
      </c>
      <c r="Q268" s="104"/>
      <c r="R268" s="131" t="str">
        <f>IF(AND(C268="pv",D268='UNC - PV'!$Q$2,LEFT(E268,1)="u",'UNC - PV'!$O$2="vnđ",TH!P268&lt;&gt;""),"p",IF(AND(C268="pv",D268='UNC - PV'!$Q$2,LEFT(E268,1)="u",'UNC - PV'!$O$2="usd",TH!O268&lt;&gt;""),"p1",IF(AND(C268="pv",D268='LC - PV'!$P$2,LEFT(E268,1)="l"),"p2",IF(AND(LEFT(C268,3)="EIB",D268='UNC - EIB'!$T$2,LEFT(E268,1)="u",'UNC - EIB'!$R$2="vnđ",TH!P268&lt;&gt;""),"e",IF(AND(LEFT(C268,3)="EIB",D268='UNC - EIB'!$T$2,LEFT(E268,1)="U",'UNC - EIB'!$R$2="usd",TH!O268&lt;&gt;""),"e1",IF(AND(LEFT(C268,3)="EIB",D268='LC - EIB'!$S$2,LEFT(E268,1)="l"),"e2",""))))))</f>
        <v/>
      </c>
    </row>
    <row r="269" spans="1:18" s="57" customFormat="1" ht="18.75" customHeight="1">
      <c r="A269" s="55" t="str">
        <f>IF(AND(C269="pv",E269='UNC - PV'!$S$2,D269='UNC - PV'!$Q$2),"x",IF(AND(LEFT(C269,3)="eib",E269='UNC - EIB'!$V$2,D269='UNC - EIB'!$T$2),"x1",IF(AND(C269="pv",E269='LC - PV'!$R$2,D269='LC - PV'!$P$2),"x2",IF(AND(LEFT(C269,3)="eib",E269='LC - EIB'!$U$2,D269='LC - EIB'!$S$2),"x3",""))))</f>
        <v/>
      </c>
      <c r="B269" s="62">
        <f t="shared" si="18"/>
        <v>266</v>
      </c>
      <c r="C269" s="62" t="s">
        <v>144</v>
      </c>
      <c r="D269" s="67">
        <v>43098</v>
      </c>
      <c r="E269" s="65" t="s">
        <v>24</v>
      </c>
      <c r="F269" s="107" t="s">
        <v>132</v>
      </c>
      <c r="G269" s="71" t="s">
        <v>405</v>
      </c>
      <c r="H269" s="64" t="s">
        <v>163</v>
      </c>
      <c r="I269" s="105" t="s">
        <v>10</v>
      </c>
      <c r="J269" s="56"/>
      <c r="K269" s="67"/>
      <c r="L269" s="65"/>
      <c r="M269" s="65"/>
      <c r="N269" s="64" t="s">
        <v>466</v>
      </c>
      <c r="O269" s="68"/>
      <c r="P269" s="69">
        <f>25080*22700</f>
        <v>569316000</v>
      </c>
      <c r="Q269" s="104"/>
      <c r="R269" s="131" t="str">
        <f>IF(AND(C269="pv",D269='UNC - PV'!$Q$2,LEFT(E269,1)="u",'UNC - PV'!$O$2="vnđ",TH!P269&lt;&gt;""),"p",IF(AND(C269="pv",D269='UNC - PV'!$Q$2,LEFT(E269,1)="u",'UNC - PV'!$O$2="usd",TH!O269&lt;&gt;""),"p1",IF(AND(C269="pv",D269='LC - PV'!$P$2,LEFT(E269,1)="l"),"p2",IF(AND(LEFT(C269,3)="EIB",D269='UNC - EIB'!$T$2,LEFT(E269,1)="u",'UNC - EIB'!$R$2="vnđ",TH!P269&lt;&gt;""),"e",IF(AND(LEFT(C269,3)="EIB",D269='UNC - EIB'!$T$2,LEFT(E269,1)="U",'UNC - EIB'!$R$2="usd",TH!O269&lt;&gt;""),"e1",IF(AND(LEFT(C269,3)="EIB",D269='LC - EIB'!$S$2,LEFT(E269,1)="l"),"e2",""))))))</f>
        <v/>
      </c>
    </row>
    <row r="270" spans="1:18" s="57" customFormat="1" ht="18.75" customHeight="1">
      <c r="A270" s="55" t="str">
        <f>IF(AND(C270="pv",E270='UNC - PV'!$S$2,D270='UNC - PV'!$Q$2),"x",IF(AND(LEFT(C270,3)="eib",E270='UNC - EIB'!$V$2,D270='UNC - EIB'!$T$2),"x1",IF(AND(C270="pv",E270='LC - PV'!$R$2,D270='LC - PV'!$P$2),"x2",IF(AND(LEFT(C270,3)="eib",E270='LC - EIB'!$U$2,D270='LC - EIB'!$S$2),"x3",""))))</f>
        <v/>
      </c>
      <c r="B270" s="62">
        <f t="shared" si="10"/>
        <v>267</v>
      </c>
      <c r="C270" s="62" t="s">
        <v>144</v>
      </c>
      <c r="D270" s="67">
        <v>43098</v>
      </c>
      <c r="E270" s="65" t="s">
        <v>25</v>
      </c>
      <c r="F270" s="64" t="s">
        <v>366</v>
      </c>
      <c r="G270" s="71" t="s">
        <v>408</v>
      </c>
      <c r="H270" s="64" t="s">
        <v>368</v>
      </c>
      <c r="I270" s="65" t="s">
        <v>35</v>
      </c>
      <c r="J270" s="66"/>
      <c r="K270" s="67"/>
      <c r="L270" s="65"/>
      <c r="M270" s="65"/>
      <c r="N270" s="64" t="s">
        <v>467</v>
      </c>
      <c r="O270" s="68"/>
      <c r="P270" s="69">
        <f>30915720+25284270</f>
        <v>56199990</v>
      </c>
      <c r="Q270" s="104"/>
      <c r="R270" s="131" t="str">
        <f>IF(AND(C270="pv",D270='UNC - PV'!$Q$2,LEFT(E270,1)="u",'UNC - PV'!$O$2="vnđ",TH!P270&lt;&gt;""),"p",IF(AND(C270="pv",D270='UNC - PV'!$Q$2,LEFT(E270,1)="u",'UNC - PV'!$O$2="usd",TH!O270&lt;&gt;""),"p1",IF(AND(C270="pv",D270='LC - PV'!$P$2,LEFT(E270,1)="l"),"p2",IF(AND(LEFT(C270,3)="EIB",D270='UNC - EIB'!$T$2,LEFT(E270,1)="u",'UNC - EIB'!$R$2="vnđ",TH!P270&lt;&gt;""),"e",IF(AND(LEFT(C270,3)="EIB",D270='UNC - EIB'!$T$2,LEFT(E270,1)="U",'UNC - EIB'!$R$2="usd",TH!O270&lt;&gt;""),"e1",IF(AND(LEFT(C270,3)="EIB",D270='LC - EIB'!$S$2,LEFT(E270,1)="l"),"e2",""))))))</f>
        <v/>
      </c>
    </row>
    <row r="271" spans="1:18" s="57" customFormat="1" ht="18.75" hidden="1" customHeight="1">
      <c r="A271" s="55" t="str">
        <f>IF(AND(C271="pv",E271='UNC - PV'!$S$2,D271='UNC - PV'!$Q$2),"x",IF(AND(LEFT(C271,3)="eib",E271='UNC - EIB'!$V$2,D271='UNC - EIB'!$T$2),"x1",IF(AND(C271="pv",E271='LC - PV'!$R$2,D271='LC - PV'!$P$2),"x2",IF(AND(LEFT(C271,3)="eib",E271='LC - EIB'!$U$2,D271='LC - EIB'!$S$2),"x3",""))))</f>
        <v>x1</v>
      </c>
      <c r="B271" s="62">
        <f t="shared" si="10"/>
        <v>268</v>
      </c>
      <c r="C271" s="62" t="s">
        <v>104</v>
      </c>
      <c r="D271" s="67">
        <v>43103</v>
      </c>
      <c r="E271" s="65" t="s">
        <v>23</v>
      </c>
      <c r="F271" s="107" t="s">
        <v>133</v>
      </c>
      <c r="G271" s="107" t="s">
        <v>134</v>
      </c>
      <c r="H271" s="107" t="s">
        <v>130</v>
      </c>
      <c r="I271" s="105" t="s">
        <v>10</v>
      </c>
      <c r="J271" s="66"/>
      <c r="K271" s="67"/>
      <c r="L271" s="65"/>
      <c r="M271" s="65"/>
      <c r="N271" s="64" t="s">
        <v>129</v>
      </c>
      <c r="O271" s="68">
        <v>98200</v>
      </c>
      <c r="P271" s="69"/>
      <c r="Q271" s="104"/>
      <c r="R271" s="131" t="str">
        <f>IF(AND(C271="pv",D271='UNC - PV'!$Q$2,LEFT(E271,1)="u",'UNC - PV'!$O$2="vnđ",TH!P271&lt;&gt;""),"p",IF(AND(C271="pv",D271='UNC - PV'!$Q$2,LEFT(E271,1)="u",'UNC - PV'!$O$2="usd",TH!O271&lt;&gt;""),"p1",IF(AND(C271="pv",D271='LC - PV'!$P$2,LEFT(E271,1)="l"),"p2",IF(AND(LEFT(C271,3)="EIB",D271='UNC - EIB'!$T$2,LEFT(E271,1)="u",'UNC - EIB'!$R$2="vnđ",TH!P271&lt;&gt;""),"e",IF(AND(LEFT(C271,3)="EIB",D271='UNC - EIB'!$T$2,LEFT(E271,1)="U",'UNC - EIB'!$R$2="usd",TH!O271&lt;&gt;""),"e1",IF(AND(LEFT(C271,3)="EIB",D271='LC - EIB'!$S$2,LEFT(E271,1)="l"),"e2",""))))))</f>
        <v>e1</v>
      </c>
    </row>
    <row r="272" spans="1:18" s="57" customFormat="1" ht="18.75" customHeight="1">
      <c r="A272" s="55" t="str">
        <f>IF(AND(C272="pv",E272='UNC - PV'!$S$2,D272='UNC - PV'!$Q$2),"x",IF(AND(LEFT(C272,3)="eib",E272='UNC - EIB'!$V$2,D272='UNC - EIB'!$T$2),"x1",IF(AND(C272="pv",E272='LC - PV'!$R$2,D272='LC - PV'!$P$2),"x2",IF(AND(LEFT(C272,3)="eib",E272='LC - EIB'!$U$2,D272='LC - EIB'!$S$2),"x3",""))))</f>
        <v/>
      </c>
      <c r="B272" s="62">
        <f t="shared" si="10"/>
        <v>269</v>
      </c>
      <c r="C272" s="62" t="s">
        <v>144</v>
      </c>
      <c r="D272" s="67">
        <v>43104</v>
      </c>
      <c r="E272" s="65" t="s">
        <v>23</v>
      </c>
      <c r="F272" s="64" t="s">
        <v>330</v>
      </c>
      <c r="G272" s="71" t="s">
        <v>441</v>
      </c>
      <c r="H272" s="64" t="s">
        <v>332</v>
      </c>
      <c r="I272" s="65" t="s">
        <v>333</v>
      </c>
      <c r="J272" s="66"/>
      <c r="K272" s="67"/>
      <c r="L272" s="65"/>
      <c r="M272" s="65"/>
      <c r="N272" s="64" t="s">
        <v>334</v>
      </c>
      <c r="O272" s="68"/>
      <c r="P272" s="69">
        <f>32898*39500</f>
        <v>1299471000</v>
      </c>
      <c r="Q272" s="104"/>
      <c r="R272" s="131" t="str">
        <f>IF(AND(C272="pv",D272='UNC - PV'!$Q$2,LEFT(E272,1)="u",'UNC - PV'!$O$2="vnđ",TH!P272&lt;&gt;""),"p",IF(AND(C272="pv",D272='UNC - PV'!$Q$2,LEFT(E272,1)="u",'UNC - PV'!$O$2="usd",TH!O272&lt;&gt;""),"p1",IF(AND(C272="pv",D272='LC - PV'!$P$2,LEFT(E272,1)="l"),"p2",IF(AND(LEFT(C272,3)="EIB",D272='UNC - EIB'!$T$2,LEFT(E272,1)="u",'UNC - EIB'!$R$2="vnđ",TH!P272&lt;&gt;""),"e",IF(AND(LEFT(C272,3)="EIB",D272='UNC - EIB'!$T$2,LEFT(E272,1)="U",'UNC - EIB'!$R$2="usd",TH!O272&lt;&gt;""),"e1",IF(AND(LEFT(C272,3)="EIB",D272='LC - EIB'!$S$2,LEFT(E272,1)="l"),"e2",""))))))</f>
        <v/>
      </c>
    </row>
    <row r="273" spans="1:18" s="57" customFormat="1" ht="18.75" customHeight="1">
      <c r="A273" s="55" t="str">
        <f>IF(AND(C273="pv",E273='UNC - PV'!$S$2,D273='UNC - PV'!$Q$2),"x",IF(AND(LEFT(C273,3)="eib",E273='UNC - EIB'!$V$2,D273='UNC - EIB'!$T$2),"x1",IF(AND(C273="pv",E273='LC - PV'!$R$2,D273='LC - PV'!$P$2),"x2",IF(AND(LEFT(C273,3)="eib",E273='LC - EIB'!$U$2,D273='LC - EIB'!$S$2),"x3",""))))</f>
        <v/>
      </c>
      <c r="B273" s="62">
        <f t="shared" si="10"/>
        <v>270</v>
      </c>
      <c r="C273" s="62" t="s">
        <v>144</v>
      </c>
      <c r="D273" s="67">
        <v>43104</v>
      </c>
      <c r="E273" s="65" t="s">
        <v>24</v>
      </c>
      <c r="F273" s="107" t="s">
        <v>132</v>
      </c>
      <c r="G273" s="71" t="s">
        <v>405</v>
      </c>
      <c r="H273" s="64" t="s">
        <v>163</v>
      </c>
      <c r="I273" s="105" t="s">
        <v>10</v>
      </c>
      <c r="J273" s="56"/>
      <c r="K273" s="67"/>
      <c r="L273" s="65"/>
      <c r="M273" s="65"/>
      <c r="N273" s="64" t="s">
        <v>468</v>
      </c>
      <c r="O273" s="68"/>
      <c r="P273" s="69">
        <f>48700*22699</f>
        <v>1105441300</v>
      </c>
      <c r="Q273" s="104"/>
      <c r="R273" s="131" t="str">
        <f>IF(AND(C273="pv",D273='UNC - PV'!$Q$2,LEFT(E273,1)="u",'UNC - PV'!$O$2="vnđ",TH!P273&lt;&gt;""),"p",IF(AND(C273="pv",D273='UNC - PV'!$Q$2,LEFT(E273,1)="u",'UNC - PV'!$O$2="usd",TH!O273&lt;&gt;""),"p1",IF(AND(C273="pv",D273='LC - PV'!$P$2,LEFT(E273,1)="l"),"p2",IF(AND(LEFT(C273,3)="EIB",D273='UNC - EIB'!$T$2,LEFT(E273,1)="u",'UNC - EIB'!$R$2="vnđ",TH!P273&lt;&gt;""),"e",IF(AND(LEFT(C273,3)="EIB",D273='UNC - EIB'!$T$2,LEFT(E273,1)="U",'UNC - EIB'!$R$2="usd",TH!O273&lt;&gt;""),"e1",IF(AND(LEFT(C273,3)="EIB",D273='LC - EIB'!$S$2,LEFT(E273,1)="l"),"e2",""))))))</f>
        <v/>
      </c>
    </row>
    <row r="274" spans="1:18" s="57" customFormat="1" ht="18.75" customHeight="1">
      <c r="A274" s="55" t="str">
        <f>IF(AND(C274="pv",E274='UNC - PV'!$S$2,D274='UNC - PV'!$Q$2),"x",IF(AND(LEFT(C274,3)="eib",E274='UNC - EIB'!$V$2,D274='UNC - EIB'!$T$2),"x1",IF(AND(C274="pv",E274='LC - PV'!$R$2,D274='LC - PV'!$P$2),"x2",IF(AND(LEFT(C274,3)="eib",E274='LC - EIB'!$U$2,D274='LC - EIB'!$S$2),"x3",""))))</f>
        <v/>
      </c>
      <c r="B274" s="62">
        <f t="shared" si="10"/>
        <v>271</v>
      </c>
      <c r="C274" s="62" t="s">
        <v>144</v>
      </c>
      <c r="D274" s="67">
        <v>43105</v>
      </c>
      <c r="E274" s="65" t="s">
        <v>23</v>
      </c>
      <c r="F274" s="107" t="s">
        <v>132</v>
      </c>
      <c r="G274" s="71" t="s">
        <v>405</v>
      </c>
      <c r="H274" s="64" t="s">
        <v>163</v>
      </c>
      <c r="I274" s="105" t="s">
        <v>10</v>
      </c>
      <c r="J274" s="56"/>
      <c r="K274" s="67"/>
      <c r="L274" s="65"/>
      <c r="M274" s="65"/>
      <c r="N274" s="64" t="s">
        <v>470</v>
      </c>
      <c r="O274" s="68"/>
      <c r="P274" s="69">
        <f>63000*22707</f>
        <v>1430541000</v>
      </c>
      <c r="Q274" s="104"/>
      <c r="R274" s="131" t="str">
        <f>IF(AND(C274="pv",D274='UNC - PV'!$Q$2,LEFT(E274,1)="u",'UNC - PV'!$O$2="vnđ",TH!P274&lt;&gt;""),"p",IF(AND(C274="pv",D274='UNC - PV'!$Q$2,LEFT(E274,1)="u",'UNC - PV'!$O$2="usd",TH!O274&lt;&gt;""),"p1",IF(AND(C274="pv",D274='LC - PV'!$P$2,LEFT(E274,1)="l"),"p2",IF(AND(LEFT(C274,3)="EIB",D274='UNC - EIB'!$T$2,LEFT(E274,1)="u",'UNC - EIB'!$R$2="vnđ",TH!P274&lt;&gt;""),"e",IF(AND(LEFT(C274,3)="EIB",D274='UNC - EIB'!$T$2,LEFT(E274,1)="U",'UNC - EIB'!$R$2="usd",TH!O274&lt;&gt;""),"e1",IF(AND(LEFT(C274,3)="EIB",D274='LC - EIB'!$S$2,LEFT(E274,1)="l"),"e2",""))))))</f>
        <v/>
      </c>
    </row>
    <row r="275" spans="1:18" s="57" customFormat="1" ht="18.75" customHeight="1">
      <c r="A275" s="55" t="str">
        <f>IF(AND(C275="pv",E275='UNC - PV'!$S$2,D275='UNC - PV'!$Q$2),"x",IF(AND(LEFT(C275,3)="eib",E275='UNC - EIB'!$V$2,D275='UNC - EIB'!$T$2),"x1",IF(AND(C275="pv",E275='LC - PV'!$R$2,D275='LC - PV'!$P$2),"x2",IF(AND(LEFT(C275,3)="eib",E275='LC - EIB'!$U$2,D275='LC - EIB'!$S$2),"x3",""))))</f>
        <v/>
      </c>
      <c r="B275" s="62">
        <f t="shared" si="10"/>
        <v>272</v>
      </c>
      <c r="C275" s="62" t="s">
        <v>144</v>
      </c>
      <c r="D275" s="67">
        <v>43115</v>
      </c>
      <c r="E275" s="65" t="s">
        <v>23</v>
      </c>
      <c r="F275" s="107" t="s">
        <v>132</v>
      </c>
      <c r="G275" s="71" t="s">
        <v>405</v>
      </c>
      <c r="H275" s="64" t="s">
        <v>163</v>
      </c>
      <c r="I275" s="105" t="s">
        <v>10</v>
      </c>
      <c r="J275" s="56"/>
      <c r="K275" s="67"/>
      <c r="L275" s="65"/>
      <c r="M275" s="65"/>
      <c r="N275" s="64" t="s">
        <v>471</v>
      </c>
      <c r="O275" s="68"/>
      <c r="P275" s="69">
        <f>83500*22700</f>
        <v>1895450000</v>
      </c>
      <c r="Q275" s="104"/>
      <c r="R275" s="131" t="str">
        <f>IF(AND(C275="pv",D275='UNC - PV'!$Q$2,LEFT(E275,1)="u",'UNC - PV'!$O$2="vnđ",TH!P275&lt;&gt;""),"p",IF(AND(C275="pv",D275='UNC - PV'!$Q$2,LEFT(E275,1)="u",'UNC - PV'!$O$2="usd",TH!O275&lt;&gt;""),"p1",IF(AND(C275="pv",D275='LC - PV'!$P$2,LEFT(E275,1)="l"),"p2",IF(AND(LEFT(C275,3)="EIB",D275='UNC - EIB'!$T$2,LEFT(E275,1)="u",'UNC - EIB'!$R$2="vnđ",TH!P275&lt;&gt;""),"e",IF(AND(LEFT(C275,3)="EIB",D275='UNC - EIB'!$T$2,LEFT(E275,1)="U",'UNC - EIB'!$R$2="usd",TH!O275&lt;&gt;""),"e1",IF(AND(LEFT(C275,3)="EIB",D275='LC - EIB'!$S$2,LEFT(E275,1)="l"),"e2",""))))))</f>
        <v/>
      </c>
    </row>
    <row r="276" spans="1:18" s="57" customFormat="1" ht="18.75" customHeight="1">
      <c r="A276" s="55" t="str">
        <f>IF(AND(C276="pv",E276='UNC - PV'!$S$2,D276='UNC - PV'!$Q$2),"x",IF(AND(LEFT(C276,3)="eib",E276='UNC - EIB'!$V$2,D276='UNC - EIB'!$T$2),"x1",IF(AND(C276="pv",E276='LC - PV'!$R$2,D276='LC - PV'!$P$2),"x2",IF(AND(LEFT(C276,3)="eib",E276='LC - EIB'!$U$2,D276='LC - EIB'!$S$2),"x3",""))))</f>
        <v/>
      </c>
      <c r="B276" s="62">
        <f t="shared" ref="B276:B322" si="21">IF(C276&lt;&gt;"",ROW()-3,"")</f>
        <v>273</v>
      </c>
      <c r="C276" s="62" t="s">
        <v>144</v>
      </c>
      <c r="D276" s="67">
        <v>43118</v>
      </c>
      <c r="E276" s="65" t="s">
        <v>23</v>
      </c>
      <c r="F276" s="107" t="s">
        <v>132</v>
      </c>
      <c r="G276" s="71" t="s">
        <v>405</v>
      </c>
      <c r="H276" s="64" t="s">
        <v>163</v>
      </c>
      <c r="I276" s="105" t="s">
        <v>10</v>
      </c>
      <c r="J276" s="56"/>
      <c r="K276" s="67"/>
      <c r="L276" s="65"/>
      <c r="M276" s="65"/>
      <c r="N276" s="64" t="s">
        <v>472</v>
      </c>
      <c r="O276" s="68"/>
      <c r="P276" s="69">
        <f>56000*22704</f>
        <v>1271424000</v>
      </c>
      <c r="Q276" s="104"/>
      <c r="R276" s="131" t="str">
        <f>IF(AND(C276="pv",D276='UNC - PV'!$Q$2,LEFT(E276,1)="u",'UNC - PV'!$O$2="vnđ",TH!P276&lt;&gt;""),"p",IF(AND(C276="pv",D276='UNC - PV'!$Q$2,LEFT(E276,1)="u",'UNC - PV'!$O$2="usd",TH!O276&lt;&gt;""),"p1",IF(AND(C276="pv",D276='LC - PV'!$P$2,LEFT(E276,1)="l"),"p2",IF(AND(LEFT(C276,3)="EIB",D276='UNC - EIB'!$T$2,LEFT(E276,1)="u",'UNC - EIB'!$R$2="vnđ",TH!P276&lt;&gt;""),"e",IF(AND(LEFT(C276,3)="EIB",D276='UNC - EIB'!$T$2,LEFT(E276,1)="U",'UNC - EIB'!$R$2="usd",TH!O276&lt;&gt;""),"e1",IF(AND(LEFT(C276,3)="EIB",D276='LC - EIB'!$S$2,LEFT(E276,1)="l"),"e2",""))))))</f>
        <v/>
      </c>
    </row>
    <row r="277" spans="1:18" s="57" customFormat="1" ht="18.75" customHeight="1">
      <c r="A277" s="55" t="str">
        <f>IF(AND(C277="pv",E277='UNC - PV'!$S$2,D277='UNC - PV'!$Q$2),"x",IF(AND(LEFT(C277,3)="eib",E277='UNC - EIB'!$V$2,D277='UNC - EIB'!$T$2),"x1",IF(AND(C277="pv",E277='LC - PV'!$R$2,D277='LC - PV'!$P$2),"x2",IF(AND(LEFT(C277,3)="eib",E277='LC - EIB'!$U$2,D277='LC - EIB'!$S$2),"x3",""))))</f>
        <v/>
      </c>
      <c r="B277" s="62">
        <f t="shared" si="21"/>
        <v>274</v>
      </c>
      <c r="C277" s="62" t="s">
        <v>144</v>
      </c>
      <c r="D277" s="67">
        <v>43119</v>
      </c>
      <c r="E277" s="65" t="s">
        <v>23</v>
      </c>
      <c r="F277" s="64" t="s">
        <v>370</v>
      </c>
      <c r="G277" s="71" t="s">
        <v>407</v>
      </c>
      <c r="H277" s="64" t="s">
        <v>372</v>
      </c>
      <c r="I277" s="105" t="s">
        <v>10</v>
      </c>
      <c r="J277" s="66"/>
      <c r="K277" s="67"/>
      <c r="L277" s="65"/>
      <c r="M277" s="65"/>
      <c r="N277" s="64" t="s">
        <v>373</v>
      </c>
      <c r="O277" s="68"/>
      <c r="P277" s="69">
        <v>500000000</v>
      </c>
      <c r="Q277" s="104"/>
      <c r="R277" s="131" t="str">
        <f>IF(AND(C277="pv",D277='UNC - PV'!$Q$2,LEFT(E277,1)="u",'UNC - PV'!$O$2="vnđ",TH!P277&lt;&gt;""),"p",IF(AND(C277="pv",D277='UNC - PV'!$Q$2,LEFT(E277,1)="u",'UNC - PV'!$O$2="usd",TH!O277&lt;&gt;""),"p1",IF(AND(C277="pv",D277='LC - PV'!$P$2,LEFT(E277,1)="l"),"p2",IF(AND(LEFT(C277,3)="EIB",D277='UNC - EIB'!$T$2,LEFT(E277,1)="u",'UNC - EIB'!$R$2="vnđ",TH!P277&lt;&gt;""),"e",IF(AND(LEFT(C277,3)="EIB",D277='UNC - EIB'!$T$2,LEFT(E277,1)="U",'UNC - EIB'!$R$2="usd",TH!O277&lt;&gt;""),"e1",IF(AND(LEFT(C277,3)="EIB",D277='LC - EIB'!$S$2,LEFT(E277,1)="l"),"e2",""))))))</f>
        <v/>
      </c>
    </row>
    <row r="278" spans="1:18" s="57" customFormat="1" ht="18.75" customHeight="1">
      <c r="A278" s="55" t="str">
        <f>IF(AND(C278="pv",E278='UNC - PV'!$S$2,D278='UNC - PV'!$Q$2),"x",IF(AND(LEFT(C278,3)="eib",E278='UNC - EIB'!$V$2,D278='UNC - EIB'!$T$2),"x1",IF(AND(C278="pv",E278='LC - PV'!$R$2,D278='LC - PV'!$P$2),"x2",IF(AND(LEFT(C278,3)="eib",E278='LC - EIB'!$U$2,D278='LC - EIB'!$S$2),"x3",""))))</f>
        <v/>
      </c>
      <c r="B278" s="62">
        <f t="shared" si="21"/>
        <v>275</v>
      </c>
      <c r="C278" s="62" t="s">
        <v>144</v>
      </c>
      <c r="D278" s="67">
        <v>43124</v>
      </c>
      <c r="E278" s="65" t="s">
        <v>23</v>
      </c>
      <c r="F278" s="64" t="s">
        <v>454</v>
      </c>
      <c r="G278" s="71" t="s">
        <v>455</v>
      </c>
      <c r="H278" s="64" t="s">
        <v>456</v>
      </c>
      <c r="I278" s="105" t="s">
        <v>10</v>
      </c>
      <c r="J278" s="66"/>
      <c r="K278" s="67"/>
      <c r="L278" s="65"/>
      <c r="M278" s="65"/>
      <c r="N278" s="64" t="s">
        <v>334</v>
      </c>
      <c r="O278" s="68"/>
      <c r="P278" s="69">
        <v>100135000</v>
      </c>
      <c r="Q278" s="104"/>
      <c r="R278" s="131" t="str">
        <f>IF(AND(C278="pv",D278='UNC - PV'!$Q$2,LEFT(E278,1)="u",'UNC - PV'!$O$2="vnđ",TH!P278&lt;&gt;""),"p",IF(AND(C278="pv",D278='UNC - PV'!$Q$2,LEFT(E278,1)="u",'UNC - PV'!$O$2="usd",TH!O278&lt;&gt;""),"p1",IF(AND(C278="pv",D278='LC - PV'!$P$2,LEFT(E278,1)="l"),"p2",IF(AND(LEFT(C278,3)="EIB",D278='UNC - EIB'!$T$2,LEFT(E278,1)="u",'UNC - EIB'!$R$2="vnđ",TH!P278&lt;&gt;""),"e",IF(AND(LEFT(C278,3)="EIB",D278='UNC - EIB'!$T$2,LEFT(E278,1)="U",'UNC - EIB'!$R$2="usd",TH!O278&lt;&gt;""),"e1",IF(AND(LEFT(C278,3)="EIB",D278='LC - EIB'!$S$2,LEFT(E278,1)="l"),"e2",""))))))</f>
        <v/>
      </c>
    </row>
    <row r="279" spans="1:18" s="57" customFormat="1" ht="18.75" customHeight="1">
      <c r="A279" s="55" t="str">
        <f>IF(AND(C279="pv",E279='UNC - PV'!$S$2,D279='UNC - PV'!$Q$2),"x",IF(AND(LEFT(C279,3)="eib",E279='UNC - EIB'!$V$2,D279='UNC - EIB'!$T$2),"x1",IF(AND(C279="pv",E279='LC - PV'!$R$2,D279='LC - PV'!$P$2),"x2",IF(AND(LEFT(C279,3)="eib",E279='LC - EIB'!$U$2,D279='LC - EIB'!$S$2),"x3",""))))</f>
        <v/>
      </c>
      <c r="B279" s="62">
        <f t="shared" si="21"/>
        <v>276</v>
      </c>
      <c r="C279" s="62" t="s">
        <v>144</v>
      </c>
      <c r="D279" s="67">
        <v>43124</v>
      </c>
      <c r="E279" s="65" t="s">
        <v>24</v>
      </c>
      <c r="F279" s="125" t="s">
        <v>263</v>
      </c>
      <c r="G279" s="125" t="s">
        <v>264</v>
      </c>
      <c r="H279" s="125" t="s">
        <v>265</v>
      </c>
      <c r="I279" s="124" t="s">
        <v>10</v>
      </c>
      <c r="J279" s="126"/>
      <c r="K279" s="123"/>
      <c r="L279" s="124"/>
      <c r="M279" s="124"/>
      <c r="N279" s="125" t="s">
        <v>266</v>
      </c>
      <c r="O279" s="68"/>
      <c r="P279" s="69">
        <v>39322800</v>
      </c>
      <c r="Q279" s="104"/>
      <c r="R279" s="131" t="str">
        <f>IF(AND(C279="pv",D279='UNC - PV'!$Q$2,LEFT(E279,1)="u",'UNC - PV'!$O$2="vnđ",TH!P279&lt;&gt;""),"p",IF(AND(C279="pv",D279='UNC - PV'!$Q$2,LEFT(E279,1)="u",'UNC - PV'!$O$2="usd",TH!O279&lt;&gt;""),"p1",IF(AND(C279="pv",D279='LC - PV'!$P$2,LEFT(E279,1)="l"),"p2",IF(AND(LEFT(C279,3)="EIB",D279='UNC - EIB'!$T$2,LEFT(E279,1)="u",'UNC - EIB'!$R$2="vnđ",TH!P279&lt;&gt;""),"e",IF(AND(LEFT(C279,3)="EIB",D279='UNC - EIB'!$T$2,LEFT(E279,1)="U",'UNC - EIB'!$R$2="usd",TH!O279&lt;&gt;""),"e1",IF(AND(LEFT(C279,3)="EIB",D279='LC - EIB'!$S$2,LEFT(E279,1)="l"),"e2",""))))))</f>
        <v/>
      </c>
    </row>
    <row r="280" spans="1:18" s="57" customFormat="1" ht="18.75" customHeight="1">
      <c r="A280" s="55" t="str">
        <f>IF(AND(C280="pv",E280='UNC - PV'!$S$2,D280='UNC - PV'!$Q$2),"x",IF(AND(LEFT(C280,3)="eib",E280='UNC - EIB'!$V$2,D280='UNC - EIB'!$T$2),"x1",IF(AND(C280="pv",E280='LC - PV'!$R$2,D280='LC - PV'!$P$2),"x2",IF(AND(LEFT(C280,3)="eib",E280='LC - EIB'!$U$2,D280='LC - EIB'!$S$2),"x3",""))))</f>
        <v/>
      </c>
      <c r="B280" s="62">
        <f t="shared" si="21"/>
        <v>277</v>
      </c>
      <c r="C280" s="62" t="s">
        <v>144</v>
      </c>
      <c r="D280" s="67">
        <v>43124</v>
      </c>
      <c r="E280" s="65" t="s">
        <v>25</v>
      </c>
      <c r="F280" s="64" t="s">
        <v>366</v>
      </c>
      <c r="G280" s="71" t="s">
        <v>408</v>
      </c>
      <c r="H280" s="64" t="s">
        <v>368</v>
      </c>
      <c r="I280" s="65" t="s">
        <v>35</v>
      </c>
      <c r="J280" s="66"/>
      <c r="K280" s="67"/>
      <c r="L280" s="65"/>
      <c r="M280" s="65"/>
      <c r="N280" s="64" t="s">
        <v>473</v>
      </c>
      <c r="O280" s="68"/>
      <c r="P280" s="69">
        <v>35033790</v>
      </c>
      <c r="Q280" s="104"/>
      <c r="R280" s="131" t="str">
        <f>IF(AND(C280="pv",D280='UNC - PV'!$Q$2,LEFT(E280,1)="u",'UNC - PV'!$O$2="vnđ",TH!P280&lt;&gt;""),"p",IF(AND(C280="pv",D280='UNC - PV'!$Q$2,LEFT(E280,1)="u",'UNC - PV'!$O$2="usd",TH!O280&lt;&gt;""),"p1",IF(AND(C280="pv",D280='LC - PV'!$P$2,LEFT(E280,1)="l"),"p2",IF(AND(LEFT(C280,3)="EIB",D280='UNC - EIB'!$T$2,LEFT(E280,1)="u",'UNC - EIB'!$R$2="vnđ",TH!P280&lt;&gt;""),"e",IF(AND(LEFT(C280,3)="EIB",D280='UNC - EIB'!$T$2,LEFT(E280,1)="U",'UNC - EIB'!$R$2="usd",TH!O280&lt;&gt;""),"e1",IF(AND(LEFT(C280,3)="EIB",D280='LC - EIB'!$S$2,LEFT(E280,1)="l"),"e2",""))))))</f>
        <v/>
      </c>
    </row>
    <row r="281" spans="1:18" s="57" customFormat="1" ht="18.75" customHeight="1">
      <c r="A281" s="55" t="str">
        <f>IF(AND(C281="pv",E281='UNC - PV'!$S$2,D281='UNC - PV'!$Q$2),"x",IF(AND(LEFT(C281,3)="eib",E281='UNC - EIB'!$V$2,D281='UNC - EIB'!$T$2),"x1",IF(AND(C281="pv",E281='LC - PV'!$R$2,D281='LC - PV'!$P$2),"x2",IF(AND(LEFT(C281,3)="eib",E281='LC - EIB'!$U$2,D281='LC - EIB'!$S$2),"x3",""))))</f>
        <v/>
      </c>
      <c r="B281" s="62">
        <f t="shared" ref="B281:B286" si="22">IF(C281&lt;&gt;"",ROW()-3,"")</f>
        <v>278</v>
      </c>
      <c r="C281" s="62" t="s">
        <v>144</v>
      </c>
      <c r="D281" s="67">
        <v>43124</v>
      </c>
      <c r="E281" s="65" t="s">
        <v>26</v>
      </c>
      <c r="F281" s="107" t="s">
        <v>132</v>
      </c>
      <c r="G281" s="71" t="s">
        <v>397</v>
      </c>
      <c r="H281" s="64" t="s">
        <v>398</v>
      </c>
      <c r="I281" s="105" t="s">
        <v>10</v>
      </c>
      <c r="J281" s="66"/>
      <c r="K281" s="67"/>
      <c r="L281" s="65"/>
      <c r="M281" s="65"/>
      <c r="N281" s="64" t="s">
        <v>399</v>
      </c>
      <c r="O281" s="68">
        <v>23000</v>
      </c>
      <c r="P281" s="69"/>
      <c r="Q281" s="104"/>
      <c r="R281" s="131" t="str">
        <f>IF(AND(C281="pv",D281='UNC - PV'!$Q$2,LEFT(E281,1)="u",'UNC - PV'!$O$2="vnđ",TH!P281&lt;&gt;""),"p",IF(AND(C281="pv",D281='UNC - PV'!$Q$2,LEFT(E281,1)="u",'UNC - PV'!$O$2="usd",TH!O281&lt;&gt;""),"p1",IF(AND(C281="pv",D281='LC - PV'!$P$2,LEFT(E281,1)="l"),"p2",IF(AND(LEFT(C281,3)="EIB",D281='UNC - EIB'!$T$2,LEFT(E281,1)="u",'UNC - EIB'!$R$2="vnđ",TH!P281&lt;&gt;""),"e",IF(AND(LEFT(C281,3)="EIB",D281='UNC - EIB'!$T$2,LEFT(E281,1)="U",'UNC - EIB'!$R$2="usd",TH!O281&lt;&gt;""),"e1",IF(AND(LEFT(C281,3)="EIB",D281='LC - EIB'!$S$2,LEFT(E281,1)="l"),"e2",""))))))</f>
        <v/>
      </c>
    </row>
    <row r="282" spans="1:18" s="57" customFormat="1" ht="18.75" customHeight="1">
      <c r="A282" s="55" t="str">
        <f>IF(AND(C282="pv",E282='UNC - PV'!$S$2,D282='UNC - PV'!$Q$2),"x",IF(AND(LEFT(C282,3)="eib",E282='UNC - EIB'!$V$2,D282='UNC - EIB'!$T$2),"x1",IF(AND(C282="pv",E282='LC - PV'!$R$2,D282='LC - PV'!$P$2),"x2",IF(AND(LEFT(C282,3)="eib",E282='LC - EIB'!$U$2,D282='LC - EIB'!$S$2),"x3",""))))</f>
        <v/>
      </c>
      <c r="B282" s="62">
        <f t="shared" si="22"/>
        <v>279</v>
      </c>
      <c r="C282" s="62" t="s">
        <v>144</v>
      </c>
      <c r="D282" s="67">
        <v>43125</v>
      </c>
      <c r="E282" s="65" t="s">
        <v>23</v>
      </c>
      <c r="F282" s="64" t="s">
        <v>275</v>
      </c>
      <c r="G282" s="64" t="s">
        <v>276</v>
      </c>
      <c r="H282" s="64" t="s">
        <v>277</v>
      </c>
      <c r="I282" s="65" t="s">
        <v>278</v>
      </c>
      <c r="J282" s="66"/>
      <c r="K282" s="67"/>
      <c r="L282" s="65"/>
      <c r="M282" s="65"/>
      <c r="N282" s="64" t="s">
        <v>274</v>
      </c>
      <c r="O282" s="68"/>
      <c r="P282" s="69">
        <v>100000000</v>
      </c>
      <c r="Q282" s="104"/>
      <c r="R282" s="131" t="str">
        <f>IF(AND(C282="pv",D282='UNC - PV'!$Q$2,LEFT(E282,1)="u",'UNC - PV'!$O$2="vnđ",TH!P282&lt;&gt;""),"p",IF(AND(C282="pv",D282='UNC - PV'!$Q$2,LEFT(E282,1)="u",'UNC - PV'!$O$2="usd",TH!O282&lt;&gt;""),"p1",IF(AND(C282="pv",D282='LC - PV'!$P$2,LEFT(E282,1)="l"),"p2",IF(AND(LEFT(C282,3)="EIB",D282='UNC - EIB'!$T$2,LEFT(E282,1)="u",'UNC - EIB'!$R$2="vnđ",TH!P282&lt;&gt;""),"e",IF(AND(LEFT(C282,3)="EIB",D282='UNC - EIB'!$T$2,LEFT(E282,1)="U",'UNC - EIB'!$R$2="usd",TH!O282&lt;&gt;""),"e1",IF(AND(LEFT(C282,3)="EIB",D282='LC - EIB'!$S$2,LEFT(E282,1)="l"),"e2",""))))))</f>
        <v/>
      </c>
    </row>
    <row r="283" spans="1:18" s="57" customFormat="1" ht="18.75" customHeight="1">
      <c r="A283" s="55" t="str">
        <f>IF(AND(C283="pv",E283='UNC - PV'!$S$2,D283='UNC - PV'!$Q$2),"x",IF(AND(LEFT(C283,3)="eib",E283='UNC - EIB'!$V$2,D283='UNC - EIB'!$T$2),"x1",IF(AND(C283="pv",E283='LC - PV'!$R$2,D283='LC - PV'!$P$2),"x2",IF(AND(LEFT(C283,3)="eib",E283='LC - EIB'!$U$2,D283='LC - EIB'!$S$2),"x3",""))))</f>
        <v/>
      </c>
      <c r="B283" s="62">
        <f t="shared" si="22"/>
        <v>280</v>
      </c>
      <c r="C283" s="62" t="s">
        <v>144</v>
      </c>
      <c r="D283" s="67">
        <v>43125</v>
      </c>
      <c r="E283" s="65" t="s">
        <v>24</v>
      </c>
      <c r="F283" s="64" t="s">
        <v>95</v>
      </c>
      <c r="G283" s="71" t="s">
        <v>450</v>
      </c>
      <c r="H283" s="64" t="s">
        <v>96</v>
      </c>
      <c r="I283" s="62" t="s">
        <v>10</v>
      </c>
      <c r="J283" s="66"/>
      <c r="K283" s="67"/>
      <c r="L283" s="65"/>
      <c r="M283" s="65"/>
      <c r="N283" s="64" t="s">
        <v>97</v>
      </c>
      <c r="O283" s="68"/>
      <c r="P283" s="69">
        <v>72380000</v>
      </c>
      <c r="Q283" s="104"/>
      <c r="R283" s="131" t="str">
        <f>IF(AND(C283="pv",D283='UNC - PV'!$Q$2,LEFT(E283,1)="u",'UNC - PV'!$O$2="vnđ",TH!P283&lt;&gt;""),"p",IF(AND(C283="pv",D283='UNC - PV'!$Q$2,LEFT(E283,1)="u",'UNC - PV'!$O$2="usd",TH!O283&lt;&gt;""),"p1",IF(AND(C283="pv",D283='LC - PV'!$P$2,LEFT(E283,1)="l"),"p2",IF(AND(LEFT(C283,3)="EIB",D283='UNC - EIB'!$T$2,LEFT(E283,1)="u",'UNC - EIB'!$R$2="vnđ",TH!P283&lt;&gt;""),"e",IF(AND(LEFT(C283,3)="EIB",D283='UNC - EIB'!$T$2,LEFT(E283,1)="U",'UNC - EIB'!$R$2="usd",TH!O283&lt;&gt;""),"e1",IF(AND(LEFT(C283,3)="EIB",D283='LC - EIB'!$S$2,LEFT(E283,1)="l"),"e2",""))))))</f>
        <v/>
      </c>
    </row>
    <row r="284" spans="1:18" s="57" customFormat="1" ht="18.75" customHeight="1">
      <c r="A284" s="55" t="str">
        <f>IF(AND(C284="pv",E284='UNC - PV'!$S$2,D284='UNC - PV'!$Q$2),"x",IF(AND(LEFT(C284,3)="eib",E284='UNC - EIB'!$V$2,D284='UNC - EIB'!$T$2),"x1",IF(AND(C284="pv",E284='LC - PV'!$R$2,D284='LC - PV'!$P$2),"x2",IF(AND(LEFT(C284,3)="eib",E284='LC - EIB'!$U$2,D284='LC - EIB'!$S$2),"x3",""))))</f>
        <v/>
      </c>
      <c r="B284" s="62">
        <f t="shared" si="22"/>
        <v>281</v>
      </c>
      <c r="C284" s="62" t="s">
        <v>144</v>
      </c>
      <c r="D284" s="67">
        <v>43126</v>
      </c>
      <c r="E284" s="65" t="s">
        <v>23</v>
      </c>
      <c r="F284" s="107" t="s">
        <v>133</v>
      </c>
      <c r="G284" s="107" t="s">
        <v>134</v>
      </c>
      <c r="H284" s="107" t="s">
        <v>130</v>
      </c>
      <c r="I284" s="105" t="s">
        <v>10</v>
      </c>
      <c r="J284" s="66"/>
      <c r="K284" s="67"/>
      <c r="L284" s="65"/>
      <c r="M284" s="65"/>
      <c r="N284" s="107" t="s">
        <v>135</v>
      </c>
      <c r="O284" s="68"/>
      <c r="P284" s="69">
        <v>250000000</v>
      </c>
      <c r="Q284" s="104"/>
      <c r="R284" s="131" t="str">
        <f>IF(AND(C284="pv",D284='UNC - PV'!$Q$2,LEFT(E284,1)="u",'UNC - PV'!$O$2="vnđ",TH!P284&lt;&gt;""),"p",IF(AND(C284="pv",D284='UNC - PV'!$Q$2,LEFT(E284,1)="u",'UNC - PV'!$O$2="usd",TH!O284&lt;&gt;""),"p1",IF(AND(C284="pv",D284='LC - PV'!$P$2,LEFT(E284,1)="l"),"p2",IF(AND(LEFT(C284,3)="EIB",D284='UNC - EIB'!$T$2,LEFT(E284,1)="u",'UNC - EIB'!$R$2="vnđ",TH!P284&lt;&gt;""),"e",IF(AND(LEFT(C284,3)="EIB",D284='UNC - EIB'!$T$2,LEFT(E284,1)="U",'UNC - EIB'!$R$2="usd",TH!O284&lt;&gt;""),"e1",IF(AND(LEFT(C284,3)="EIB",D284='LC - EIB'!$S$2,LEFT(E284,1)="l"),"e2",""))))))</f>
        <v/>
      </c>
    </row>
    <row r="285" spans="1:18" s="57" customFormat="1" ht="18.75" customHeight="1">
      <c r="A285" s="55" t="str">
        <f>IF(AND(C285="pv",E285='UNC - PV'!$S$2,D285='UNC - PV'!$Q$2),"x",IF(AND(LEFT(C285,3)="eib",E285='UNC - EIB'!$V$2,D285='UNC - EIB'!$T$2),"x1",IF(AND(C285="pv",E285='LC - PV'!$R$2,D285='LC - PV'!$P$2),"x2",IF(AND(LEFT(C285,3)="eib",E285='LC - EIB'!$U$2,D285='LC - EIB'!$S$2),"x3",""))))</f>
        <v/>
      </c>
      <c r="B285" s="62">
        <f t="shared" si="22"/>
        <v>282</v>
      </c>
      <c r="C285" s="62" t="s">
        <v>144</v>
      </c>
      <c r="D285" s="67">
        <v>43130</v>
      </c>
      <c r="E285" s="65" t="s">
        <v>23</v>
      </c>
      <c r="F285" s="107" t="s">
        <v>132</v>
      </c>
      <c r="G285" s="71" t="s">
        <v>405</v>
      </c>
      <c r="H285" s="64" t="s">
        <v>163</v>
      </c>
      <c r="I285" s="105" t="s">
        <v>10</v>
      </c>
      <c r="J285" s="56"/>
      <c r="K285" s="67"/>
      <c r="L285" s="65"/>
      <c r="M285" s="65"/>
      <c r="N285" s="64" t="s">
        <v>474</v>
      </c>
      <c r="O285" s="68"/>
      <c r="P285" s="69">
        <f>87500*22702</f>
        <v>1986425000</v>
      </c>
      <c r="Q285" s="104"/>
      <c r="R285" s="131" t="str">
        <f>IF(AND(C285="pv",D285='UNC - PV'!$Q$2,LEFT(E285,1)="u",'UNC - PV'!$O$2="vnđ",TH!P285&lt;&gt;""),"p",IF(AND(C285="pv",D285='UNC - PV'!$Q$2,LEFT(E285,1)="u",'UNC - PV'!$O$2="usd",TH!O285&lt;&gt;""),"p1",IF(AND(C285="pv",D285='LC - PV'!$P$2,LEFT(E285,1)="l"),"p2",IF(AND(LEFT(C285,3)="EIB",D285='UNC - EIB'!$T$2,LEFT(E285,1)="u",'UNC - EIB'!$R$2="vnđ",TH!P285&lt;&gt;""),"e",IF(AND(LEFT(C285,3)="EIB",D285='UNC - EIB'!$T$2,LEFT(E285,1)="U",'UNC - EIB'!$R$2="usd",TH!O285&lt;&gt;""),"e1",IF(AND(LEFT(C285,3)="EIB",D285='LC - EIB'!$S$2,LEFT(E285,1)="l"),"e2",""))))))</f>
        <v/>
      </c>
    </row>
    <row r="286" spans="1:18" s="57" customFormat="1" ht="18.75" customHeight="1">
      <c r="A286" s="55" t="str">
        <f>IF(AND(C286="pv",E286='UNC - PV'!$S$2,D286='UNC - PV'!$Q$2),"x",IF(AND(LEFT(C286,3)="eib",E286='UNC - EIB'!$V$2,D286='UNC - EIB'!$T$2),"x1",IF(AND(C286="pv",E286='LC - PV'!$R$2,D286='LC - PV'!$P$2),"x2",IF(AND(LEFT(C286,3)="eib",E286='LC - EIB'!$U$2,D286='LC - EIB'!$S$2),"x3",""))))</f>
        <v/>
      </c>
      <c r="B286" s="62">
        <f t="shared" si="22"/>
        <v>283</v>
      </c>
      <c r="C286" s="62" t="s">
        <v>144</v>
      </c>
      <c r="D286" s="67">
        <v>43131</v>
      </c>
      <c r="E286" s="65" t="s">
        <v>23</v>
      </c>
      <c r="F286" s="107" t="s">
        <v>132</v>
      </c>
      <c r="G286" s="71" t="s">
        <v>405</v>
      </c>
      <c r="H286" s="64" t="s">
        <v>163</v>
      </c>
      <c r="I286" s="105" t="s">
        <v>10</v>
      </c>
      <c r="J286" s="56"/>
      <c r="K286" s="67"/>
      <c r="L286" s="65"/>
      <c r="M286" s="65"/>
      <c r="N286" s="64" t="s">
        <v>475</v>
      </c>
      <c r="O286" s="68"/>
      <c r="P286" s="69">
        <f>24800*22700</f>
        <v>562960000</v>
      </c>
      <c r="Q286" s="104"/>
      <c r="R286" s="131" t="str">
        <f>IF(AND(C286="pv",D286='UNC - PV'!$Q$2,LEFT(E286,1)="u",'UNC - PV'!$O$2="vnđ",TH!P286&lt;&gt;""),"p",IF(AND(C286="pv",D286='UNC - PV'!$Q$2,LEFT(E286,1)="u",'UNC - PV'!$O$2="usd",TH!O286&lt;&gt;""),"p1",IF(AND(C286="pv",D286='LC - PV'!$P$2,LEFT(E286,1)="l"),"p2",IF(AND(LEFT(C286,3)="EIB",D286='UNC - EIB'!$T$2,LEFT(E286,1)="u",'UNC - EIB'!$R$2="vnđ",TH!P286&lt;&gt;""),"e",IF(AND(LEFT(C286,3)="EIB",D286='UNC - EIB'!$T$2,LEFT(E286,1)="U",'UNC - EIB'!$R$2="usd",TH!O286&lt;&gt;""),"e1",IF(AND(LEFT(C286,3)="EIB",D286='LC - EIB'!$S$2,LEFT(E286,1)="l"),"e2",""))))))</f>
        <v/>
      </c>
    </row>
    <row r="287" spans="1:18" s="57" customFormat="1" ht="18.75" customHeight="1">
      <c r="A287" s="55" t="str">
        <f>IF(AND(C287="pv",E287='UNC - PV'!$S$2,D287='UNC - PV'!$Q$2),"x",IF(AND(LEFT(C287,3)="eib",E287='UNC - EIB'!$V$2,D287='UNC - EIB'!$T$2),"x1",IF(AND(C287="pv",E287='LC - PV'!$R$2,D287='LC - PV'!$P$2),"x2",IF(AND(LEFT(C287,3)="eib",E287='LC - EIB'!$U$2,D287='LC - EIB'!$S$2),"x3",""))))</f>
        <v/>
      </c>
      <c r="B287" s="62">
        <f t="shared" si="21"/>
        <v>284</v>
      </c>
      <c r="C287" s="62" t="s">
        <v>144</v>
      </c>
      <c r="D287" s="67">
        <v>43131</v>
      </c>
      <c r="E287" s="65" t="s">
        <v>24</v>
      </c>
      <c r="F287" s="64" t="s">
        <v>366</v>
      </c>
      <c r="G287" s="71" t="s">
        <v>408</v>
      </c>
      <c r="H287" s="64" t="s">
        <v>368</v>
      </c>
      <c r="I287" s="65" t="s">
        <v>35</v>
      </c>
      <c r="J287" s="66"/>
      <c r="K287" s="67"/>
      <c r="L287" s="65"/>
      <c r="M287" s="65"/>
      <c r="N287" s="64" t="s">
        <v>476</v>
      </c>
      <c r="O287" s="68"/>
      <c r="P287" s="69">
        <f>24830850+21316350</f>
        <v>46147200</v>
      </c>
      <c r="Q287" s="104"/>
      <c r="R287" s="131" t="str">
        <f>IF(AND(C287="pv",D287='UNC - PV'!$Q$2,LEFT(E287,1)="u",'UNC - PV'!$O$2="vnđ",TH!P287&lt;&gt;""),"p",IF(AND(C287="pv",D287='UNC - PV'!$Q$2,LEFT(E287,1)="u",'UNC - PV'!$O$2="usd",TH!O287&lt;&gt;""),"p1",IF(AND(C287="pv",D287='LC - PV'!$P$2,LEFT(E287,1)="l"),"p2",IF(AND(LEFT(C287,3)="EIB",D287='UNC - EIB'!$T$2,LEFT(E287,1)="u",'UNC - EIB'!$R$2="vnđ",TH!P287&lt;&gt;""),"e",IF(AND(LEFT(C287,3)="EIB",D287='UNC - EIB'!$T$2,LEFT(E287,1)="U",'UNC - EIB'!$R$2="usd",TH!O287&lt;&gt;""),"e1",IF(AND(LEFT(C287,3)="EIB",D287='LC - EIB'!$S$2,LEFT(E287,1)="l"),"e2",""))))))</f>
        <v/>
      </c>
    </row>
    <row r="288" spans="1:18" s="57" customFormat="1" ht="18.75" customHeight="1">
      <c r="A288" s="55" t="str">
        <f>IF(AND(C288="pv",E288='UNC - PV'!$S$2,D288='UNC - PV'!$Q$2),"x",IF(AND(LEFT(C288,3)="eib",E288='UNC - EIB'!$V$2,D288='UNC - EIB'!$T$2),"x1",IF(AND(C288="pv",E288='LC - PV'!$R$2,D288='LC - PV'!$P$2),"x2",IF(AND(LEFT(C288,3)="eib",E288='LC - EIB'!$U$2,D288='LC - EIB'!$S$2),"x3",""))))</f>
        <v/>
      </c>
      <c r="B288" s="62">
        <f t="shared" si="21"/>
        <v>285</v>
      </c>
      <c r="C288" s="62" t="s">
        <v>144</v>
      </c>
      <c r="D288" s="67">
        <v>43136</v>
      </c>
      <c r="E288" s="65" t="s">
        <v>23</v>
      </c>
      <c r="F288" s="107" t="s">
        <v>132</v>
      </c>
      <c r="G288" s="71" t="s">
        <v>405</v>
      </c>
      <c r="H288" s="64" t="s">
        <v>163</v>
      </c>
      <c r="I288" s="105" t="s">
        <v>10</v>
      </c>
      <c r="J288" s="56"/>
      <c r="K288" s="67"/>
      <c r="L288" s="65"/>
      <c r="M288" s="65"/>
      <c r="N288" s="64" t="s">
        <v>477</v>
      </c>
      <c r="O288" s="68"/>
      <c r="P288" s="69">
        <f>57300*22700</f>
        <v>1300710000</v>
      </c>
      <c r="Q288" s="104"/>
      <c r="R288" s="131" t="str">
        <f>IF(AND(C288="pv",D288='UNC - PV'!$Q$2,LEFT(E288,1)="u",'UNC - PV'!$O$2="vnđ",TH!P288&lt;&gt;""),"p",IF(AND(C288="pv",D288='UNC - PV'!$Q$2,LEFT(E288,1)="u",'UNC - PV'!$O$2="usd",TH!O288&lt;&gt;""),"p1",IF(AND(C288="pv",D288='LC - PV'!$P$2,LEFT(E288,1)="l"),"p2",IF(AND(LEFT(C288,3)="EIB",D288='UNC - EIB'!$T$2,LEFT(E288,1)="u",'UNC - EIB'!$R$2="vnđ",TH!P288&lt;&gt;""),"e",IF(AND(LEFT(C288,3)="EIB",D288='UNC - EIB'!$T$2,LEFT(E288,1)="U",'UNC - EIB'!$R$2="usd",TH!O288&lt;&gt;""),"e1",IF(AND(LEFT(C288,3)="EIB",D288='LC - EIB'!$S$2,LEFT(E288,1)="l"),"e2",""))))))</f>
        <v/>
      </c>
    </row>
    <row r="289" spans="1:18" s="57" customFormat="1" ht="18.75" customHeight="1">
      <c r="A289" s="55" t="str">
        <f>IF(AND(C289="pv",E289='UNC - PV'!$S$2,D289='UNC - PV'!$Q$2),"x",IF(AND(LEFT(C289,3)="eib",E289='UNC - EIB'!$V$2,D289='UNC - EIB'!$T$2),"x1",IF(AND(C289="pv",E289='LC - PV'!$R$2,D289='LC - PV'!$P$2),"x2",IF(AND(LEFT(C289,3)="eib",E289='LC - EIB'!$U$2,D289='LC - EIB'!$S$2),"x3",""))))</f>
        <v/>
      </c>
      <c r="B289" s="62">
        <f t="shared" si="21"/>
        <v>286</v>
      </c>
      <c r="C289" s="62" t="s">
        <v>144</v>
      </c>
      <c r="D289" s="67">
        <v>43137</v>
      </c>
      <c r="E289" s="65" t="s">
        <v>23</v>
      </c>
      <c r="F289" s="91" t="s">
        <v>378</v>
      </c>
      <c r="G289" s="136" t="s">
        <v>449</v>
      </c>
      <c r="H289" s="91" t="s">
        <v>380</v>
      </c>
      <c r="I289" s="89" t="s">
        <v>10</v>
      </c>
      <c r="J289" s="93"/>
      <c r="K289" s="94"/>
      <c r="L289" s="92"/>
      <c r="M289" s="92"/>
      <c r="N289" s="91" t="s">
        <v>359</v>
      </c>
      <c r="O289" s="68"/>
      <c r="P289" s="69">
        <v>106170000</v>
      </c>
      <c r="Q289" s="104"/>
      <c r="R289" s="131" t="str">
        <f>IF(AND(C289="pv",D289='UNC - PV'!$Q$2,LEFT(E289,1)="u",'UNC - PV'!$O$2="vnđ",TH!P289&lt;&gt;""),"p",IF(AND(C289="pv",D289='UNC - PV'!$Q$2,LEFT(E289,1)="u",'UNC - PV'!$O$2="usd",TH!O289&lt;&gt;""),"p1",IF(AND(C289="pv",D289='LC - PV'!$P$2,LEFT(E289,1)="l"),"p2",IF(AND(LEFT(C289,3)="EIB",D289='UNC - EIB'!$T$2,LEFT(E289,1)="u",'UNC - EIB'!$R$2="vnđ",TH!P289&lt;&gt;""),"e",IF(AND(LEFT(C289,3)="EIB",D289='UNC - EIB'!$T$2,LEFT(E289,1)="U",'UNC - EIB'!$R$2="usd",TH!O289&lt;&gt;""),"e1",IF(AND(LEFT(C289,3)="EIB",D289='LC - EIB'!$S$2,LEFT(E289,1)="l"),"e2",""))))))</f>
        <v/>
      </c>
    </row>
    <row r="290" spans="1:18" s="57" customFormat="1" ht="18.75" customHeight="1">
      <c r="A290" s="55" t="str">
        <f>IF(AND(C290="pv",E290='UNC - PV'!$S$2,D290='UNC - PV'!$Q$2),"x",IF(AND(LEFT(C290,3)="eib",E290='UNC - EIB'!$V$2,D290='UNC - EIB'!$T$2),"x1",IF(AND(C290="pv",E290='LC - PV'!$R$2,D290='LC - PV'!$P$2),"x2",IF(AND(LEFT(C290,3)="eib",E290='LC - EIB'!$U$2,D290='LC - EIB'!$S$2),"x3",""))))</f>
        <v/>
      </c>
      <c r="B290" s="62">
        <f t="shared" si="21"/>
        <v>287</v>
      </c>
      <c r="C290" s="62" t="s">
        <v>144</v>
      </c>
      <c r="D290" s="67">
        <v>43138</v>
      </c>
      <c r="E290" s="65" t="s">
        <v>23</v>
      </c>
      <c r="F290" s="64" t="s">
        <v>99</v>
      </c>
      <c r="G290" s="71" t="s">
        <v>448</v>
      </c>
      <c r="H290" s="64" t="s">
        <v>101</v>
      </c>
      <c r="I290" s="62" t="s">
        <v>10</v>
      </c>
      <c r="J290" s="66"/>
      <c r="K290" s="67"/>
      <c r="L290" s="65"/>
      <c r="M290" s="65"/>
      <c r="N290" s="64" t="s">
        <v>102</v>
      </c>
      <c r="O290" s="68"/>
      <c r="P290" s="69">
        <v>100000000</v>
      </c>
      <c r="Q290" s="104"/>
      <c r="R290" s="131" t="str">
        <f>IF(AND(C290="pv",D290='UNC - PV'!$Q$2,LEFT(E290,1)="u",'UNC - PV'!$O$2="vnđ",TH!P290&lt;&gt;""),"p",IF(AND(C290="pv",D290='UNC - PV'!$Q$2,LEFT(E290,1)="u",'UNC - PV'!$O$2="usd",TH!O290&lt;&gt;""),"p1",IF(AND(C290="pv",D290='LC - PV'!$P$2,LEFT(E290,1)="l"),"p2",IF(AND(LEFT(C290,3)="EIB",D290='UNC - EIB'!$T$2,LEFT(E290,1)="u",'UNC - EIB'!$R$2="vnđ",TH!P290&lt;&gt;""),"e",IF(AND(LEFT(C290,3)="EIB",D290='UNC - EIB'!$T$2,LEFT(E290,1)="U",'UNC - EIB'!$R$2="usd",TH!O290&lt;&gt;""),"e1",IF(AND(LEFT(C290,3)="EIB",D290='LC - EIB'!$S$2,LEFT(E290,1)="l"),"e2",""))))))</f>
        <v/>
      </c>
    </row>
    <row r="291" spans="1:18" s="57" customFormat="1" ht="18.75" customHeight="1">
      <c r="A291" s="55" t="str">
        <f>IF(AND(C291="pv",E291='UNC - PV'!$S$2,D291='UNC - PV'!$Q$2),"x",IF(AND(LEFT(C291,3)="eib",E291='UNC - EIB'!$V$2,D291='UNC - EIB'!$T$2),"x1",IF(AND(C291="pv",E291='LC - PV'!$R$2,D291='LC - PV'!$P$2),"x2",IF(AND(LEFT(C291,3)="eib",E291='LC - EIB'!$U$2,D291='LC - EIB'!$S$2),"x3",""))))</f>
        <v/>
      </c>
      <c r="B291" s="62">
        <f t="shared" si="21"/>
        <v>288</v>
      </c>
      <c r="C291" s="62" t="s">
        <v>144</v>
      </c>
      <c r="D291" s="67">
        <v>43138</v>
      </c>
      <c r="E291" s="65" t="s">
        <v>24</v>
      </c>
      <c r="F291" s="64" t="s">
        <v>314</v>
      </c>
      <c r="G291" s="71" t="s">
        <v>462</v>
      </c>
      <c r="H291" s="64" t="s">
        <v>316</v>
      </c>
      <c r="I291" s="62" t="s">
        <v>10</v>
      </c>
      <c r="J291" s="66"/>
      <c r="K291" s="67"/>
      <c r="L291" s="65"/>
      <c r="M291" s="65"/>
      <c r="N291" s="64" t="s">
        <v>478</v>
      </c>
      <c r="O291" s="68"/>
      <c r="P291" s="69">
        <v>132904195</v>
      </c>
      <c r="Q291" s="104"/>
      <c r="R291" s="131" t="str">
        <f>IF(AND(C291="pv",D291='UNC - PV'!$Q$2,LEFT(E291,1)="u",'UNC - PV'!$O$2="vnđ",TH!P291&lt;&gt;""),"p",IF(AND(C291="pv",D291='UNC - PV'!$Q$2,LEFT(E291,1)="u",'UNC - PV'!$O$2="usd",TH!O291&lt;&gt;""),"p1",IF(AND(C291="pv",D291='LC - PV'!$P$2,LEFT(E291,1)="l"),"p2",IF(AND(LEFT(C291,3)="EIB",D291='UNC - EIB'!$T$2,LEFT(E291,1)="u",'UNC - EIB'!$R$2="vnđ",TH!P291&lt;&gt;""),"e",IF(AND(LEFT(C291,3)="EIB",D291='UNC - EIB'!$T$2,LEFT(E291,1)="U",'UNC - EIB'!$R$2="usd",TH!O291&lt;&gt;""),"e1",IF(AND(LEFT(C291,3)="EIB",D291='LC - EIB'!$S$2,LEFT(E291,1)="l"),"e2",""))))))</f>
        <v/>
      </c>
    </row>
    <row r="292" spans="1:18" s="57" customFormat="1" ht="18.75" customHeight="1">
      <c r="A292" s="55" t="str">
        <f>IF(AND(C292="pv",E292='UNC - PV'!$S$2,D292='UNC - PV'!$Q$2),"x",IF(AND(LEFT(C292,3)="eib",E292='UNC - EIB'!$V$2,D292='UNC - EIB'!$T$2),"x1",IF(AND(C292="pv",E292='LC - PV'!$R$2,D292='LC - PV'!$P$2),"x2",IF(AND(LEFT(C292,3)="eib",E292='LC - EIB'!$U$2,D292='LC - EIB'!$S$2),"x3",""))))</f>
        <v/>
      </c>
      <c r="B292" s="62">
        <f t="shared" si="21"/>
        <v>289</v>
      </c>
      <c r="C292" s="62" t="s">
        <v>144</v>
      </c>
      <c r="D292" s="67">
        <v>43138</v>
      </c>
      <c r="E292" s="65" t="s">
        <v>25</v>
      </c>
      <c r="F292" s="167" t="s">
        <v>177</v>
      </c>
      <c r="G292" s="168" t="s">
        <v>409</v>
      </c>
      <c r="H292" s="167" t="s">
        <v>179</v>
      </c>
      <c r="I292" s="169" t="s">
        <v>10</v>
      </c>
      <c r="J292" s="170"/>
      <c r="K292" s="155"/>
      <c r="L292" s="156"/>
      <c r="M292" s="156"/>
      <c r="N292" s="167" t="s">
        <v>479</v>
      </c>
      <c r="O292" s="68"/>
      <c r="P292" s="69">
        <v>1150000</v>
      </c>
      <c r="Q292" s="104"/>
      <c r="R292" s="131" t="str">
        <f>IF(AND(C292="pv",D292='UNC - PV'!$Q$2,LEFT(E292,1)="u",'UNC - PV'!$O$2="vnđ",TH!P292&lt;&gt;""),"p",IF(AND(C292="pv",D292='UNC - PV'!$Q$2,LEFT(E292,1)="u",'UNC - PV'!$O$2="usd",TH!O292&lt;&gt;""),"p1",IF(AND(C292="pv",D292='LC - PV'!$P$2,LEFT(E292,1)="l"),"p2",IF(AND(LEFT(C292,3)="EIB",D292='UNC - EIB'!$T$2,LEFT(E292,1)="u",'UNC - EIB'!$R$2="vnđ",TH!P292&lt;&gt;""),"e",IF(AND(LEFT(C292,3)="EIB",D292='UNC - EIB'!$T$2,LEFT(E292,1)="U",'UNC - EIB'!$R$2="usd",TH!O292&lt;&gt;""),"e1",IF(AND(LEFT(C292,3)="EIB",D292='LC - EIB'!$S$2,LEFT(E292,1)="l"),"e2",""))))))</f>
        <v/>
      </c>
    </row>
    <row r="293" spans="1:18" s="57" customFormat="1" ht="18.75" customHeight="1">
      <c r="A293" s="55" t="str">
        <f>IF(AND(C293="pv",E293='UNC - PV'!$S$2,D293='UNC - PV'!$Q$2),"x",IF(AND(LEFT(C293,3)="eib",E293='UNC - EIB'!$V$2,D293='UNC - EIB'!$T$2),"x1",IF(AND(C293="pv",E293='LC - PV'!$R$2,D293='LC - PV'!$P$2),"x2",IF(AND(LEFT(C293,3)="eib",E293='LC - EIB'!$U$2,D293='LC - EIB'!$S$2),"x3",""))))</f>
        <v/>
      </c>
      <c r="B293" s="62">
        <f t="shared" ref="B293:B298" si="23">IF(C293&lt;&gt;"",ROW()-3,"")</f>
        <v>290</v>
      </c>
      <c r="C293" s="62" t="s">
        <v>144</v>
      </c>
      <c r="D293" s="67">
        <v>43138</v>
      </c>
      <c r="E293" s="65" t="s">
        <v>26</v>
      </c>
      <c r="F293" s="167" t="s">
        <v>177</v>
      </c>
      <c r="G293" s="168" t="s">
        <v>410</v>
      </c>
      <c r="H293" s="167" t="s">
        <v>181</v>
      </c>
      <c r="I293" s="169" t="s">
        <v>10</v>
      </c>
      <c r="J293" s="170"/>
      <c r="K293" s="155"/>
      <c r="L293" s="156"/>
      <c r="M293" s="156"/>
      <c r="N293" s="167" t="s">
        <v>479</v>
      </c>
      <c r="O293" s="68"/>
      <c r="P293" s="69">
        <v>7425000</v>
      </c>
      <c r="Q293" s="104"/>
      <c r="R293" s="131" t="str">
        <f>IF(AND(C293="pv",D293='UNC - PV'!$Q$2,LEFT(E293,1)="u",'UNC - PV'!$O$2="vnđ",TH!P293&lt;&gt;""),"p",IF(AND(C293="pv",D293='UNC - PV'!$Q$2,LEFT(E293,1)="u",'UNC - PV'!$O$2="usd",TH!O293&lt;&gt;""),"p1",IF(AND(C293="pv",D293='LC - PV'!$P$2,LEFT(E293,1)="l"),"p2",IF(AND(LEFT(C293,3)="EIB",D293='UNC - EIB'!$T$2,LEFT(E293,1)="u",'UNC - EIB'!$R$2="vnđ",TH!P293&lt;&gt;""),"e",IF(AND(LEFT(C293,3)="EIB",D293='UNC - EIB'!$T$2,LEFT(E293,1)="U",'UNC - EIB'!$R$2="usd",TH!O293&lt;&gt;""),"e1",IF(AND(LEFT(C293,3)="EIB",D293='LC - EIB'!$S$2,LEFT(E293,1)="l"),"e2",""))))))</f>
        <v/>
      </c>
    </row>
    <row r="294" spans="1:18" s="57" customFormat="1" ht="18.75" customHeight="1">
      <c r="A294" s="55" t="str">
        <f>IF(AND(C294="pv",E294='UNC - PV'!$S$2,D294='UNC - PV'!$Q$2),"x",IF(AND(LEFT(C294,3)="eib",E294='UNC - EIB'!$V$2,D294='UNC - EIB'!$T$2),"x1",IF(AND(C294="pv",E294='LC - PV'!$R$2,D294='LC - PV'!$P$2),"x2",IF(AND(LEFT(C294,3)="eib",E294='LC - EIB'!$U$2,D294='LC - EIB'!$S$2),"x3",""))))</f>
        <v/>
      </c>
      <c r="B294" s="62">
        <f t="shared" si="23"/>
        <v>291</v>
      </c>
      <c r="C294" s="62" t="s">
        <v>144</v>
      </c>
      <c r="D294" s="67">
        <v>43138</v>
      </c>
      <c r="E294" s="65" t="s">
        <v>84</v>
      </c>
      <c r="F294" s="64" t="s">
        <v>370</v>
      </c>
      <c r="G294" s="71" t="s">
        <v>407</v>
      </c>
      <c r="H294" s="64" t="s">
        <v>372</v>
      </c>
      <c r="I294" s="105" t="s">
        <v>10</v>
      </c>
      <c r="J294" s="66"/>
      <c r="K294" s="67"/>
      <c r="L294" s="65"/>
      <c r="M294" s="65"/>
      <c r="N294" s="64" t="s">
        <v>373</v>
      </c>
      <c r="O294" s="68"/>
      <c r="P294" s="69">
        <v>350000000</v>
      </c>
      <c r="Q294" s="104"/>
      <c r="R294" s="131" t="str">
        <f>IF(AND(C294="pv",D294='UNC - PV'!$Q$2,LEFT(E294,1)="u",'UNC - PV'!$O$2="vnđ",TH!P294&lt;&gt;""),"p",IF(AND(C294="pv",D294='UNC - PV'!$Q$2,LEFT(E294,1)="u",'UNC - PV'!$O$2="usd",TH!O294&lt;&gt;""),"p1",IF(AND(C294="pv",D294='LC - PV'!$P$2,LEFT(E294,1)="l"),"p2",IF(AND(LEFT(C294,3)="EIB",D294='UNC - EIB'!$T$2,LEFT(E294,1)="u",'UNC - EIB'!$R$2="vnđ",TH!P294&lt;&gt;""),"e",IF(AND(LEFT(C294,3)="EIB",D294='UNC - EIB'!$T$2,LEFT(E294,1)="U",'UNC - EIB'!$R$2="usd",TH!O294&lt;&gt;""),"e1",IF(AND(LEFT(C294,3)="EIB",D294='LC - EIB'!$S$2,LEFT(E294,1)="l"),"e2",""))))))</f>
        <v/>
      </c>
    </row>
    <row r="295" spans="1:18" s="57" customFormat="1" ht="18.75" customHeight="1">
      <c r="A295" s="55" t="str">
        <f>IF(AND(C295="pv",E295='UNC - PV'!$S$2,D295='UNC - PV'!$Q$2),"x",IF(AND(LEFT(C295,3)="eib",E295='UNC - EIB'!$V$2,D295='UNC - EIB'!$T$2),"x1",IF(AND(C295="pv",E295='LC - PV'!$R$2,D295='LC - PV'!$P$2),"x2",IF(AND(LEFT(C295,3)="eib",E295='LC - EIB'!$U$2,D295='LC - EIB'!$S$2),"x3",""))))</f>
        <v/>
      </c>
      <c r="B295" s="62">
        <f t="shared" si="23"/>
        <v>292</v>
      </c>
      <c r="C295" s="62" t="s">
        <v>144</v>
      </c>
      <c r="D295" s="67">
        <v>43140</v>
      </c>
      <c r="E295" s="65" t="s">
        <v>23</v>
      </c>
      <c r="F295" s="107" t="s">
        <v>132</v>
      </c>
      <c r="G295" s="71" t="s">
        <v>405</v>
      </c>
      <c r="H295" s="64" t="s">
        <v>163</v>
      </c>
      <c r="I295" s="105" t="s">
        <v>10</v>
      </c>
      <c r="J295" s="56"/>
      <c r="K295" s="67"/>
      <c r="L295" s="65"/>
      <c r="M295" s="65"/>
      <c r="N295" s="64" t="s">
        <v>480</v>
      </c>
      <c r="O295" s="68"/>
      <c r="P295" s="69">
        <f>111700*22690</f>
        <v>2534473000</v>
      </c>
      <c r="Q295" s="104"/>
      <c r="R295" s="131" t="str">
        <f>IF(AND(C295="pv",D295='UNC - PV'!$Q$2,LEFT(E295,1)="u",'UNC - PV'!$O$2="vnđ",TH!P295&lt;&gt;""),"p",IF(AND(C295="pv",D295='UNC - PV'!$Q$2,LEFT(E295,1)="u",'UNC - PV'!$O$2="usd",TH!O295&lt;&gt;""),"p1",IF(AND(C295="pv",D295='LC - PV'!$P$2,LEFT(E295,1)="l"),"p2",IF(AND(LEFT(C295,3)="EIB",D295='UNC - EIB'!$T$2,LEFT(E295,1)="u",'UNC - EIB'!$R$2="vnđ",TH!P295&lt;&gt;""),"e",IF(AND(LEFT(C295,3)="EIB",D295='UNC - EIB'!$T$2,LEFT(E295,1)="U",'UNC - EIB'!$R$2="usd",TH!O295&lt;&gt;""),"e1",IF(AND(LEFT(C295,3)="EIB",D295='LC - EIB'!$S$2,LEFT(E295,1)="l"),"e2",""))))))</f>
        <v/>
      </c>
    </row>
    <row r="296" spans="1:18" s="57" customFormat="1" ht="18.75" customHeight="1">
      <c r="A296" s="55" t="str">
        <f>IF(AND(C296="pv",E296='UNC - PV'!$S$2,D296='UNC - PV'!$Q$2),"x",IF(AND(LEFT(C296,3)="eib",E296='UNC - EIB'!$V$2,D296='UNC - EIB'!$T$2),"x1",IF(AND(C296="pv",E296='LC - PV'!$R$2,D296='LC - PV'!$P$2),"x2",IF(AND(LEFT(C296,3)="eib",E296='LC - EIB'!$U$2,D296='LC - EIB'!$S$2),"x3",""))))</f>
        <v/>
      </c>
      <c r="B296" s="62">
        <f t="shared" si="23"/>
        <v>293</v>
      </c>
      <c r="C296" s="62" t="s">
        <v>144</v>
      </c>
      <c r="D296" s="67">
        <v>43159</v>
      </c>
      <c r="E296" s="65" t="s">
        <v>23</v>
      </c>
      <c r="F296" s="64" t="s">
        <v>366</v>
      </c>
      <c r="G296" s="71" t="s">
        <v>408</v>
      </c>
      <c r="H296" s="64" t="s">
        <v>368</v>
      </c>
      <c r="I296" s="65" t="s">
        <v>35</v>
      </c>
      <c r="J296" s="66"/>
      <c r="K296" s="67"/>
      <c r="L296" s="65"/>
      <c r="M296" s="65"/>
      <c r="N296" s="64" t="s">
        <v>481</v>
      </c>
      <c r="O296" s="68"/>
      <c r="P296" s="69">
        <f>30092370+21156630+13146870</f>
        <v>64395870</v>
      </c>
      <c r="Q296" s="104"/>
      <c r="R296" s="131" t="str">
        <f>IF(AND(C296="pv",D296='UNC - PV'!$Q$2,LEFT(E296,1)="u",'UNC - PV'!$O$2="vnđ",TH!P296&lt;&gt;""),"p",IF(AND(C296="pv",D296='UNC - PV'!$Q$2,LEFT(E296,1)="u",'UNC - PV'!$O$2="usd",TH!O296&lt;&gt;""),"p1",IF(AND(C296="pv",D296='LC - PV'!$P$2,LEFT(E296,1)="l"),"p2",IF(AND(LEFT(C296,3)="EIB",D296='UNC - EIB'!$T$2,LEFT(E296,1)="u",'UNC - EIB'!$R$2="vnđ",TH!P296&lt;&gt;""),"e",IF(AND(LEFT(C296,3)="EIB",D296='UNC - EIB'!$T$2,LEFT(E296,1)="U",'UNC - EIB'!$R$2="usd",TH!O296&lt;&gt;""),"e1",IF(AND(LEFT(C296,3)="EIB",D296='LC - EIB'!$S$2,LEFT(E296,1)="l"),"e2",""))))))</f>
        <v/>
      </c>
    </row>
    <row r="297" spans="1:18" s="57" customFormat="1" ht="18.75" customHeight="1">
      <c r="A297" s="55" t="str">
        <f>IF(AND(C297="pv",E297='UNC - PV'!$S$2,D297='UNC - PV'!$Q$2),"x",IF(AND(LEFT(C297,3)="eib",E297='UNC - EIB'!$V$2,D297='UNC - EIB'!$T$2),"x1",IF(AND(C297="pv",E297='LC - PV'!$R$2,D297='LC - PV'!$P$2),"x2",IF(AND(LEFT(C297,3)="eib",E297='LC - EIB'!$U$2,D297='LC - EIB'!$S$2),"x3",""))))</f>
        <v/>
      </c>
      <c r="B297" s="62">
        <f t="shared" si="23"/>
        <v>294</v>
      </c>
      <c r="C297" s="62" t="s">
        <v>144</v>
      </c>
      <c r="D297" s="67">
        <v>43161</v>
      </c>
      <c r="E297" s="65" t="s">
        <v>23</v>
      </c>
      <c r="F297" s="64" t="s">
        <v>91</v>
      </c>
      <c r="G297" s="71" t="s">
        <v>423</v>
      </c>
      <c r="H297" s="64" t="s">
        <v>93</v>
      </c>
      <c r="I297" s="65" t="s">
        <v>35</v>
      </c>
      <c r="J297" s="66"/>
      <c r="K297" s="67"/>
      <c r="L297" s="65"/>
      <c r="M297" s="65"/>
      <c r="N297" s="64" t="s">
        <v>94</v>
      </c>
      <c r="O297" s="68"/>
      <c r="P297" s="69">
        <v>56519422</v>
      </c>
      <c r="Q297" s="104"/>
      <c r="R297" s="131" t="str">
        <f>IF(AND(C297="pv",D297='UNC - PV'!$Q$2,LEFT(E297,1)="u",'UNC - PV'!$O$2="vnđ",TH!P297&lt;&gt;""),"p",IF(AND(C297="pv",D297='UNC - PV'!$Q$2,LEFT(E297,1)="u",'UNC - PV'!$O$2="usd",TH!O297&lt;&gt;""),"p1",IF(AND(C297="pv",D297='LC - PV'!$P$2,LEFT(E297,1)="l"),"p2",IF(AND(LEFT(C297,3)="EIB",D297='UNC - EIB'!$T$2,LEFT(E297,1)="u",'UNC - EIB'!$R$2="vnđ",TH!P297&lt;&gt;""),"e",IF(AND(LEFT(C297,3)="EIB",D297='UNC - EIB'!$T$2,LEFT(E297,1)="U",'UNC - EIB'!$R$2="usd",TH!O297&lt;&gt;""),"e1",IF(AND(LEFT(C297,3)="EIB",D297='LC - EIB'!$S$2,LEFT(E297,1)="l"),"e2",""))))))</f>
        <v/>
      </c>
    </row>
    <row r="298" spans="1:18" s="57" customFormat="1" ht="18.75" customHeight="1">
      <c r="A298" s="55" t="str">
        <f>IF(AND(C298="pv",E298='UNC - PV'!$S$2,D298='UNC - PV'!$Q$2),"x",IF(AND(LEFT(C298,3)="eib",E298='UNC - EIB'!$V$2,D298='UNC - EIB'!$T$2),"x1",IF(AND(C298="pv",E298='LC - PV'!$R$2,D298='LC - PV'!$P$2),"x2",IF(AND(LEFT(C298,3)="eib",E298='LC - EIB'!$U$2,D298='LC - EIB'!$S$2),"x3",""))))</f>
        <v/>
      </c>
      <c r="B298" s="62">
        <f t="shared" si="23"/>
        <v>295</v>
      </c>
      <c r="C298" s="62" t="s">
        <v>144</v>
      </c>
      <c r="D298" s="67">
        <v>43164</v>
      </c>
      <c r="E298" s="65" t="s">
        <v>23</v>
      </c>
      <c r="F298" s="107" t="s">
        <v>132</v>
      </c>
      <c r="G298" s="71" t="s">
        <v>433</v>
      </c>
      <c r="H298" s="64" t="s">
        <v>398</v>
      </c>
      <c r="I298" s="105" t="s">
        <v>10</v>
      </c>
      <c r="J298" s="66"/>
      <c r="K298" s="67"/>
      <c r="L298" s="65"/>
      <c r="M298" s="65"/>
      <c r="N298" s="64" t="s">
        <v>164</v>
      </c>
      <c r="O298" s="68"/>
      <c r="P298" s="69">
        <v>60000000</v>
      </c>
      <c r="Q298" s="104"/>
      <c r="R298" s="131" t="str">
        <f>IF(AND(C298="pv",D298='UNC - PV'!$Q$2,LEFT(E298,1)="u",'UNC - PV'!$O$2="vnđ",TH!P298&lt;&gt;""),"p",IF(AND(C298="pv",D298='UNC - PV'!$Q$2,LEFT(E298,1)="u",'UNC - PV'!$O$2="usd",TH!O298&lt;&gt;""),"p1",IF(AND(C298="pv",D298='LC - PV'!$P$2,LEFT(E298,1)="l"),"p2",IF(AND(LEFT(C298,3)="EIB",D298='UNC - EIB'!$T$2,LEFT(E298,1)="u",'UNC - EIB'!$R$2="vnđ",TH!P298&lt;&gt;""),"e",IF(AND(LEFT(C298,3)="EIB",D298='UNC - EIB'!$T$2,LEFT(E298,1)="U",'UNC - EIB'!$R$2="usd",TH!O298&lt;&gt;""),"e1",IF(AND(LEFT(C298,3)="EIB",D298='LC - EIB'!$S$2,LEFT(E298,1)="l"),"e2",""))))))</f>
        <v/>
      </c>
    </row>
    <row r="299" spans="1:18" s="57" customFormat="1" ht="18.75" customHeight="1">
      <c r="A299" s="55" t="str">
        <f>IF(AND(C299="pv",E299='UNC - PV'!$S$2,D299='UNC - PV'!$Q$2),"x",IF(AND(LEFT(C299,3)="eib",E299='UNC - EIB'!$V$2,D299='UNC - EIB'!$T$2),"x1",IF(AND(C299="pv",E299='LC - PV'!$R$2,D299='LC - PV'!$P$2),"x2",IF(AND(LEFT(C299,3)="eib",E299='LC - EIB'!$U$2,D299='LC - EIB'!$S$2),"x3",""))))</f>
        <v/>
      </c>
      <c r="B299" s="62">
        <f t="shared" si="21"/>
        <v>296</v>
      </c>
      <c r="C299" s="62" t="s">
        <v>144</v>
      </c>
      <c r="D299" s="67">
        <v>43164</v>
      </c>
      <c r="E299" s="65" t="s">
        <v>24</v>
      </c>
      <c r="F299" s="64" t="s">
        <v>330</v>
      </c>
      <c r="G299" s="71" t="s">
        <v>441</v>
      </c>
      <c r="H299" s="64" t="s">
        <v>332</v>
      </c>
      <c r="I299" s="65" t="s">
        <v>333</v>
      </c>
      <c r="J299" s="66"/>
      <c r="K299" s="67"/>
      <c r="L299" s="65"/>
      <c r="M299" s="65"/>
      <c r="N299" s="64" t="s">
        <v>334</v>
      </c>
      <c r="O299" s="68"/>
      <c r="P299" s="69">
        <v>1305900000</v>
      </c>
      <c r="Q299" s="104"/>
      <c r="R299" s="131" t="str">
        <f>IF(AND(C299="pv",D299='UNC - PV'!$Q$2,LEFT(E299,1)="u",'UNC - PV'!$O$2="vnđ",TH!P299&lt;&gt;""),"p",IF(AND(C299="pv",D299='UNC - PV'!$Q$2,LEFT(E299,1)="u",'UNC - PV'!$O$2="usd",TH!O299&lt;&gt;""),"p1",IF(AND(C299="pv",D299='LC - PV'!$P$2,LEFT(E299,1)="l"),"p2",IF(AND(LEFT(C299,3)="EIB",D299='UNC - EIB'!$T$2,LEFT(E299,1)="u",'UNC - EIB'!$R$2="vnđ",TH!P299&lt;&gt;""),"e",IF(AND(LEFT(C299,3)="EIB",D299='UNC - EIB'!$T$2,LEFT(E299,1)="U",'UNC - EIB'!$R$2="usd",TH!O299&lt;&gt;""),"e1",IF(AND(LEFT(C299,3)="EIB",D299='LC - EIB'!$S$2,LEFT(E299,1)="l"),"e2",""))))))</f>
        <v/>
      </c>
    </row>
    <row r="300" spans="1:18" s="57" customFormat="1" ht="18.75" customHeight="1">
      <c r="A300" s="55" t="str">
        <f>IF(AND(C300="pv",E300='UNC - PV'!$S$2,D300='UNC - PV'!$Q$2),"x",IF(AND(LEFT(C300,3)="eib",E300='UNC - EIB'!$V$2,D300='UNC - EIB'!$T$2),"x1",IF(AND(C300="pv",E300='LC - PV'!$R$2,D300='LC - PV'!$P$2),"x2",IF(AND(LEFT(C300,3)="eib",E300='LC - EIB'!$U$2,D300='LC - EIB'!$S$2),"x3",""))))</f>
        <v/>
      </c>
      <c r="B300" s="62">
        <f t="shared" si="21"/>
        <v>297</v>
      </c>
      <c r="C300" s="62" t="s">
        <v>144</v>
      </c>
      <c r="D300" s="67">
        <v>43167</v>
      </c>
      <c r="E300" s="65" t="s">
        <v>23</v>
      </c>
      <c r="F300" s="107" t="s">
        <v>132</v>
      </c>
      <c r="G300" s="71" t="s">
        <v>405</v>
      </c>
      <c r="H300" s="64" t="s">
        <v>163</v>
      </c>
      <c r="I300" s="105" t="s">
        <v>10</v>
      </c>
      <c r="J300" s="56"/>
      <c r="K300" s="67"/>
      <c r="L300" s="65"/>
      <c r="M300" s="65"/>
      <c r="N300" s="64" t="s">
        <v>483</v>
      </c>
      <c r="O300" s="68"/>
      <c r="P300" s="69">
        <f>22746*96000</f>
        <v>2183616000</v>
      </c>
      <c r="Q300" s="104"/>
      <c r="R300" s="131" t="str">
        <f>IF(AND(C300="pv",D300='UNC - PV'!$Q$2,LEFT(E300,1)="u",'UNC - PV'!$O$2="vnđ",TH!P300&lt;&gt;""),"p",IF(AND(C300="pv",D300='UNC - PV'!$Q$2,LEFT(E300,1)="u",'UNC - PV'!$O$2="usd",TH!O300&lt;&gt;""),"p1",IF(AND(C300="pv",D300='LC - PV'!$P$2,LEFT(E300,1)="l"),"p2",IF(AND(LEFT(C300,3)="EIB",D300='UNC - EIB'!$T$2,LEFT(E300,1)="u",'UNC - EIB'!$R$2="vnđ",TH!P300&lt;&gt;""),"e",IF(AND(LEFT(C300,3)="EIB",D300='UNC - EIB'!$T$2,LEFT(E300,1)="U",'UNC - EIB'!$R$2="usd",TH!O300&lt;&gt;""),"e1",IF(AND(LEFT(C300,3)="EIB",D300='LC - EIB'!$S$2,LEFT(E300,1)="l"),"e2",""))))))</f>
        <v/>
      </c>
    </row>
    <row r="301" spans="1:18" s="57" customFormat="1" ht="18.75" customHeight="1">
      <c r="A301" s="55" t="str">
        <f>IF(AND(C301="pv",E301='UNC - PV'!$S$2,D301='UNC - PV'!$Q$2),"x",IF(AND(LEFT(C301,3)="eib",E301='UNC - EIB'!$V$2,D301='UNC - EIB'!$T$2),"x1",IF(AND(C301="pv",E301='LC - PV'!$R$2,D301='LC - PV'!$P$2),"x2",IF(AND(LEFT(C301,3)="eib",E301='LC - EIB'!$U$2,D301='LC - EIB'!$S$2),"x3",""))))</f>
        <v/>
      </c>
      <c r="B301" s="62">
        <f t="shared" si="21"/>
        <v>298</v>
      </c>
      <c r="C301" s="62" t="s">
        <v>144</v>
      </c>
      <c r="D301" s="67">
        <v>43171</v>
      </c>
      <c r="E301" s="65" t="s">
        <v>23</v>
      </c>
      <c r="F301" s="64" t="s">
        <v>214</v>
      </c>
      <c r="G301" s="64" t="s">
        <v>215</v>
      </c>
      <c r="H301" s="64" t="s">
        <v>216</v>
      </c>
      <c r="I301" s="62" t="s">
        <v>10</v>
      </c>
      <c r="J301" s="66"/>
      <c r="K301" s="67"/>
      <c r="L301" s="65"/>
      <c r="M301" s="65"/>
      <c r="N301" s="64" t="s">
        <v>217</v>
      </c>
      <c r="O301" s="68"/>
      <c r="P301" s="69">
        <v>9900000</v>
      </c>
      <c r="Q301" s="104"/>
      <c r="R301" s="131" t="str">
        <f>IF(AND(C301="pv",D301='UNC - PV'!$Q$2,LEFT(E301,1)="u",'UNC - PV'!$O$2="vnđ",TH!P301&lt;&gt;""),"p",IF(AND(C301="pv",D301='UNC - PV'!$Q$2,LEFT(E301,1)="u",'UNC - PV'!$O$2="usd",TH!O301&lt;&gt;""),"p1",IF(AND(C301="pv",D301='LC - PV'!$P$2,LEFT(E301,1)="l"),"p2",IF(AND(LEFT(C301,3)="EIB",D301='UNC - EIB'!$T$2,LEFT(E301,1)="u",'UNC - EIB'!$R$2="vnđ",TH!P301&lt;&gt;""),"e",IF(AND(LEFT(C301,3)="EIB",D301='UNC - EIB'!$T$2,LEFT(E301,1)="U",'UNC - EIB'!$R$2="usd",TH!O301&lt;&gt;""),"e1",IF(AND(LEFT(C301,3)="EIB",D301='LC - EIB'!$S$2,LEFT(E301,1)="l"),"e2",""))))))</f>
        <v/>
      </c>
    </row>
    <row r="302" spans="1:18" s="57" customFormat="1" ht="18.75" customHeight="1">
      <c r="A302" s="55" t="str">
        <f>IF(AND(C302="pv",E302='UNC - PV'!$S$2,D302='UNC - PV'!$Q$2),"x",IF(AND(LEFT(C302,3)="eib",E302='UNC - EIB'!$V$2,D302='UNC - EIB'!$T$2),"x1",IF(AND(C302="pv",E302='LC - PV'!$R$2,D302='LC - PV'!$P$2),"x2",IF(AND(LEFT(C302,3)="eib",E302='LC - EIB'!$U$2,D302='LC - EIB'!$S$2),"x3",""))))</f>
        <v/>
      </c>
      <c r="B302" s="62">
        <f t="shared" si="21"/>
        <v>299</v>
      </c>
      <c r="C302" s="62" t="s">
        <v>144</v>
      </c>
      <c r="D302" s="67">
        <v>43171</v>
      </c>
      <c r="E302" s="65" t="s">
        <v>24</v>
      </c>
      <c r="F302" s="70" t="s">
        <v>4</v>
      </c>
      <c r="G302" s="134" t="s">
        <v>446</v>
      </c>
      <c r="H302" s="70" t="s">
        <v>6</v>
      </c>
      <c r="I302" s="105" t="s">
        <v>10</v>
      </c>
      <c r="J302" s="66"/>
      <c r="K302" s="67"/>
      <c r="L302" s="65"/>
      <c r="M302" s="65"/>
      <c r="N302" s="70" t="s">
        <v>482</v>
      </c>
      <c r="O302" s="68"/>
      <c r="P302" s="69">
        <v>14824178</v>
      </c>
      <c r="Q302" s="104"/>
      <c r="R302" s="131" t="str">
        <f>IF(AND(C302="pv",D302='UNC - PV'!$Q$2,LEFT(E302,1)="u",'UNC - PV'!$O$2="vnđ",TH!P302&lt;&gt;""),"p",IF(AND(C302="pv",D302='UNC - PV'!$Q$2,LEFT(E302,1)="u",'UNC - PV'!$O$2="usd",TH!O302&lt;&gt;""),"p1",IF(AND(C302="pv",D302='LC - PV'!$P$2,LEFT(E302,1)="l"),"p2",IF(AND(LEFT(C302,3)="EIB",D302='UNC - EIB'!$T$2,LEFT(E302,1)="u",'UNC - EIB'!$R$2="vnđ",TH!P302&lt;&gt;""),"e",IF(AND(LEFT(C302,3)="EIB",D302='UNC - EIB'!$T$2,LEFT(E302,1)="U",'UNC - EIB'!$R$2="usd",TH!O302&lt;&gt;""),"e1",IF(AND(LEFT(C302,3)="EIB",D302='LC - EIB'!$S$2,LEFT(E302,1)="l"),"e2",""))))))</f>
        <v/>
      </c>
    </row>
    <row r="303" spans="1:18" s="57" customFormat="1" ht="18.75" customHeight="1">
      <c r="A303" s="55" t="str">
        <f>IF(AND(C303="pv",E303='UNC - PV'!$S$2,D303='UNC - PV'!$Q$2),"x",IF(AND(LEFT(C303,3)="eib",E303='UNC - EIB'!$V$2,D303='UNC - EIB'!$T$2),"x1",IF(AND(C303="pv",E303='LC - PV'!$R$2,D303='LC - PV'!$P$2),"x2",IF(AND(LEFT(C303,3)="eib",E303='LC - EIB'!$U$2,D303='LC - EIB'!$S$2),"x3",""))))</f>
        <v/>
      </c>
      <c r="B303" s="62">
        <f t="shared" ref="B303:B312" si="24">IF(C303&lt;&gt;"",ROW()-3,"")</f>
        <v>300</v>
      </c>
      <c r="C303" s="62" t="s">
        <v>144</v>
      </c>
      <c r="D303" s="67">
        <v>43171</v>
      </c>
      <c r="E303" s="65" t="s">
        <v>25</v>
      </c>
      <c r="F303" s="64" t="s">
        <v>370</v>
      </c>
      <c r="G303" s="71" t="s">
        <v>407</v>
      </c>
      <c r="H303" s="64" t="s">
        <v>372</v>
      </c>
      <c r="I303" s="105" t="s">
        <v>10</v>
      </c>
      <c r="J303" s="66"/>
      <c r="K303" s="67"/>
      <c r="L303" s="65"/>
      <c r="M303" s="65"/>
      <c r="N303" s="64" t="s">
        <v>373</v>
      </c>
      <c r="O303" s="68"/>
      <c r="P303" s="69">
        <v>150000000</v>
      </c>
      <c r="Q303" s="104"/>
      <c r="R303" s="131" t="str">
        <f>IF(AND(C303="pv",D303='UNC - PV'!$Q$2,LEFT(E303,1)="u",'UNC - PV'!$O$2="vnđ",TH!P303&lt;&gt;""),"p",IF(AND(C303="pv",D303='UNC - PV'!$Q$2,LEFT(E303,1)="u",'UNC - PV'!$O$2="usd",TH!O303&lt;&gt;""),"p1",IF(AND(C303="pv",D303='LC - PV'!$P$2,LEFT(E303,1)="l"),"p2",IF(AND(LEFT(C303,3)="EIB",D303='UNC - EIB'!$T$2,LEFT(E303,1)="u",'UNC - EIB'!$R$2="vnđ",TH!P303&lt;&gt;""),"e",IF(AND(LEFT(C303,3)="EIB",D303='UNC - EIB'!$T$2,LEFT(E303,1)="U",'UNC - EIB'!$R$2="usd",TH!O303&lt;&gt;""),"e1",IF(AND(LEFT(C303,3)="EIB",D303='LC - EIB'!$S$2,LEFT(E303,1)="l"),"e2",""))))))</f>
        <v/>
      </c>
    </row>
    <row r="304" spans="1:18" s="57" customFormat="1" ht="18.75" customHeight="1">
      <c r="A304" s="55" t="str">
        <f>IF(AND(C304="pv",E304='UNC - PV'!$S$2,D304='UNC - PV'!$Q$2),"x",IF(AND(LEFT(C304,3)="eib",E304='UNC - EIB'!$V$2,D304='UNC - EIB'!$T$2),"x1",IF(AND(C304="pv",E304='LC - PV'!$R$2,D304='LC - PV'!$P$2),"x2",IF(AND(LEFT(C304,3)="eib",E304='LC - EIB'!$U$2,D304='LC - EIB'!$S$2),"x3",""))))</f>
        <v/>
      </c>
      <c r="B304" s="62">
        <f t="shared" si="24"/>
        <v>301</v>
      </c>
      <c r="C304" s="62" t="s">
        <v>144</v>
      </c>
      <c r="D304" s="67">
        <v>43171</v>
      </c>
      <c r="E304" s="65" t="s">
        <v>26</v>
      </c>
      <c r="F304" s="64" t="s">
        <v>189</v>
      </c>
      <c r="G304" s="71" t="s">
        <v>385</v>
      </c>
      <c r="H304" s="64" t="s">
        <v>190</v>
      </c>
      <c r="I304" s="105" t="s">
        <v>10</v>
      </c>
      <c r="J304" s="66"/>
      <c r="K304" s="67"/>
      <c r="L304" s="65"/>
      <c r="M304" s="65"/>
      <c r="N304" s="64" t="s">
        <v>191</v>
      </c>
      <c r="O304" s="68"/>
      <c r="P304" s="69">
        <v>23500000</v>
      </c>
      <c r="Q304" s="104"/>
      <c r="R304" s="131" t="str">
        <f>IF(AND(C304="pv",D304='UNC - PV'!$Q$2,LEFT(E304,1)="u",'UNC - PV'!$O$2="vnđ",TH!P304&lt;&gt;""),"p",IF(AND(C304="pv",D304='UNC - PV'!$Q$2,LEFT(E304,1)="u",'UNC - PV'!$O$2="usd",TH!O304&lt;&gt;""),"p1",IF(AND(C304="pv",D304='LC - PV'!$P$2,LEFT(E304,1)="l"),"p2",IF(AND(LEFT(C304,3)="EIB",D304='UNC - EIB'!$T$2,LEFT(E304,1)="u",'UNC - EIB'!$R$2="vnđ",TH!P304&lt;&gt;""),"e",IF(AND(LEFT(C304,3)="EIB",D304='UNC - EIB'!$T$2,LEFT(E304,1)="U",'UNC - EIB'!$R$2="usd",TH!O304&lt;&gt;""),"e1",IF(AND(LEFT(C304,3)="EIB",D304='LC - EIB'!$S$2,LEFT(E304,1)="l"),"e2",""))))))</f>
        <v/>
      </c>
    </row>
    <row r="305" spans="1:18" s="57" customFormat="1" ht="18.75" customHeight="1">
      <c r="A305" s="55" t="str">
        <f>IF(AND(C305="pv",E305='UNC - PV'!$S$2,D305='UNC - PV'!$Q$2),"x",IF(AND(LEFT(C305,3)="eib",E305='UNC - EIB'!$V$2,D305='UNC - EIB'!$T$2),"x1",IF(AND(C305="pv",E305='LC - PV'!$R$2,D305='LC - PV'!$P$2),"x2",IF(AND(LEFT(C305,3)="eib",E305='LC - EIB'!$U$2,D305='LC - EIB'!$S$2),"x3",""))))</f>
        <v/>
      </c>
      <c r="B305" s="62">
        <f t="shared" si="24"/>
        <v>302</v>
      </c>
      <c r="C305" s="62" t="s">
        <v>144</v>
      </c>
      <c r="D305" s="67">
        <v>43171</v>
      </c>
      <c r="E305" s="65" t="s">
        <v>84</v>
      </c>
      <c r="F305" s="64" t="s">
        <v>454</v>
      </c>
      <c r="G305" s="71" t="s">
        <v>455</v>
      </c>
      <c r="H305" s="64" t="s">
        <v>456</v>
      </c>
      <c r="I305" s="105" t="s">
        <v>10</v>
      </c>
      <c r="J305" s="66"/>
      <c r="K305" s="67"/>
      <c r="L305" s="65"/>
      <c r="M305" s="65"/>
      <c r="N305" s="64" t="s">
        <v>484</v>
      </c>
      <c r="O305" s="68"/>
      <c r="P305" s="69">
        <v>89800000</v>
      </c>
      <c r="Q305" s="104"/>
      <c r="R305" s="131" t="str">
        <f>IF(AND(C305="pv",D305='UNC - PV'!$Q$2,LEFT(E305,1)="u",'UNC - PV'!$O$2="vnđ",TH!P305&lt;&gt;""),"p",IF(AND(C305="pv",D305='UNC - PV'!$Q$2,LEFT(E305,1)="u",'UNC - PV'!$O$2="usd",TH!O305&lt;&gt;""),"p1",IF(AND(C305="pv",D305='LC - PV'!$P$2,LEFT(E305,1)="l"),"p2",IF(AND(LEFT(C305,3)="EIB",D305='UNC - EIB'!$T$2,LEFT(E305,1)="u",'UNC - EIB'!$R$2="vnđ",TH!P305&lt;&gt;""),"e",IF(AND(LEFT(C305,3)="EIB",D305='UNC - EIB'!$T$2,LEFT(E305,1)="U",'UNC - EIB'!$R$2="usd",TH!O305&lt;&gt;""),"e1",IF(AND(LEFT(C305,3)="EIB",D305='LC - EIB'!$S$2,LEFT(E305,1)="l"),"e2",""))))))</f>
        <v/>
      </c>
    </row>
    <row r="306" spans="1:18" s="57" customFormat="1" ht="18.75" customHeight="1">
      <c r="A306" s="55" t="str">
        <f>IF(AND(C306="pv",E306='UNC - PV'!$S$2,D306='UNC - PV'!$Q$2),"x",IF(AND(LEFT(C306,3)="eib",E306='UNC - EIB'!$V$2,D306='UNC - EIB'!$T$2),"x1",IF(AND(C306="pv",E306='LC - PV'!$R$2,D306='LC - PV'!$P$2),"x2",IF(AND(LEFT(C306,3)="eib",E306='LC - EIB'!$U$2,D306='LC - EIB'!$S$2),"x3",""))))</f>
        <v/>
      </c>
      <c r="B306" s="62">
        <f t="shared" si="24"/>
        <v>303</v>
      </c>
      <c r="C306" s="62" t="s">
        <v>144</v>
      </c>
      <c r="D306" s="67">
        <v>43171</v>
      </c>
      <c r="E306" s="65" t="s">
        <v>85</v>
      </c>
      <c r="F306" s="157" t="s">
        <v>153</v>
      </c>
      <c r="G306" s="166" t="s">
        <v>469</v>
      </c>
      <c r="H306" s="157" t="s">
        <v>155</v>
      </c>
      <c r="I306" s="158" t="s">
        <v>10</v>
      </c>
      <c r="J306" s="159"/>
      <c r="K306" s="160"/>
      <c r="L306" s="158"/>
      <c r="M306" s="158"/>
      <c r="N306" s="157" t="s">
        <v>156</v>
      </c>
      <c r="O306" s="68"/>
      <c r="P306" s="69">
        <v>109355400</v>
      </c>
      <c r="Q306" s="104"/>
      <c r="R306" s="131" t="str">
        <f>IF(AND(C306="pv",D306='UNC - PV'!$Q$2,LEFT(E306,1)="u",'UNC - PV'!$O$2="vnđ",TH!P306&lt;&gt;""),"p",IF(AND(C306="pv",D306='UNC - PV'!$Q$2,LEFT(E306,1)="u",'UNC - PV'!$O$2="usd",TH!O306&lt;&gt;""),"p1",IF(AND(C306="pv",D306='LC - PV'!$P$2,LEFT(E306,1)="l"),"p2",IF(AND(LEFT(C306,3)="EIB",D306='UNC - EIB'!$T$2,LEFT(E306,1)="u",'UNC - EIB'!$R$2="vnđ",TH!P306&lt;&gt;""),"e",IF(AND(LEFT(C306,3)="EIB",D306='UNC - EIB'!$T$2,LEFT(E306,1)="U",'UNC - EIB'!$R$2="usd",TH!O306&lt;&gt;""),"e1",IF(AND(LEFT(C306,3)="EIB",D306='LC - EIB'!$S$2,LEFT(E306,1)="l"),"e2",""))))))</f>
        <v/>
      </c>
    </row>
    <row r="307" spans="1:18" s="57" customFormat="1" ht="18.75" customHeight="1">
      <c r="A307" s="55" t="str">
        <f>IF(AND(C307="pv",E307='UNC - PV'!$S$2,D307='UNC - PV'!$Q$2),"x",IF(AND(LEFT(C307,3)="eib",E307='UNC - EIB'!$V$2,D307='UNC - EIB'!$T$2),"x1",IF(AND(C307="pv",E307='LC - PV'!$R$2,D307='LC - PV'!$P$2),"x2",IF(AND(LEFT(C307,3)="eib",E307='LC - EIB'!$U$2,D307='LC - EIB'!$S$2),"x3",""))))</f>
        <v/>
      </c>
      <c r="B307" s="62">
        <f t="shared" si="24"/>
        <v>304</v>
      </c>
      <c r="C307" s="62" t="s">
        <v>144</v>
      </c>
      <c r="D307" s="67">
        <v>43172</v>
      </c>
      <c r="E307" s="65" t="s">
        <v>23</v>
      </c>
      <c r="F307" s="64" t="s">
        <v>402</v>
      </c>
      <c r="G307" s="71" t="s">
        <v>451</v>
      </c>
      <c r="H307" s="64" t="s">
        <v>376</v>
      </c>
      <c r="I307" s="105" t="s">
        <v>10</v>
      </c>
      <c r="J307" s="66"/>
      <c r="K307" s="67"/>
      <c r="L307" s="65"/>
      <c r="M307" s="65"/>
      <c r="N307" s="64" t="s">
        <v>424</v>
      </c>
      <c r="O307" s="68"/>
      <c r="P307" s="69">
        <v>37455001</v>
      </c>
      <c r="Q307" s="104"/>
      <c r="R307" s="131" t="str">
        <f>IF(AND(C307="pv",D307='UNC - PV'!$Q$2,LEFT(E307,1)="u",'UNC - PV'!$O$2="vnđ",TH!P307&lt;&gt;""),"p",IF(AND(C307="pv",D307='UNC - PV'!$Q$2,LEFT(E307,1)="u",'UNC - PV'!$O$2="usd",TH!O307&lt;&gt;""),"p1",IF(AND(C307="pv",D307='LC - PV'!$P$2,LEFT(E307,1)="l"),"p2",IF(AND(LEFT(C307,3)="EIB",D307='UNC - EIB'!$T$2,LEFT(E307,1)="u",'UNC - EIB'!$R$2="vnđ",TH!P307&lt;&gt;""),"e",IF(AND(LEFT(C307,3)="EIB",D307='UNC - EIB'!$T$2,LEFT(E307,1)="U",'UNC - EIB'!$R$2="usd",TH!O307&lt;&gt;""),"e1",IF(AND(LEFT(C307,3)="EIB",D307='LC - EIB'!$S$2,LEFT(E307,1)="l"),"e2",""))))))</f>
        <v/>
      </c>
    </row>
    <row r="308" spans="1:18" s="57" customFormat="1" ht="18.75" customHeight="1">
      <c r="A308" s="55" t="str">
        <f>IF(AND(C308="pv",E308='UNC - PV'!$S$2,D308='UNC - PV'!$Q$2),"x",IF(AND(LEFT(C308,3)="eib",E308='UNC - EIB'!$V$2,D308='UNC - EIB'!$T$2),"x1",IF(AND(C308="pv",E308='LC - PV'!$R$2,D308='LC - PV'!$P$2),"x2",IF(AND(LEFT(C308,3)="eib",E308='LC - EIB'!$U$2,D308='LC - EIB'!$S$2),"x3",""))))</f>
        <v/>
      </c>
      <c r="B308" s="62">
        <f t="shared" si="24"/>
        <v>305</v>
      </c>
      <c r="C308" s="62" t="s">
        <v>144</v>
      </c>
      <c r="D308" s="67">
        <v>43179</v>
      </c>
      <c r="E308" s="65" t="s">
        <v>23</v>
      </c>
      <c r="F308" s="107" t="s">
        <v>132</v>
      </c>
      <c r="G308" s="71" t="s">
        <v>405</v>
      </c>
      <c r="H308" s="64" t="s">
        <v>163</v>
      </c>
      <c r="I308" s="105" t="s">
        <v>10</v>
      </c>
      <c r="J308" s="56"/>
      <c r="K308" s="67"/>
      <c r="L308" s="65"/>
      <c r="M308" s="65"/>
      <c r="N308" s="64" t="s">
        <v>485</v>
      </c>
      <c r="O308" s="68"/>
      <c r="P308" s="69">
        <f>22350*22760</f>
        <v>508686000</v>
      </c>
      <c r="Q308" s="104"/>
      <c r="R308" s="131" t="str">
        <f>IF(AND(C308="pv",D308='UNC - PV'!$Q$2,LEFT(E308,1)="u",'UNC - PV'!$O$2="vnđ",TH!P308&lt;&gt;""),"p",IF(AND(C308="pv",D308='UNC - PV'!$Q$2,LEFT(E308,1)="u",'UNC - PV'!$O$2="usd",TH!O308&lt;&gt;""),"p1",IF(AND(C308="pv",D308='LC - PV'!$P$2,LEFT(E308,1)="l"),"p2",IF(AND(LEFT(C308,3)="EIB",D308='UNC - EIB'!$T$2,LEFT(E308,1)="u",'UNC - EIB'!$R$2="vnđ",TH!P308&lt;&gt;""),"e",IF(AND(LEFT(C308,3)="EIB",D308='UNC - EIB'!$T$2,LEFT(E308,1)="U",'UNC - EIB'!$R$2="usd",TH!O308&lt;&gt;""),"e1",IF(AND(LEFT(C308,3)="EIB",D308='LC - EIB'!$S$2,LEFT(E308,1)="l"),"e2",""))))))</f>
        <v/>
      </c>
    </row>
    <row r="309" spans="1:18" s="57" customFormat="1" ht="18.75" customHeight="1">
      <c r="A309" s="55" t="str">
        <f>IF(AND(C309="pv",E309='UNC - PV'!$S$2,D309='UNC - PV'!$Q$2),"x",IF(AND(LEFT(C309,3)="eib",E309='UNC - EIB'!$V$2,D309='UNC - EIB'!$T$2),"x1",IF(AND(C309="pv",E309='LC - PV'!$R$2,D309='LC - PV'!$P$2),"x2",IF(AND(LEFT(C309,3)="eib",E309='LC - EIB'!$U$2,D309='LC - EIB'!$S$2),"x3",""))))</f>
        <v/>
      </c>
      <c r="B309" s="62">
        <f t="shared" si="24"/>
        <v>306</v>
      </c>
      <c r="C309" s="62" t="s">
        <v>144</v>
      </c>
      <c r="D309" s="67">
        <v>43179</v>
      </c>
      <c r="E309" s="65" t="s">
        <v>24</v>
      </c>
      <c r="F309" s="107" t="s">
        <v>132</v>
      </c>
      <c r="G309" s="71" t="s">
        <v>405</v>
      </c>
      <c r="H309" s="64" t="s">
        <v>163</v>
      </c>
      <c r="I309" s="105" t="s">
        <v>10</v>
      </c>
      <c r="J309" s="56"/>
      <c r="K309" s="67"/>
      <c r="L309" s="65"/>
      <c r="M309" s="65"/>
      <c r="N309" s="64" t="s">
        <v>486</v>
      </c>
      <c r="O309" s="68"/>
      <c r="P309" s="69">
        <f>89000*22762</f>
        <v>2025818000</v>
      </c>
      <c r="Q309" s="104"/>
      <c r="R309" s="131" t="str">
        <f>IF(AND(C309="pv",D309='UNC - PV'!$Q$2,LEFT(E309,1)="u",'UNC - PV'!$O$2="vnđ",TH!P309&lt;&gt;""),"p",IF(AND(C309="pv",D309='UNC - PV'!$Q$2,LEFT(E309,1)="u",'UNC - PV'!$O$2="usd",TH!O309&lt;&gt;""),"p1",IF(AND(C309="pv",D309='LC - PV'!$P$2,LEFT(E309,1)="l"),"p2",IF(AND(LEFT(C309,3)="EIB",D309='UNC - EIB'!$T$2,LEFT(E309,1)="u",'UNC - EIB'!$R$2="vnđ",TH!P309&lt;&gt;""),"e",IF(AND(LEFT(C309,3)="EIB",D309='UNC - EIB'!$T$2,LEFT(E309,1)="U",'UNC - EIB'!$R$2="usd",TH!O309&lt;&gt;""),"e1",IF(AND(LEFT(C309,3)="EIB",D309='LC - EIB'!$S$2,LEFT(E309,1)="l"),"e2",""))))))</f>
        <v/>
      </c>
    </row>
    <row r="310" spans="1:18" s="57" customFormat="1" ht="18.75" customHeight="1">
      <c r="A310" s="55" t="str">
        <f>IF(AND(C310="pv",E310='UNC - PV'!$S$2,D310='UNC - PV'!$Q$2),"x",IF(AND(LEFT(C310,3)="eib",E310='UNC - EIB'!$V$2,D310='UNC - EIB'!$T$2),"x1",IF(AND(C310="pv",E310='LC - PV'!$R$2,D310='LC - PV'!$P$2),"x2",IF(AND(LEFT(C310,3)="eib",E310='LC - EIB'!$U$2,D310='LC - EIB'!$S$2),"x3",""))))</f>
        <v/>
      </c>
      <c r="B310" s="62">
        <f t="shared" si="24"/>
        <v>307</v>
      </c>
      <c r="C310" s="62" t="s">
        <v>144</v>
      </c>
      <c r="D310" s="67">
        <v>43180</v>
      </c>
      <c r="E310" s="65" t="s">
        <v>23</v>
      </c>
      <c r="F310" s="107" t="s">
        <v>133</v>
      </c>
      <c r="G310" s="107" t="s">
        <v>134</v>
      </c>
      <c r="H310" s="107" t="s">
        <v>130</v>
      </c>
      <c r="I310" s="105" t="s">
        <v>10</v>
      </c>
      <c r="J310" s="66"/>
      <c r="K310" s="67"/>
      <c r="L310" s="65"/>
      <c r="M310" s="65"/>
      <c r="N310" s="107" t="s">
        <v>487</v>
      </c>
      <c r="O310" s="68"/>
      <c r="P310" s="69">
        <v>320000000</v>
      </c>
      <c r="Q310" s="104"/>
      <c r="R310" s="131" t="str">
        <f>IF(AND(C310="pv",D310='UNC - PV'!$Q$2,LEFT(E310,1)="u",'UNC - PV'!$O$2="vnđ",TH!P310&lt;&gt;""),"p",IF(AND(C310="pv",D310='UNC - PV'!$Q$2,LEFT(E310,1)="u",'UNC - PV'!$O$2="usd",TH!O310&lt;&gt;""),"p1",IF(AND(C310="pv",D310='LC - PV'!$P$2,LEFT(E310,1)="l"),"p2",IF(AND(LEFT(C310,3)="EIB",D310='UNC - EIB'!$T$2,LEFT(E310,1)="u",'UNC - EIB'!$R$2="vnđ",TH!P310&lt;&gt;""),"e",IF(AND(LEFT(C310,3)="EIB",D310='UNC - EIB'!$T$2,LEFT(E310,1)="U",'UNC - EIB'!$R$2="usd",TH!O310&lt;&gt;""),"e1",IF(AND(LEFT(C310,3)="EIB",D310='LC - EIB'!$S$2,LEFT(E310,1)="l"),"e2",""))))))</f>
        <v/>
      </c>
    </row>
    <row r="311" spans="1:18" s="57" customFormat="1" ht="18.75" customHeight="1">
      <c r="A311" s="55" t="str">
        <f>IF(AND(C311="pv",E311='UNC - PV'!$S$2,D311='UNC - PV'!$Q$2),"x",IF(AND(LEFT(C311,3)="eib",E311='UNC - EIB'!$V$2,D311='UNC - EIB'!$T$2),"x1",IF(AND(C311="pv",E311='LC - PV'!$R$2,D311='LC - PV'!$P$2),"x2",IF(AND(LEFT(C311,3)="eib",E311='LC - EIB'!$U$2,D311='LC - EIB'!$S$2),"x3",""))))</f>
        <v/>
      </c>
      <c r="B311" s="62">
        <f t="shared" si="24"/>
        <v>308</v>
      </c>
      <c r="C311" s="62" t="s">
        <v>144</v>
      </c>
      <c r="D311" s="67">
        <v>43185</v>
      </c>
      <c r="E311" s="65" t="s">
        <v>23</v>
      </c>
      <c r="F311" s="64" t="s">
        <v>488</v>
      </c>
      <c r="G311" s="71" t="s">
        <v>489</v>
      </c>
      <c r="H311" s="64" t="s">
        <v>490</v>
      </c>
      <c r="I311" s="105" t="s">
        <v>10</v>
      </c>
      <c r="J311" s="66"/>
      <c r="K311" s="67"/>
      <c r="L311" s="65"/>
      <c r="M311" s="65"/>
      <c r="N311" s="64" t="s">
        <v>491</v>
      </c>
      <c r="O311" s="68"/>
      <c r="P311" s="69">
        <v>7000000</v>
      </c>
      <c r="Q311" s="104"/>
      <c r="R311" s="131" t="str">
        <f>IF(AND(C311="pv",D311='UNC - PV'!$Q$2,LEFT(E311,1)="u",'UNC - PV'!$O$2="vnđ",TH!P311&lt;&gt;""),"p",IF(AND(C311="pv",D311='UNC - PV'!$Q$2,LEFT(E311,1)="u",'UNC - PV'!$O$2="usd",TH!O311&lt;&gt;""),"p1",IF(AND(C311="pv",D311='LC - PV'!$P$2,LEFT(E311,1)="l"),"p2",IF(AND(LEFT(C311,3)="EIB",D311='UNC - EIB'!$T$2,LEFT(E311,1)="u",'UNC - EIB'!$R$2="vnđ",TH!P311&lt;&gt;""),"e",IF(AND(LEFT(C311,3)="EIB",D311='UNC - EIB'!$T$2,LEFT(E311,1)="U",'UNC - EIB'!$R$2="usd",TH!O311&lt;&gt;""),"e1",IF(AND(LEFT(C311,3)="EIB",D311='LC - EIB'!$S$2,LEFT(E311,1)="l"),"e2",""))))))</f>
        <v/>
      </c>
    </row>
    <row r="312" spans="1:18" s="57" customFormat="1" ht="18.75" customHeight="1">
      <c r="A312" s="55" t="str">
        <f>IF(AND(C312="pv",E312='UNC - PV'!$S$2,D312='UNC - PV'!$Q$2),"x",IF(AND(LEFT(C312,3)="eib",E312='UNC - EIB'!$V$2,D312='UNC - EIB'!$T$2),"x1",IF(AND(C312="pv",E312='LC - PV'!$R$2,D312='LC - PV'!$P$2),"x2",IF(AND(LEFT(C312,3)="eib",E312='LC - EIB'!$U$2,D312='LC - EIB'!$S$2),"x3",""))))</f>
        <v/>
      </c>
      <c r="B312" s="62">
        <f t="shared" si="24"/>
        <v>309</v>
      </c>
      <c r="C312" s="62" t="s">
        <v>144</v>
      </c>
      <c r="D312" s="67">
        <v>43187</v>
      </c>
      <c r="E312" s="65" t="s">
        <v>23</v>
      </c>
      <c r="F312" s="107" t="s">
        <v>132</v>
      </c>
      <c r="G312" s="71" t="s">
        <v>405</v>
      </c>
      <c r="H312" s="64" t="s">
        <v>163</v>
      </c>
      <c r="I312" s="105" t="s">
        <v>10</v>
      </c>
      <c r="J312" s="56"/>
      <c r="K312" s="67"/>
      <c r="L312" s="65"/>
      <c r="M312" s="65"/>
      <c r="N312" s="64" t="s">
        <v>492</v>
      </c>
      <c r="O312" s="68"/>
      <c r="P312" s="69">
        <f>22810*41000</f>
        <v>935210000</v>
      </c>
      <c r="Q312" s="104"/>
      <c r="R312" s="131" t="str">
        <f>IF(AND(C312="pv",D312='UNC - PV'!$Q$2,LEFT(E312,1)="u",'UNC - PV'!$O$2="vnđ",TH!P312&lt;&gt;""),"p",IF(AND(C312="pv",D312='UNC - PV'!$Q$2,LEFT(E312,1)="u",'UNC - PV'!$O$2="usd",TH!O312&lt;&gt;""),"p1",IF(AND(C312="pv",D312='LC - PV'!$P$2,LEFT(E312,1)="l"),"p2",IF(AND(LEFT(C312,3)="EIB",D312='UNC - EIB'!$T$2,LEFT(E312,1)="u",'UNC - EIB'!$R$2="vnđ",TH!P312&lt;&gt;""),"e",IF(AND(LEFT(C312,3)="EIB",D312='UNC - EIB'!$T$2,LEFT(E312,1)="U",'UNC - EIB'!$R$2="usd",TH!O312&lt;&gt;""),"e1",IF(AND(LEFT(C312,3)="EIB",D312='LC - EIB'!$S$2,LEFT(E312,1)="l"),"e2",""))))))</f>
        <v/>
      </c>
    </row>
    <row r="313" spans="1:18" s="57" customFormat="1" ht="18.75" customHeight="1">
      <c r="A313" s="55" t="str">
        <f>IF(AND(C313="pv",E313='UNC - PV'!$S$2,D313='UNC - PV'!$Q$2),"x",IF(AND(LEFT(C313,3)="eib",E313='UNC - EIB'!$V$2,D313='UNC - EIB'!$T$2),"x1",IF(AND(C313="pv",E313='LC - PV'!$R$2,D313='LC - PV'!$P$2),"x2",IF(AND(LEFT(C313,3)="eib",E313='LC - EIB'!$U$2,D313='LC - EIB'!$S$2),"x3",""))))</f>
        <v/>
      </c>
      <c r="B313" s="62">
        <f t="shared" ref="B313:B317" si="25">IF(C313&lt;&gt;"",ROW()-3,"")</f>
        <v>310</v>
      </c>
      <c r="C313" s="62" t="s">
        <v>144</v>
      </c>
      <c r="D313" s="67">
        <v>43188</v>
      </c>
      <c r="E313" s="65" t="s">
        <v>23</v>
      </c>
      <c r="F313" s="64" t="s">
        <v>370</v>
      </c>
      <c r="G313" s="71" t="s">
        <v>407</v>
      </c>
      <c r="H313" s="64" t="s">
        <v>372</v>
      </c>
      <c r="I313" s="105" t="s">
        <v>10</v>
      </c>
      <c r="J313" s="66"/>
      <c r="K313" s="67"/>
      <c r="L313" s="65"/>
      <c r="M313" s="65"/>
      <c r="N313" s="64" t="s">
        <v>373</v>
      </c>
      <c r="O313" s="68"/>
      <c r="P313" s="69">
        <v>300000000</v>
      </c>
      <c r="Q313" s="104"/>
      <c r="R313" s="131" t="str">
        <f>IF(AND(C313="pv",D313='UNC - PV'!$Q$2,LEFT(E313,1)="u",'UNC - PV'!$O$2="vnđ",TH!P313&lt;&gt;""),"p",IF(AND(C313="pv",D313='UNC - PV'!$Q$2,LEFT(E313,1)="u",'UNC - PV'!$O$2="usd",TH!O313&lt;&gt;""),"p1",IF(AND(C313="pv",D313='LC - PV'!$P$2,LEFT(E313,1)="l"),"p2",IF(AND(LEFT(C313,3)="EIB",D313='UNC - EIB'!$T$2,LEFT(E313,1)="u",'UNC - EIB'!$R$2="vnđ",TH!P313&lt;&gt;""),"e",IF(AND(LEFT(C313,3)="EIB",D313='UNC - EIB'!$T$2,LEFT(E313,1)="U",'UNC - EIB'!$R$2="usd",TH!O313&lt;&gt;""),"e1",IF(AND(LEFT(C313,3)="EIB",D313='LC - EIB'!$S$2,LEFT(E313,1)="l"),"e2",""))))))</f>
        <v/>
      </c>
    </row>
    <row r="314" spans="1:18" s="57" customFormat="1" ht="18.75" customHeight="1">
      <c r="A314" s="55" t="str">
        <f>IF(AND(C314="pv",E314='UNC - PV'!$S$2,D314='UNC - PV'!$Q$2),"x",IF(AND(LEFT(C314,3)="eib",E314='UNC - EIB'!$V$2,D314='UNC - EIB'!$T$2),"x1",IF(AND(C314="pv",E314='LC - PV'!$R$2,D314='LC - PV'!$P$2),"x2",IF(AND(LEFT(C314,3)="eib",E314='LC - EIB'!$U$2,D314='LC - EIB'!$S$2),"x3",""))))</f>
        <v/>
      </c>
      <c r="B314" s="62">
        <f t="shared" si="25"/>
        <v>311</v>
      </c>
      <c r="C314" s="62" t="s">
        <v>144</v>
      </c>
      <c r="D314" s="67">
        <v>43194</v>
      </c>
      <c r="E314" s="65" t="s">
        <v>23</v>
      </c>
      <c r="F314" s="64" t="s">
        <v>366</v>
      </c>
      <c r="G314" s="71" t="s">
        <v>408</v>
      </c>
      <c r="H314" s="64" t="s">
        <v>368</v>
      </c>
      <c r="I314" s="65" t="s">
        <v>35</v>
      </c>
      <c r="J314" s="66"/>
      <c r="K314" s="67"/>
      <c r="L314" s="65"/>
      <c r="M314" s="65"/>
      <c r="N314" s="64" t="s">
        <v>493</v>
      </c>
      <c r="O314" s="68"/>
      <c r="P314" s="69">
        <v>52602660</v>
      </c>
      <c r="Q314" s="104"/>
      <c r="R314" s="131" t="str">
        <f>IF(AND(C314="pv",D314='UNC - PV'!$Q$2,LEFT(E314,1)="u",'UNC - PV'!$O$2="vnđ",TH!P314&lt;&gt;""),"p",IF(AND(C314="pv",D314='UNC - PV'!$Q$2,LEFT(E314,1)="u",'UNC - PV'!$O$2="usd",TH!O314&lt;&gt;""),"p1",IF(AND(C314="pv",D314='LC - PV'!$P$2,LEFT(E314,1)="l"),"p2",IF(AND(LEFT(C314,3)="EIB",D314='UNC - EIB'!$T$2,LEFT(E314,1)="u",'UNC - EIB'!$R$2="vnđ",TH!P314&lt;&gt;""),"e",IF(AND(LEFT(C314,3)="EIB",D314='UNC - EIB'!$T$2,LEFT(E314,1)="U",'UNC - EIB'!$R$2="usd",TH!O314&lt;&gt;""),"e1",IF(AND(LEFT(C314,3)="EIB",D314='LC - EIB'!$S$2,LEFT(E314,1)="l"),"e2",""))))))</f>
        <v/>
      </c>
    </row>
    <row r="315" spans="1:18" s="57" customFormat="1" ht="18.75" customHeight="1">
      <c r="A315" s="55" t="str">
        <f>IF(AND(C315="pv",E315='UNC - PV'!$S$2,D315='UNC - PV'!$Q$2),"x",IF(AND(LEFT(C315,3)="eib",E315='UNC - EIB'!$V$2,D315='UNC - EIB'!$T$2),"x1",IF(AND(C315="pv",E315='LC - PV'!$R$2,D315='LC - PV'!$P$2),"x2",IF(AND(LEFT(C315,3)="eib",E315='LC - EIB'!$U$2,D315='LC - EIB'!$S$2),"x3",""))))</f>
        <v/>
      </c>
      <c r="B315" s="62">
        <f t="shared" si="25"/>
        <v>312</v>
      </c>
      <c r="C315" s="62" t="s">
        <v>144</v>
      </c>
      <c r="D315" s="67">
        <v>43202</v>
      </c>
      <c r="E315" s="65" t="s">
        <v>23</v>
      </c>
      <c r="F315" s="107" t="s">
        <v>132</v>
      </c>
      <c r="G315" s="71" t="s">
        <v>405</v>
      </c>
      <c r="H315" s="64" t="s">
        <v>163</v>
      </c>
      <c r="I315" s="105" t="s">
        <v>10</v>
      </c>
      <c r="J315" s="56"/>
      <c r="K315" s="67"/>
      <c r="L315" s="65"/>
      <c r="M315" s="65"/>
      <c r="N315" s="64" t="s">
        <v>494</v>
      </c>
      <c r="O315" s="68"/>
      <c r="P315" s="69">
        <f>22775*60000</f>
        <v>1366500000</v>
      </c>
      <c r="Q315" s="104"/>
      <c r="R315" s="131" t="str">
        <f>IF(AND(C315="pv",D315='UNC - PV'!$Q$2,LEFT(E315,1)="u",'UNC - PV'!$O$2="vnđ",TH!P315&lt;&gt;""),"p",IF(AND(C315="pv",D315='UNC - PV'!$Q$2,LEFT(E315,1)="u",'UNC - PV'!$O$2="usd",TH!O315&lt;&gt;""),"p1",IF(AND(C315="pv",D315='LC - PV'!$P$2,LEFT(E315,1)="l"),"p2",IF(AND(LEFT(C315,3)="EIB",D315='UNC - EIB'!$T$2,LEFT(E315,1)="u",'UNC - EIB'!$R$2="vnđ",TH!P315&lt;&gt;""),"e",IF(AND(LEFT(C315,3)="EIB",D315='UNC - EIB'!$T$2,LEFT(E315,1)="U",'UNC - EIB'!$R$2="usd",TH!O315&lt;&gt;""),"e1",IF(AND(LEFT(C315,3)="EIB",D315='LC - EIB'!$S$2,LEFT(E315,1)="l"),"e2",""))))))</f>
        <v/>
      </c>
    </row>
    <row r="316" spans="1:18" s="57" customFormat="1" ht="18.75" customHeight="1">
      <c r="A316" s="55" t="str">
        <f>IF(AND(C316="pv",E316='UNC - PV'!$S$2,D316='UNC - PV'!$Q$2),"x",IF(AND(LEFT(C316,3)="eib",E316='UNC - EIB'!$V$2,D316='UNC - EIB'!$T$2),"x1",IF(AND(C316="pv",E316='LC - PV'!$R$2,D316='LC - PV'!$P$2),"x2",IF(AND(LEFT(C316,3)="eib",E316='LC - EIB'!$U$2,D316='LC - EIB'!$S$2),"x3",""))))</f>
        <v/>
      </c>
      <c r="B316" s="62">
        <f t="shared" si="25"/>
        <v>313</v>
      </c>
      <c r="C316" s="62" t="s">
        <v>144</v>
      </c>
      <c r="D316" s="67">
        <v>43206</v>
      </c>
      <c r="E316" s="65" t="s">
        <v>23</v>
      </c>
      <c r="F316" s="107" t="s">
        <v>132</v>
      </c>
      <c r="G316" s="71" t="s">
        <v>397</v>
      </c>
      <c r="H316" s="64" t="s">
        <v>398</v>
      </c>
      <c r="I316" s="105" t="s">
        <v>10</v>
      </c>
      <c r="J316" s="66"/>
      <c r="K316" s="67"/>
      <c r="L316" s="65"/>
      <c r="M316" s="65"/>
      <c r="N316" s="64" t="s">
        <v>399</v>
      </c>
      <c r="O316" s="68">
        <v>4000</v>
      </c>
      <c r="P316" s="69"/>
      <c r="Q316" s="104"/>
      <c r="R316" s="131" t="str">
        <f>IF(AND(C316="pv",D316='UNC - PV'!$Q$2,LEFT(E316,1)="u",'UNC - PV'!$O$2="vnđ",TH!P316&lt;&gt;""),"p",IF(AND(C316="pv",D316='UNC - PV'!$Q$2,LEFT(E316,1)="u",'UNC - PV'!$O$2="usd",TH!O316&lt;&gt;""),"p1",IF(AND(C316="pv",D316='LC - PV'!$P$2,LEFT(E316,1)="l"),"p2",IF(AND(LEFT(C316,3)="EIB",D316='UNC - EIB'!$T$2,LEFT(E316,1)="u",'UNC - EIB'!$R$2="vnđ",TH!P316&lt;&gt;""),"e",IF(AND(LEFT(C316,3)="EIB",D316='UNC - EIB'!$T$2,LEFT(E316,1)="U",'UNC - EIB'!$R$2="usd",TH!O316&lt;&gt;""),"e1",IF(AND(LEFT(C316,3)="EIB",D316='LC - EIB'!$S$2,LEFT(E316,1)="l"),"e2",""))))))</f>
        <v/>
      </c>
    </row>
    <row r="317" spans="1:18" s="57" customFormat="1" ht="18.75" customHeight="1">
      <c r="A317" s="55" t="str">
        <f>IF(AND(C317="pv",E317='UNC - PV'!$S$2,D317='UNC - PV'!$Q$2),"x",IF(AND(LEFT(C317,3)="eib",E317='UNC - EIB'!$V$2,D317='UNC - EIB'!$T$2),"x1",IF(AND(C317="pv",E317='LC - PV'!$R$2,D317='LC - PV'!$P$2),"x2",IF(AND(LEFT(C317,3)="eib",E317='LC - EIB'!$U$2,D317='LC - EIB'!$S$2),"x3",""))))</f>
        <v/>
      </c>
      <c r="B317" s="62">
        <f t="shared" si="25"/>
        <v>314</v>
      </c>
      <c r="C317" s="62" t="s">
        <v>144</v>
      </c>
      <c r="D317" s="67">
        <v>43207</v>
      </c>
      <c r="E317" s="65" t="s">
        <v>23</v>
      </c>
      <c r="F317" s="107" t="s">
        <v>133</v>
      </c>
      <c r="G317" s="114" t="s">
        <v>428</v>
      </c>
      <c r="H317" s="64" t="s">
        <v>427</v>
      </c>
      <c r="I317" s="105" t="s">
        <v>160</v>
      </c>
      <c r="J317" s="66"/>
      <c r="K317" s="67"/>
      <c r="L317" s="65"/>
      <c r="M317" s="65"/>
      <c r="N317" s="107" t="s">
        <v>487</v>
      </c>
      <c r="O317" s="68"/>
      <c r="P317" s="69">
        <v>240000000</v>
      </c>
      <c r="Q317" s="104"/>
      <c r="R317" s="131" t="str">
        <f>IF(AND(C317="pv",D317='UNC - PV'!$Q$2,LEFT(E317,1)="u",'UNC - PV'!$O$2="vnđ",TH!P317&lt;&gt;""),"p",IF(AND(C317="pv",D317='UNC - PV'!$Q$2,LEFT(E317,1)="u",'UNC - PV'!$O$2="usd",TH!O317&lt;&gt;""),"p1",IF(AND(C317="pv",D317='LC - PV'!$P$2,LEFT(E317,1)="l"),"p2",IF(AND(LEFT(C317,3)="EIB",D317='UNC - EIB'!$T$2,LEFT(E317,1)="u",'UNC - EIB'!$R$2="vnđ",TH!P317&lt;&gt;""),"e",IF(AND(LEFT(C317,3)="EIB",D317='UNC - EIB'!$T$2,LEFT(E317,1)="U",'UNC - EIB'!$R$2="usd",TH!O317&lt;&gt;""),"e1",IF(AND(LEFT(C317,3)="EIB",D317='LC - EIB'!$S$2,LEFT(E317,1)="l"),"e2",""))))))</f>
        <v/>
      </c>
    </row>
    <row r="318" spans="1:18" s="57" customFormat="1" ht="18.75" customHeight="1">
      <c r="A318" s="55" t="str">
        <f>IF(AND(C318="pv",E318='UNC - PV'!$S$2,D318='UNC - PV'!$Q$2),"x",IF(AND(LEFT(C318,3)="eib",E318='UNC - EIB'!$V$2,D318='UNC - EIB'!$T$2),"x1",IF(AND(C318="pv",E318='LC - PV'!$R$2,D318='LC - PV'!$P$2),"x2",IF(AND(LEFT(C318,3)="eib",E318='LC - EIB'!$U$2,D318='LC - EIB'!$S$2),"x3",""))))</f>
        <v/>
      </c>
      <c r="B318" s="62">
        <f t="shared" si="21"/>
        <v>315</v>
      </c>
      <c r="C318" s="62" t="s">
        <v>144</v>
      </c>
      <c r="D318" s="67">
        <v>43207</v>
      </c>
      <c r="E318" s="65" t="s">
        <v>24</v>
      </c>
      <c r="F318" s="64" t="s">
        <v>488</v>
      </c>
      <c r="G318" s="71" t="s">
        <v>489</v>
      </c>
      <c r="H318" s="64" t="s">
        <v>490</v>
      </c>
      <c r="I318" s="105" t="s">
        <v>10</v>
      </c>
      <c r="J318" s="66"/>
      <c r="K318" s="67"/>
      <c r="L318" s="65"/>
      <c r="M318" s="65"/>
      <c r="N318" s="64" t="s">
        <v>491</v>
      </c>
      <c r="O318" s="68"/>
      <c r="P318" s="69">
        <v>6000000</v>
      </c>
      <c r="Q318" s="104"/>
      <c r="R318" s="131" t="str">
        <f>IF(AND(C318="pv",D318='UNC - PV'!$Q$2,LEFT(E318,1)="u",'UNC - PV'!$O$2="vnđ",TH!P318&lt;&gt;""),"p",IF(AND(C318="pv",D318='UNC - PV'!$Q$2,LEFT(E318,1)="u",'UNC - PV'!$O$2="usd",TH!O318&lt;&gt;""),"p1",IF(AND(C318="pv",D318='LC - PV'!$P$2,LEFT(E318,1)="l"),"p2",IF(AND(LEFT(C318,3)="EIB",D318='UNC - EIB'!$T$2,LEFT(E318,1)="u",'UNC - EIB'!$R$2="vnđ",TH!P318&lt;&gt;""),"e",IF(AND(LEFT(C318,3)="EIB",D318='UNC - EIB'!$T$2,LEFT(E318,1)="U",'UNC - EIB'!$R$2="usd",TH!O318&lt;&gt;""),"e1",IF(AND(LEFT(C318,3)="EIB",D318='LC - EIB'!$S$2,LEFT(E318,1)="l"),"e2",""))))))</f>
        <v/>
      </c>
    </row>
    <row r="319" spans="1:18" s="57" customFormat="1" ht="18.75" customHeight="1">
      <c r="A319" s="55" t="str">
        <f>IF(AND(C319="pv",E319='UNC - PV'!$S$2,D319='UNC - PV'!$Q$2),"x",IF(AND(LEFT(C319,3)="eib",E319='UNC - EIB'!$V$2,D319='UNC - EIB'!$T$2),"x1",IF(AND(C319="pv",E319='LC - PV'!$R$2,D319='LC - PV'!$P$2),"x2",IF(AND(LEFT(C319,3)="eib",E319='LC - EIB'!$U$2,D319='LC - EIB'!$S$2),"x3",""))))</f>
        <v/>
      </c>
      <c r="B319" s="62">
        <f t="shared" si="21"/>
        <v>316</v>
      </c>
      <c r="C319" s="62" t="s">
        <v>144</v>
      </c>
      <c r="D319" s="67">
        <v>43207</v>
      </c>
      <c r="E319" s="65" t="s">
        <v>25</v>
      </c>
      <c r="F319" s="64" t="s">
        <v>99</v>
      </c>
      <c r="G319" s="71" t="s">
        <v>448</v>
      </c>
      <c r="H319" s="64" t="s">
        <v>101</v>
      </c>
      <c r="I319" s="62" t="s">
        <v>10</v>
      </c>
      <c r="J319" s="66"/>
      <c r="K319" s="67"/>
      <c r="L319" s="65"/>
      <c r="M319" s="65"/>
      <c r="N319" s="64" t="s">
        <v>102</v>
      </c>
      <c r="O319" s="68"/>
      <c r="P319" s="69">
        <v>100000000</v>
      </c>
      <c r="Q319" s="104"/>
      <c r="R319" s="131" t="str">
        <f>IF(AND(C319="pv",D319='UNC - PV'!$Q$2,LEFT(E319,1)="u",'UNC - PV'!$O$2="vnđ",TH!P319&lt;&gt;""),"p",IF(AND(C319="pv",D319='UNC - PV'!$Q$2,LEFT(E319,1)="u",'UNC - PV'!$O$2="usd",TH!O319&lt;&gt;""),"p1",IF(AND(C319="pv",D319='LC - PV'!$P$2,LEFT(E319,1)="l"),"p2",IF(AND(LEFT(C319,3)="EIB",D319='UNC - EIB'!$T$2,LEFT(E319,1)="u",'UNC - EIB'!$R$2="vnđ",TH!P319&lt;&gt;""),"e",IF(AND(LEFT(C319,3)="EIB",D319='UNC - EIB'!$T$2,LEFT(E319,1)="U",'UNC - EIB'!$R$2="usd",TH!O319&lt;&gt;""),"e1",IF(AND(LEFT(C319,3)="EIB",D319='LC - EIB'!$S$2,LEFT(E319,1)="l"),"e2",""))))))</f>
        <v/>
      </c>
    </row>
    <row r="320" spans="1:18" s="57" customFormat="1" ht="18.75" customHeight="1">
      <c r="A320" s="55" t="str">
        <f>IF(AND(C320="pv",E320='UNC - PV'!$S$2,D320='UNC - PV'!$Q$2),"x",IF(AND(LEFT(C320,3)="eib",E320='UNC - EIB'!$V$2,D320='UNC - EIB'!$T$2),"x1",IF(AND(C320="pv",E320='LC - PV'!$R$2,D320='LC - PV'!$P$2),"x2",IF(AND(LEFT(C320,3)="eib",E320='LC - EIB'!$U$2,D320='LC - EIB'!$S$2),"x3",""))))</f>
        <v/>
      </c>
      <c r="B320" s="62">
        <f t="shared" si="21"/>
        <v>317</v>
      </c>
      <c r="C320" s="62" t="s">
        <v>144</v>
      </c>
      <c r="D320" s="67">
        <v>43213</v>
      </c>
      <c r="E320" s="65" t="s">
        <v>23</v>
      </c>
      <c r="F320" s="107" t="s">
        <v>132</v>
      </c>
      <c r="G320" s="71" t="s">
        <v>397</v>
      </c>
      <c r="H320" s="64" t="s">
        <v>398</v>
      </c>
      <c r="I320" s="105" t="s">
        <v>10</v>
      </c>
      <c r="J320" s="66"/>
      <c r="K320" s="67"/>
      <c r="L320" s="65"/>
      <c r="M320" s="65"/>
      <c r="N320" s="64" t="s">
        <v>399</v>
      </c>
      <c r="O320" s="68">
        <v>36900</v>
      </c>
      <c r="P320" s="69"/>
      <c r="Q320" s="104"/>
      <c r="R320" s="131" t="str">
        <f>IF(AND(C320="pv",D320='UNC - PV'!$Q$2,LEFT(E320,1)="u",'UNC - PV'!$O$2="vnđ",TH!P320&lt;&gt;""),"p",IF(AND(C320="pv",D320='UNC - PV'!$Q$2,LEFT(E320,1)="u",'UNC - PV'!$O$2="usd",TH!O320&lt;&gt;""),"p1",IF(AND(C320="pv",D320='LC - PV'!$P$2,LEFT(E320,1)="l"),"p2",IF(AND(LEFT(C320,3)="EIB",D320='UNC - EIB'!$T$2,LEFT(E320,1)="u",'UNC - EIB'!$R$2="vnđ",TH!P320&lt;&gt;""),"e",IF(AND(LEFT(C320,3)="EIB",D320='UNC - EIB'!$T$2,LEFT(E320,1)="U",'UNC - EIB'!$R$2="usd",TH!O320&lt;&gt;""),"e1",IF(AND(LEFT(C320,3)="EIB",D320='LC - EIB'!$S$2,LEFT(E320,1)="l"),"e2",""))))))</f>
        <v/>
      </c>
    </row>
    <row r="321" spans="1:18" s="57" customFormat="1" ht="18.75" customHeight="1">
      <c r="A321" s="55" t="str">
        <f>IF(AND(C321="pv",E321='UNC - PV'!$S$2,D321='UNC - PV'!$Q$2),"x",IF(AND(LEFT(C321,3)="eib",E321='UNC - EIB'!$V$2,D321='UNC - EIB'!$T$2),"x1",IF(AND(C321="pv",E321='LC - PV'!$R$2,D321='LC - PV'!$P$2),"x2",IF(AND(LEFT(C321,3)="eib",E321='LC - EIB'!$U$2,D321='LC - EIB'!$S$2),"x3",""))))</f>
        <v/>
      </c>
      <c r="B321" s="62">
        <f t="shared" si="21"/>
        <v>318</v>
      </c>
      <c r="C321" s="62" t="s">
        <v>144</v>
      </c>
      <c r="D321" s="67">
        <v>43213</v>
      </c>
      <c r="E321" s="65" t="s">
        <v>24</v>
      </c>
      <c r="F321" s="107" t="s">
        <v>132</v>
      </c>
      <c r="G321" s="71" t="s">
        <v>405</v>
      </c>
      <c r="H321" s="64" t="s">
        <v>163</v>
      </c>
      <c r="I321" s="105" t="s">
        <v>10</v>
      </c>
      <c r="J321" s="56"/>
      <c r="K321" s="67"/>
      <c r="L321" s="65"/>
      <c r="M321" s="65"/>
      <c r="N321" s="64" t="s">
        <v>495</v>
      </c>
      <c r="O321" s="68"/>
      <c r="P321" s="69">
        <f>121000*22760</f>
        <v>2753960000</v>
      </c>
      <c r="Q321" s="104"/>
      <c r="R321" s="131" t="str">
        <f>IF(AND(C321="pv",D321='UNC - PV'!$Q$2,LEFT(E321,1)="u",'UNC - PV'!$O$2="vnđ",TH!P321&lt;&gt;""),"p",IF(AND(C321="pv",D321='UNC - PV'!$Q$2,LEFT(E321,1)="u",'UNC - PV'!$O$2="usd",TH!O321&lt;&gt;""),"p1",IF(AND(C321="pv",D321='LC - PV'!$P$2,LEFT(E321,1)="l"),"p2",IF(AND(LEFT(C321,3)="EIB",D321='UNC - EIB'!$T$2,LEFT(E321,1)="u",'UNC - EIB'!$R$2="vnđ",TH!P321&lt;&gt;""),"e",IF(AND(LEFT(C321,3)="EIB",D321='UNC - EIB'!$T$2,LEFT(E321,1)="U",'UNC - EIB'!$R$2="usd",TH!O321&lt;&gt;""),"e1",IF(AND(LEFT(C321,3)="EIB",D321='LC - EIB'!$S$2,LEFT(E321,1)="l"),"e2",""))))))</f>
        <v/>
      </c>
    </row>
    <row r="322" spans="1:18" s="57" customFormat="1" ht="18.75" customHeight="1">
      <c r="A322" s="55" t="str">
        <f>IF(AND(C322="pv",E322='UNC - PV'!$S$2,D322='UNC - PV'!$Q$2),"x",IF(AND(LEFT(C322,3)="eib",E322='UNC - EIB'!$V$2,D322='UNC - EIB'!$T$2),"x1",IF(AND(C322="pv",E322='LC - PV'!$R$2,D322='LC - PV'!$P$2),"x2",IF(AND(LEFT(C322,3)="eib",E322='LC - EIB'!$U$2,D322='LC - EIB'!$S$2),"x3",""))))</f>
        <v>x</v>
      </c>
      <c r="B322" s="62">
        <f t="shared" si="21"/>
        <v>319</v>
      </c>
      <c r="C322" s="62" t="s">
        <v>144</v>
      </c>
      <c r="D322" s="67">
        <v>43213</v>
      </c>
      <c r="E322" s="65" t="s">
        <v>25</v>
      </c>
      <c r="F322" s="107" t="s">
        <v>132</v>
      </c>
      <c r="G322" s="71" t="s">
        <v>405</v>
      </c>
      <c r="H322" s="64" t="s">
        <v>163</v>
      </c>
      <c r="I322" s="105" t="s">
        <v>10</v>
      </c>
      <c r="J322" s="56"/>
      <c r="K322" s="67"/>
      <c r="L322" s="65"/>
      <c r="M322" s="65"/>
      <c r="N322" s="64" t="s">
        <v>497</v>
      </c>
      <c r="O322" s="68"/>
      <c r="P322" s="69">
        <f>189000*22755</f>
        <v>4300695000</v>
      </c>
      <c r="Q322" s="104"/>
      <c r="R322" s="131" t="str">
        <f>IF(AND(C322="pv",D322='UNC - PV'!$Q$2,LEFT(E322,1)="u",'UNC - PV'!$O$2="vnđ",TH!P322&lt;&gt;""),"p",IF(AND(C322="pv",D322='UNC - PV'!$Q$2,LEFT(E322,1)="u",'UNC - PV'!$O$2="usd",TH!O322&lt;&gt;""),"p1",IF(AND(C322="pv",D322='LC - PV'!$P$2,LEFT(E322,1)="l"),"p2",IF(AND(LEFT(C322,3)="EIB",D322='UNC - EIB'!$T$2,LEFT(E322,1)="u",'UNC - EIB'!$R$2="vnđ",TH!P322&lt;&gt;""),"e",IF(AND(LEFT(C322,3)="EIB",D322='UNC - EIB'!$T$2,LEFT(E322,1)="U",'UNC - EIB'!$R$2="usd",TH!O322&lt;&gt;""),"e1",IF(AND(LEFT(C322,3)="EIB",D322='LC - EIB'!$S$2,LEFT(E322,1)="l"),"e2",""))))))</f>
        <v/>
      </c>
    </row>
    <row r="323" spans="1:18" s="57" customFormat="1" ht="18.75" customHeight="1">
      <c r="A323" s="55" t="str">
        <f>IF(AND(C323="pv",E323='UNC - PV'!$S$2,D323='UNC - PV'!$Q$2),"x",IF(AND(LEFT(C323,3)="eib",E323='UNC - EIB'!$V$2,D323='UNC - EIB'!$T$2),"x1",IF(AND(C323="pv",E323='LC - PV'!$R$2,D323='LC - PV'!$P$2),"x2",IF(AND(LEFT(C323,3)="eib",E323='LC - EIB'!$U$2,D323='LC - EIB'!$S$2),"x3",""))))</f>
        <v/>
      </c>
      <c r="B323" s="62">
        <f t="shared" ref="B323" si="26">IF(C323&lt;&gt;"",ROW()-3,"")</f>
        <v>320</v>
      </c>
      <c r="C323" s="62" t="s">
        <v>144</v>
      </c>
      <c r="D323" s="67">
        <v>43229</v>
      </c>
      <c r="E323" s="65" t="s">
        <v>25</v>
      </c>
      <c r="F323" s="107" t="s">
        <v>132</v>
      </c>
      <c r="G323" s="71" t="s">
        <v>405</v>
      </c>
      <c r="H323" s="64" t="s">
        <v>163</v>
      </c>
      <c r="I323" s="105" t="s">
        <v>10</v>
      </c>
      <c r="J323" s="56"/>
      <c r="K323" s="67"/>
      <c r="L323" s="65"/>
      <c r="M323" s="65"/>
      <c r="N323" s="64" t="s">
        <v>497</v>
      </c>
      <c r="O323" s="68"/>
      <c r="P323" s="69">
        <f>78000*22760</f>
        <v>1775280000</v>
      </c>
      <c r="Q323" s="104"/>
      <c r="R323" s="131" t="str">
        <f>IF(AND(C323="pv",D323='UNC - PV'!$Q$2,LEFT(E323,1)="u",'UNC - PV'!$O$2="vnđ",TH!P323&lt;&gt;""),"p",IF(AND(C323="pv",D323='UNC - PV'!$Q$2,LEFT(E323,1)="u",'UNC - PV'!$O$2="usd",TH!O323&lt;&gt;""),"p1",IF(AND(C323="pv",D323='LC - PV'!$P$2,LEFT(E323,1)="l"),"p2",IF(AND(LEFT(C323,3)="EIB",D323='UNC - EIB'!$T$2,LEFT(E323,1)="u",'UNC - EIB'!$R$2="vnđ",TH!P323&lt;&gt;""),"e",IF(AND(LEFT(C323,3)="EIB",D323='UNC - EIB'!$T$2,LEFT(E323,1)="U",'UNC - EIB'!$R$2="usd",TH!O323&lt;&gt;""),"e1",IF(AND(LEFT(C323,3)="EIB",D323='LC - EIB'!$S$2,LEFT(E323,1)="l"),"e2",""))))))</f>
        <v/>
      </c>
    </row>
    <row r="324" spans="1:18" s="57" customFormat="1" ht="18.75" customHeight="1">
      <c r="A324" s="55" t="str">
        <f>IF(AND(C324="pv",E324='UNC - PV'!$S$2,D324='UNC - PV'!$Q$2),"x",IF(AND(LEFT(C324,3)="eib",E324='UNC - EIB'!$V$2,D324='UNC - EIB'!$T$2),"x1",IF(AND(C324="pv",E324='LC - PV'!$R$2,D324='LC - PV'!$P$2),"x2",IF(AND(LEFT(C324,3)="eib",E324='LC - EIB'!$U$2,D324='LC - EIB'!$S$2),"x3",""))))</f>
        <v/>
      </c>
      <c r="B324" s="62">
        <f t="shared" si="10"/>
        <v>321</v>
      </c>
      <c r="C324" s="62" t="s">
        <v>144</v>
      </c>
      <c r="D324" s="67">
        <v>43231</v>
      </c>
      <c r="E324" s="65" t="s">
        <v>23</v>
      </c>
      <c r="F324" s="107" t="s">
        <v>132</v>
      </c>
      <c r="G324" s="71" t="s">
        <v>405</v>
      </c>
      <c r="H324" s="64" t="s">
        <v>163</v>
      </c>
      <c r="I324" s="105" t="s">
        <v>10</v>
      </c>
      <c r="J324" s="56"/>
      <c r="K324" s="67"/>
      <c r="L324" s="65"/>
      <c r="M324" s="65"/>
      <c r="N324" s="64" t="s">
        <v>498</v>
      </c>
      <c r="O324" s="68"/>
      <c r="P324" s="69">
        <f>89000*22759</f>
        <v>2025551000</v>
      </c>
      <c r="Q324" s="104"/>
      <c r="R324" s="131" t="str">
        <f>IF(AND(C324="pv",D324='UNC - PV'!$Q$2,LEFT(E324,1)="u",'UNC - PV'!$O$2="vnđ",TH!P324&lt;&gt;""),"p",IF(AND(C324="pv",D324='UNC - PV'!$Q$2,LEFT(E324,1)="u",'UNC - PV'!$O$2="usd",TH!O324&lt;&gt;""),"p1",IF(AND(C324="pv",D324='LC - PV'!$P$2,LEFT(E324,1)="l"),"p2",IF(AND(LEFT(C324,3)="EIB",D324='UNC - EIB'!$T$2,LEFT(E324,1)="u",'UNC - EIB'!$R$2="vnđ",TH!P324&lt;&gt;""),"e",IF(AND(LEFT(C324,3)="EIB",D324='UNC - EIB'!$T$2,LEFT(E324,1)="U",'UNC - EIB'!$R$2="usd",TH!O324&lt;&gt;""),"e1",IF(AND(LEFT(C324,3)="EIB",D324='LC - EIB'!$S$2,LEFT(E324,1)="l"),"e2",""))))))</f>
        <v/>
      </c>
    </row>
    <row r="325" spans="1:18" s="57" customFormat="1" ht="18.75" customHeight="1">
      <c r="A325" s="55" t="str">
        <f>IF(AND(C325="pv",E325='UNC - PV'!$S$2,D325='UNC - PV'!$Q$2),"x",IF(AND(LEFT(C325,3)="eib",E325='UNC - EIB'!$V$2,D325='UNC - EIB'!$T$2),"x1",IF(AND(C325="pv",E325='LC - PV'!$R$2,D325='LC - PV'!$P$2),"x2",IF(AND(LEFT(C325,3)="eib",E325='LC - EIB'!$U$2,D325='LC - EIB'!$S$2),"x3",""))))</f>
        <v/>
      </c>
      <c r="B325" s="62">
        <f t="shared" ref="B325" si="27">IF(C325&lt;&gt;"",ROW()-3,"")</f>
        <v>322</v>
      </c>
      <c r="C325" s="62" t="s">
        <v>144</v>
      </c>
      <c r="D325" s="67">
        <v>43231</v>
      </c>
      <c r="E325" s="65" t="s">
        <v>24</v>
      </c>
      <c r="F325" s="64" t="s">
        <v>314</v>
      </c>
      <c r="G325" s="71" t="s">
        <v>462</v>
      </c>
      <c r="H325" s="64" t="s">
        <v>316</v>
      </c>
      <c r="I325" s="62" t="s">
        <v>10</v>
      </c>
      <c r="J325" s="66"/>
      <c r="K325" s="67"/>
      <c r="L325" s="65"/>
      <c r="M325" s="65"/>
      <c r="N325" s="64" t="s">
        <v>478</v>
      </c>
      <c r="O325" s="68"/>
      <c r="P325" s="69">
        <v>100000000</v>
      </c>
      <c r="Q325" s="104"/>
      <c r="R325" s="131" t="str">
        <f>IF(AND(C325="pv",D325='UNC - PV'!$Q$2,LEFT(E325,1)="u",'UNC - PV'!$O$2="vnđ",TH!P325&lt;&gt;""),"p",IF(AND(C325="pv",D325='UNC - PV'!$Q$2,LEFT(E325,1)="u",'UNC - PV'!$O$2="usd",TH!O325&lt;&gt;""),"p1",IF(AND(C325="pv",D325='LC - PV'!$P$2,LEFT(E325,1)="l"),"p2",IF(AND(LEFT(C325,3)="EIB",D325='UNC - EIB'!$T$2,LEFT(E325,1)="u",'UNC - EIB'!$R$2="vnđ",TH!P325&lt;&gt;""),"e",IF(AND(LEFT(C325,3)="EIB",D325='UNC - EIB'!$T$2,LEFT(E325,1)="U",'UNC - EIB'!$R$2="usd",TH!O325&lt;&gt;""),"e1",IF(AND(LEFT(C325,3)="EIB",D325='LC - EIB'!$S$2,LEFT(E325,1)="l"),"e2",""))))))</f>
        <v/>
      </c>
    </row>
    <row r="326" spans="1:18" s="57" customFormat="1" ht="18.75" customHeight="1">
      <c r="A326" s="55" t="str">
        <f>IF(AND(C326="pv",E326='UNC - PV'!$S$2,D326='UNC - PV'!$Q$2),"x",IF(AND(LEFT(C326,3)="eib",E326='UNC - EIB'!$V$2,D326='UNC - EIB'!$T$2),"x1",IF(AND(C326="pv",E326='LC - PV'!$R$2,D326='LC - PV'!$P$2),"x2",IF(AND(LEFT(C326,3)="eib",E326='LC - EIB'!$U$2,D326='LC - EIB'!$S$2),"x3",""))))</f>
        <v/>
      </c>
      <c r="B326" s="62">
        <f t="shared" ref="B326" si="28">IF(C326&lt;&gt;"",ROW()-3,"")</f>
        <v>323</v>
      </c>
      <c r="C326" s="62" t="s">
        <v>144</v>
      </c>
      <c r="D326" s="67">
        <v>43234</v>
      </c>
      <c r="E326" s="65" t="s">
        <v>23</v>
      </c>
      <c r="F326" s="107" t="s">
        <v>132</v>
      </c>
      <c r="G326" s="71" t="s">
        <v>405</v>
      </c>
      <c r="H326" s="64" t="s">
        <v>163</v>
      </c>
      <c r="I326" s="105" t="s">
        <v>10</v>
      </c>
      <c r="J326" s="56"/>
      <c r="K326" s="67"/>
      <c r="L326" s="65"/>
      <c r="M326" s="65"/>
      <c r="N326" s="64" t="s">
        <v>499</v>
      </c>
      <c r="O326" s="68"/>
      <c r="P326" s="69">
        <f>52000*22758</f>
        <v>1183416000</v>
      </c>
      <c r="Q326" s="104"/>
      <c r="R326" s="131" t="str">
        <f>IF(AND(C326="pv",D326='UNC - PV'!$Q$2,LEFT(E326,1)="u",'UNC - PV'!$O$2="vnđ",TH!P326&lt;&gt;""),"p",IF(AND(C326="pv",D326='UNC - PV'!$Q$2,LEFT(E326,1)="u",'UNC - PV'!$O$2="usd",TH!O326&lt;&gt;""),"p1",IF(AND(C326="pv",D326='LC - PV'!$P$2,LEFT(E326,1)="l"),"p2",IF(AND(LEFT(C326,3)="EIB",D326='UNC - EIB'!$T$2,LEFT(E326,1)="u",'UNC - EIB'!$R$2="vnđ",TH!P326&lt;&gt;""),"e",IF(AND(LEFT(C326,3)="EIB",D326='UNC - EIB'!$T$2,LEFT(E326,1)="U",'UNC - EIB'!$R$2="usd",TH!O326&lt;&gt;""),"e1",IF(AND(LEFT(C326,3)="EIB",D326='LC - EIB'!$S$2,LEFT(E326,1)="l"),"e2",""))))))</f>
        <v/>
      </c>
    </row>
    <row r="327" spans="1:18" s="57" customFormat="1" ht="18.75" customHeight="1">
      <c r="A327" s="55" t="str">
        <f>IF(AND(C327="pv",E327='UNC - PV'!$S$2,D327='UNC - PV'!$Q$2),"x",IF(AND(LEFT(C327,3)="eib",E327='UNC - EIB'!$V$2,D327='UNC - EIB'!$T$2),"x1",IF(AND(C327="pv",E327='LC - PV'!$R$2,D327='LC - PV'!$P$2),"x2",IF(AND(LEFT(C327,3)="eib",E327='LC - EIB'!$U$2,D327='LC - EIB'!$S$2),"x3",""))))</f>
        <v/>
      </c>
      <c r="B327" s="62">
        <f t="shared" ref="B327:B342" si="29">IF(C327&lt;&gt;"",ROW()-3,"")</f>
        <v>324</v>
      </c>
      <c r="C327" s="62" t="s">
        <v>144</v>
      </c>
      <c r="D327" s="67">
        <v>43235</v>
      </c>
      <c r="E327" s="65" t="s">
        <v>23</v>
      </c>
      <c r="F327" s="64" t="s">
        <v>366</v>
      </c>
      <c r="G327" s="71" t="s">
        <v>408</v>
      </c>
      <c r="H327" s="64" t="s">
        <v>368</v>
      </c>
      <c r="I327" s="65" t="s">
        <v>35</v>
      </c>
      <c r="J327" s="66"/>
      <c r="K327" s="67"/>
      <c r="L327" s="65"/>
      <c r="M327" s="65"/>
      <c r="N327" s="64" t="s">
        <v>500</v>
      </c>
      <c r="O327" s="68"/>
      <c r="P327" s="69">
        <f>24771780+28057920</f>
        <v>52829700</v>
      </c>
      <c r="Q327" s="104"/>
      <c r="R327" s="131" t="str">
        <f>IF(AND(C327="pv",D327='UNC - PV'!$Q$2,LEFT(E327,1)="u",'UNC - PV'!$O$2="vnđ",TH!P327&lt;&gt;""),"p",IF(AND(C327="pv",D327='UNC - PV'!$Q$2,LEFT(E327,1)="u",'UNC - PV'!$O$2="usd",TH!O327&lt;&gt;""),"p1",IF(AND(C327="pv",D327='LC - PV'!$P$2,LEFT(E327,1)="l"),"p2",IF(AND(LEFT(C327,3)="EIB",D327='UNC - EIB'!$T$2,LEFT(E327,1)="u",'UNC - EIB'!$R$2="vnđ",TH!P327&lt;&gt;""),"e",IF(AND(LEFT(C327,3)="EIB",D327='UNC - EIB'!$T$2,LEFT(E327,1)="U",'UNC - EIB'!$R$2="usd",TH!O327&lt;&gt;""),"e1",IF(AND(LEFT(C327,3)="EIB",D327='LC - EIB'!$S$2,LEFT(E327,1)="l"),"e2",""))))))</f>
        <v/>
      </c>
    </row>
    <row r="328" spans="1:18" s="57" customFormat="1" ht="18.75" customHeight="1">
      <c r="A328" s="55" t="str">
        <f>IF(AND(C328="pv",E328='UNC - PV'!$S$2,D328='UNC - PV'!$Q$2),"x",IF(AND(LEFT(C328,3)="eib",E328='UNC - EIB'!$V$2,D328='UNC - EIB'!$T$2),"x1",IF(AND(C328="pv",E328='LC - PV'!$R$2,D328='LC - PV'!$P$2),"x2",IF(AND(LEFT(C328,3)="eib",E328='LC - EIB'!$U$2,D328='LC - EIB'!$S$2),"x3",""))))</f>
        <v/>
      </c>
      <c r="B328" s="62">
        <f t="shared" si="29"/>
        <v>325</v>
      </c>
      <c r="C328" s="62" t="s">
        <v>144</v>
      </c>
      <c r="D328" s="67">
        <v>43235</v>
      </c>
      <c r="E328" s="65" t="s">
        <v>24</v>
      </c>
      <c r="F328" s="125" t="s">
        <v>263</v>
      </c>
      <c r="G328" s="125" t="s">
        <v>264</v>
      </c>
      <c r="H328" s="125" t="s">
        <v>265</v>
      </c>
      <c r="I328" s="124" t="s">
        <v>10</v>
      </c>
      <c r="J328" s="126"/>
      <c r="K328" s="123"/>
      <c r="L328" s="124"/>
      <c r="M328" s="124"/>
      <c r="N328" s="125" t="s">
        <v>266</v>
      </c>
      <c r="O328" s="68"/>
      <c r="P328" s="69">
        <v>41977980</v>
      </c>
      <c r="Q328" s="104"/>
      <c r="R328" s="131" t="str">
        <f>IF(AND(C328="pv",D328='UNC - PV'!$Q$2,LEFT(E328,1)="u",'UNC - PV'!$O$2="vnđ",TH!P328&lt;&gt;""),"p",IF(AND(C328="pv",D328='UNC - PV'!$Q$2,LEFT(E328,1)="u",'UNC - PV'!$O$2="usd",TH!O328&lt;&gt;""),"p1",IF(AND(C328="pv",D328='LC - PV'!$P$2,LEFT(E328,1)="l"),"p2",IF(AND(LEFT(C328,3)="EIB",D328='UNC - EIB'!$T$2,LEFT(E328,1)="u",'UNC - EIB'!$R$2="vnđ",TH!P328&lt;&gt;""),"e",IF(AND(LEFT(C328,3)="EIB",D328='UNC - EIB'!$T$2,LEFT(E328,1)="U",'UNC - EIB'!$R$2="usd",TH!O328&lt;&gt;""),"e1",IF(AND(LEFT(C328,3)="EIB",D328='LC - EIB'!$S$2,LEFT(E328,1)="l"),"e2",""))))))</f>
        <v/>
      </c>
    </row>
    <row r="329" spans="1:18" s="57" customFormat="1" ht="18.75" hidden="1" customHeight="1">
      <c r="A329" s="55" t="str">
        <f>IF(AND(C329="pv",E329='UNC - PV'!$S$2,D329='UNC - PV'!$Q$2),"x",IF(AND(LEFT(C329,3)="eib",E329='UNC - EIB'!$V$2,D329='UNC - EIB'!$T$2),"x1",IF(AND(C329="pv",E329='LC - PV'!$R$2,D329='LC - PV'!$P$2),"x2",IF(AND(LEFT(C329,3)="eib",E329='LC - EIB'!$U$2,D329='LC - EIB'!$S$2),"x3",""))))</f>
        <v/>
      </c>
      <c r="B329" s="62" t="str">
        <f t="shared" si="29"/>
        <v/>
      </c>
      <c r="C329" s="62"/>
      <c r="D329" s="67"/>
      <c r="E329" s="65"/>
      <c r="F329" s="64"/>
      <c r="G329" s="64"/>
      <c r="H329" s="64"/>
      <c r="I329" s="65"/>
      <c r="J329" s="66"/>
      <c r="K329" s="67"/>
      <c r="L329" s="65"/>
      <c r="M329" s="65"/>
      <c r="N329" s="64"/>
      <c r="O329" s="68"/>
      <c r="P329" s="69"/>
      <c r="Q329" s="104"/>
      <c r="R329" s="131" t="str">
        <f>IF(AND(C329="pv",D329='UNC - PV'!$Q$2,LEFT(E329,1)="u",'UNC - PV'!$O$2="vnđ",TH!P329&lt;&gt;""),"p",IF(AND(C329="pv",D329='UNC - PV'!$Q$2,LEFT(E329,1)="u",'UNC - PV'!$O$2="usd",TH!O329&lt;&gt;""),"p1",IF(AND(C329="pv",D329='LC - PV'!$P$2,LEFT(E329,1)="l"),"p2",IF(AND(LEFT(C329,3)="EIB",D329='UNC - EIB'!$T$2,LEFT(E329,1)="u",'UNC - EIB'!$R$2="vnđ",TH!P329&lt;&gt;""),"e",IF(AND(LEFT(C329,3)="EIB",D329='UNC - EIB'!$T$2,LEFT(E329,1)="U",'UNC - EIB'!$R$2="usd",TH!O329&lt;&gt;""),"e1",IF(AND(LEFT(C329,3)="EIB",D329='LC - EIB'!$S$2,LEFT(E329,1)="l"),"e2",""))))))</f>
        <v/>
      </c>
    </row>
    <row r="330" spans="1:18" s="57" customFormat="1" ht="18.75" hidden="1" customHeight="1">
      <c r="A330" s="55" t="str">
        <f>IF(AND(C330="pv",E330='UNC - PV'!$S$2,D330='UNC - PV'!$Q$2),"x",IF(AND(LEFT(C330,3)="eib",E330='UNC - EIB'!$V$2,D330='UNC - EIB'!$T$2),"x1",IF(AND(C330="pv",E330='LC - PV'!$R$2,D330='LC - PV'!$P$2),"x2",IF(AND(LEFT(C330,3)="eib",E330='LC - EIB'!$U$2,D330='LC - EIB'!$S$2),"x3",""))))</f>
        <v/>
      </c>
      <c r="B330" s="62" t="str">
        <f t="shared" si="29"/>
        <v/>
      </c>
      <c r="C330" s="62"/>
      <c r="D330" s="67"/>
      <c r="E330" s="65"/>
      <c r="F330" s="64"/>
      <c r="G330" s="64"/>
      <c r="H330" s="64"/>
      <c r="I330" s="65"/>
      <c r="J330" s="66"/>
      <c r="K330" s="67"/>
      <c r="L330" s="65"/>
      <c r="M330" s="65"/>
      <c r="N330" s="64"/>
      <c r="O330" s="68"/>
      <c r="P330" s="69"/>
      <c r="Q330" s="104"/>
      <c r="R330" s="131" t="str">
        <f>IF(AND(C330="pv",D330='UNC - PV'!$Q$2,LEFT(E330,1)="u",'UNC - PV'!$O$2="vnđ",TH!P330&lt;&gt;""),"p",IF(AND(C330="pv",D330='UNC - PV'!$Q$2,LEFT(E330,1)="u",'UNC - PV'!$O$2="usd",TH!O330&lt;&gt;""),"p1",IF(AND(C330="pv",D330='LC - PV'!$P$2,LEFT(E330,1)="l"),"p2",IF(AND(LEFT(C330,3)="EIB",D330='UNC - EIB'!$T$2,LEFT(E330,1)="u",'UNC - EIB'!$R$2="vnđ",TH!P330&lt;&gt;""),"e",IF(AND(LEFT(C330,3)="EIB",D330='UNC - EIB'!$T$2,LEFT(E330,1)="U",'UNC - EIB'!$R$2="usd",TH!O330&lt;&gt;""),"e1",IF(AND(LEFT(C330,3)="EIB",D330='LC - EIB'!$S$2,LEFT(E330,1)="l"),"e2",""))))))</f>
        <v/>
      </c>
    </row>
    <row r="331" spans="1:18" s="57" customFormat="1" ht="18.75" hidden="1" customHeight="1">
      <c r="A331" s="55" t="str">
        <f>IF(AND(C331="pv",E331='UNC - PV'!$S$2,D331='UNC - PV'!$Q$2),"x",IF(AND(LEFT(C331,3)="eib",E331='UNC - EIB'!$V$2,D331='UNC - EIB'!$T$2),"x1",IF(AND(C331="pv",E331='LC - PV'!$R$2,D331='LC - PV'!$P$2),"x2",IF(AND(LEFT(C331,3)="eib",E331='LC - EIB'!$U$2,D331='LC - EIB'!$S$2),"x3",""))))</f>
        <v/>
      </c>
      <c r="B331" s="62" t="str">
        <f t="shared" si="29"/>
        <v/>
      </c>
      <c r="C331" s="62"/>
      <c r="D331" s="67"/>
      <c r="E331" s="65"/>
      <c r="F331" s="64"/>
      <c r="G331" s="64"/>
      <c r="H331" s="64"/>
      <c r="I331" s="65"/>
      <c r="J331" s="66"/>
      <c r="K331" s="67"/>
      <c r="L331" s="65"/>
      <c r="M331" s="65"/>
      <c r="N331" s="64"/>
      <c r="O331" s="68"/>
      <c r="P331" s="69"/>
      <c r="Q331" s="104"/>
      <c r="R331" s="131" t="str">
        <f>IF(AND(C331="pv",D331='UNC - PV'!$Q$2,LEFT(E331,1)="u",'UNC - PV'!$O$2="vnđ",TH!P331&lt;&gt;""),"p",IF(AND(C331="pv",D331='UNC - PV'!$Q$2,LEFT(E331,1)="u",'UNC - PV'!$O$2="usd",TH!O331&lt;&gt;""),"p1",IF(AND(C331="pv",D331='LC - PV'!$P$2,LEFT(E331,1)="l"),"p2",IF(AND(LEFT(C331,3)="EIB",D331='UNC - EIB'!$T$2,LEFT(E331,1)="u",'UNC - EIB'!$R$2="vnđ",TH!P331&lt;&gt;""),"e",IF(AND(LEFT(C331,3)="EIB",D331='UNC - EIB'!$T$2,LEFT(E331,1)="U",'UNC - EIB'!$R$2="usd",TH!O331&lt;&gt;""),"e1",IF(AND(LEFT(C331,3)="EIB",D331='LC - EIB'!$S$2,LEFT(E331,1)="l"),"e2",""))))))</f>
        <v/>
      </c>
    </row>
    <row r="332" spans="1:18" s="57" customFormat="1" ht="18.75" hidden="1" customHeight="1">
      <c r="A332" s="55" t="str">
        <f>IF(AND(C332="pv",E332='UNC - PV'!$S$2,D332='UNC - PV'!$Q$2),"x",IF(AND(LEFT(C332,3)="eib",E332='UNC - EIB'!$V$2,D332='UNC - EIB'!$T$2),"x1",IF(AND(C332="pv",E332='LC - PV'!$R$2,D332='LC - PV'!$P$2),"x2",IF(AND(LEFT(C332,3)="eib",E332='LC - EIB'!$U$2,D332='LC - EIB'!$S$2),"x3",""))))</f>
        <v/>
      </c>
      <c r="B332" s="62" t="str">
        <f t="shared" si="29"/>
        <v/>
      </c>
      <c r="C332" s="62"/>
      <c r="D332" s="67"/>
      <c r="E332" s="65"/>
      <c r="F332" s="64"/>
      <c r="G332" s="64"/>
      <c r="H332" s="64"/>
      <c r="I332" s="65"/>
      <c r="J332" s="66"/>
      <c r="K332" s="67"/>
      <c r="L332" s="65"/>
      <c r="M332" s="65"/>
      <c r="N332" s="64"/>
      <c r="O332" s="68"/>
      <c r="P332" s="69"/>
      <c r="Q332" s="104"/>
      <c r="R332" s="131" t="str">
        <f>IF(AND(C332="pv",D332='UNC - PV'!$Q$2,LEFT(E332,1)="u",'UNC - PV'!$O$2="vnđ",TH!P332&lt;&gt;""),"p",IF(AND(C332="pv",D332='UNC - PV'!$Q$2,LEFT(E332,1)="u",'UNC - PV'!$O$2="usd",TH!O332&lt;&gt;""),"p1",IF(AND(C332="pv",D332='LC - PV'!$P$2,LEFT(E332,1)="l"),"p2",IF(AND(LEFT(C332,3)="EIB",D332='UNC - EIB'!$T$2,LEFT(E332,1)="u",'UNC - EIB'!$R$2="vnđ",TH!P332&lt;&gt;""),"e",IF(AND(LEFT(C332,3)="EIB",D332='UNC - EIB'!$T$2,LEFT(E332,1)="U",'UNC - EIB'!$R$2="usd",TH!O332&lt;&gt;""),"e1",IF(AND(LEFT(C332,3)="EIB",D332='LC - EIB'!$S$2,LEFT(E332,1)="l"),"e2",""))))))</f>
        <v/>
      </c>
    </row>
    <row r="333" spans="1:18" s="57" customFormat="1" ht="18.75" hidden="1" customHeight="1">
      <c r="A333" s="55" t="str">
        <f>IF(AND(C333="pv",E333='UNC - PV'!$S$2,D333='UNC - PV'!$Q$2),"x",IF(AND(LEFT(C333,3)="eib",E333='UNC - EIB'!$V$2,D333='UNC - EIB'!$T$2),"x1",IF(AND(C333="pv",E333='LC - PV'!$R$2,D333='LC - PV'!$P$2),"x2",IF(AND(LEFT(C333,3)="eib",E333='LC - EIB'!$U$2,D333='LC - EIB'!$S$2),"x3",""))))</f>
        <v/>
      </c>
      <c r="B333" s="62" t="str">
        <f t="shared" si="29"/>
        <v/>
      </c>
      <c r="C333" s="62"/>
      <c r="D333" s="67"/>
      <c r="E333" s="65"/>
      <c r="F333" s="64"/>
      <c r="G333" s="64"/>
      <c r="H333" s="64"/>
      <c r="I333" s="65"/>
      <c r="J333" s="66"/>
      <c r="K333" s="67"/>
      <c r="L333" s="65"/>
      <c r="M333" s="65"/>
      <c r="N333" s="64"/>
      <c r="O333" s="68"/>
      <c r="P333" s="69"/>
      <c r="Q333" s="104"/>
      <c r="R333" s="131" t="str">
        <f>IF(AND(C333="pv",D333='UNC - PV'!$Q$2,LEFT(E333,1)="u",'UNC - PV'!$O$2="vnđ",TH!P333&lt;&gt;""),"p",IF(AND(C333="pv",D333='UNC - PV'!$Q$2,LEFT(E333,1)="u",'UNC - PV'!$O$2="usd",TH!O333&lt;&gt;""),"p1",IF(AND(C333="pv",D333='LC - PV'!$P$2,LEFT(E333,1)="l"),"p2",IF(AND(LEFT(C333,3)="EIB",D333='UNC - EIB'!$T$2,LEFT(E333,1)="u",'UNC - EIB'!$R$2="vnđ",TH!P333&lt;&gt;""),"e",IF(AND(LEFT(C333,3)="EIB",D333='UNC - EIB'!$T$2,LEFT(E333,1)="U",'UNC - EIB'!$R$2="usd",TH!O333&lt;&gt;""),"e1",IF(AND(LEFT(C333,3)="EIB",D333='LC - EIB'!$S$2,LEFT(E333,1)="l"),"e2",""))))))</f>
        <v/>
      </c>
    </row>
    <row r="334" spans="1:18" s="57" customFormat="1" ht="18.75" hidden="1" customHeight="1">
      <c r="A334" s="55" t="str">
        <f>IF(AND(C334="pv",E334='UNC - PV'!$S$2,D334='UNC - PV'!$Q$2),"x",IF(AND(LEFT(C334,3)="eib",E334='UNC - EIB'!$V$2,D334='UNC - EIB'!$T$2),"x1",IF(AND(C334="pv",E334='LC - PV'!$R$2,D334='LC - PV'!$P$2),"x2",IF(AND(LEFT(C334,3)="eib",E334='LC - EIB'!$U$2,D334='LC - EIB'!$S$2),"x3",""))))</f>
        <v/>
      </c>
      <c r="B334" s="62" t="str">
        <f t="shared" si="29"/>
        <v/>
      </c>
      <c r="C334" s="62"/>
      <c r="D334" s="67"/>
      <c r="E334" s="65"/>
      <c r="F334" s="64"/>
      <c r="G334" s="64"/>
      <c r="H334" s="64"/>
      <c r="I334" s="65"/>
      <c r="J334" s="66"/>
      <c r="K334" s="67"/>
      <c r="L334" s="65"/>
      <c r="M334" s="65"/>
      <c r="N334" s="64"/>
      <c r="O334" s="68"/>
      <c r="P334" s="69"/>
      <c r="Q334" s="104"/>
      <c r="R334" s="131" t="str">
        <f>IF(AND(C334="pv",D334='UNC - PV'!$Q$2,LEFT(E334,1)="u",'UNC - PV'!$O$2="vnđ",TH!P334&lt;&gt;""),"p",IF(AND(C334="pv",D334='UNC - PV'!$Q$2,LEFT(E334,1)="u",'UNC - PV'!$O$2="usd",TH!O334&lt;&gt;""),"p1",IF(AND(C334="pv",D334='LC - PV'!$P$2,LEFT(E334,1)="l"),"p2",IF(AND(LEFT(C334,3)="EIB",D334='UNC - EIB'!$T$2,LEFT(E334,1)="u",'UNC - EIB'!$R$2="vnđ",TH!P334&lt;&gt;""),"e",IF(AND(LEFT(C334,3)="EIB",D334='UNC - EIB'!$T$2,LEFT(E334,1)="U",'UNC - EIB'!$R$2="usd",TH!O334&lt;&gt;""),"e1",IF(AND(LEFT(C334,3)="EIB",D334='LC - EIB'!$S$2,LEFT(E334,1)="l"),"e2",""))))))</f>
        <v/>
      </c>
    </row>
    <row r="335" spans="1:18" s="57" customFormat="1" ht="18.75" hidden="1" customHeight="1">
      <c r="A335" s="55" t="str">
        <f>IF(AND(C335="pv",E335='UNC - PV'!$S$2,D335='UNC - PV'!$Q$2),"x",IF(AND(LEFT(C335,3)="eib",E335='UNC - EIB'!$V$2,D335='UNC - EIB'!$T$2),"x1",IF(AND(C335="pv",E335='LC - PV'!$R$2,D335='LC - PV'!$P$2),"x2",IF(AND(LEFT(C335,3)="eib",E335='LC - EIB'!$U$2,D335='LC - EIB'!$S$2),"x3",""))))</f>
        <v/>
      </c>
      <c r="B335" s="62" t="str">
        <f t="shared" si="29"/>
        <v/>
      </c>
      <c r="C335" s="62"/>
      <c r="D335" s="67"/>
      <c r="E335" s="65"/>
      <c r="F335" s="64"/>
      <c r="G335" s="64"/>
      <c r="H335" s="64"/>
      <c r="I335" s="65"/>
      <c r="J335" s="66"/>
      <c r="K335" s="67"/>
      <c r="L335" s="65"/>
      <c r="M335" s="65"/>
      <c r="N335" s="64"/>
      <c r="O335" s="68"/>
      <c r="P335" s="69"/>
      <c r="Q335" s="104"/>
      <c r="R335" s="131" t="str">
        <f>IF(AND(C335="pv",D335='UNC - PV'!$Q$2,LEFT(E335,1)="u",'UNC - PV'!$O$2="vnđ",TH!P335&lt;&gt;""),"p",IF(AND(C335="pv",D335='UNC - PV'!$Q$2,LEFT(E335,1)="u",'UNC - PV'!$O$2="usd",TH!O335&lt;&gt;""),"p1",IF(AND(C335="pv",D335='LC - PV'!$P$2,LEFT(E335,1)="l"),"p2",IF(AND(LEFT(C335,3)="EIB",D335='UNC - EIB'!$T$2,LEFT(E335,1)="u",'UNC - EIB'!$R$2="vnđ",TH!P335&lt;&gt;""),"e",IF(AND(LEFT(C335,3)="EIB",D335='UNC - EIB'!$T$2,LEFT(E335,1)="U",'UNC - EIB'!$R$2="usd",TH!O335&lt;&gt;""),"e1",IF(AND(LEFT(C335,3)="EIB",D335='LC - EIB'!$S$2,LEFT(E335,1)="l"),"e2",""))))))</f>
        <v/>
      </c>
    </row>
    <row r="336" spans="1:18" s="57" customFormat="1" ht="18.75" hidden="1" customHeight="1">
      <c r="A336" s="55" t="str">
        <f>IF(AND(C336="pv",E336='UNC - PV'!$S$2,D336='UNC - PV'!$Q$2),"x",IF(AND(LEFT(C336,3)="eib",E336='UNC - EIB'!$V$2,D336='UNC - EIB'!$T$2),"x1",IF(AND(C336="pv",E336='LC - PV'!$R$2,D336='LC - PV'!$P$2),"x2",IF(AND(LEFT(C336,3)="eib",E336='LC - EIB'!$U$2,D336='LC - EIB'!$S$2),"x3",""))))</f>
        <v/>
      </c>
      <c r="B336" s="62" t="str">
        <f t="shared" si="29"/>
        <v/>
      </c>
      <c r="C336" s="62"/>
      <c r="D336" s="67"/>
      <c r="E336" s="65"/>
      <c r="F336" s="64"/>
      <c r="G336" s="64"/>
      <c r="H336" s="64"/>
      <c r="I336" s="65"/>
      <c r="J336" s="66"/>
      <c r="K336" s="67"/>
      <c r="L336" s="65"/>
      <c r="M336" s="65"/>
      <c r="N336" s="64"/>
      <c r="O336" s="68"/>
      <c r="P336" s="69"/>
      <c r="Q336" s="104"/>
      <c r="R336" s="131" t="str">
        <f>IF(AND(C336="pv",D336='UNC - PV'!$Q$2,LEFT(E336,1)="u",'UNC - PV'!$O$2="vnđ",TH!P336&lt;&gt;""),"p",IF(AND(C336="pv",D336='UNC - PV'!$Q$2,LEFT(E336,1)="u",'UNC - PV'!$O$2="usd",TH!O336&lt;&gt;""),"p1",IF(AND(C336="pv",D336='LC - PV'!$P$2,LEFT(E336,1)="l"),"p2",IF(AND(LEFT(C336,3)="EIB",D336='UNC - EIB'!$T$2,LEFT(E336,1)="u",'UNC - EIB'!$R$2="vnđ",TH!P336&lt;&gt;""),"e",IF(AND(LEFT(C336,3)="EIB",D336='UNC - EIB'!$T$2,LEFT(E336,1)="U",'UNC - EIB'!$R$2="usd",TH!O336&lt;&gt;""),"e1",IF(AND(LEFT(C336,3)="EIB",D336='LC - EIB'!$S$2,LEFT(E336,1)="l"),"e2",""))))))</f>
        <v/>
      </c>
    </row>
    <row r="337" spans="1:18" s="57" customFormat="1" ht="18.75" hidden="1" customHeight="1">
      <c r="A337" s="55" t="str">
        <f>IF(AND(C337="pv",E337='UNC - PV'!$S$2,D337='UNC - PV'!$Q$2),"x",IF(AND(LEFT(C337,3)="eib",E337='UNC - EIB'!$V$2,D337='UNC - EIB'!$T$2),"x1",IF(AND(C337="pv",E337='LC - PV'!$R$2,D337='LC - PV'!$P$2),"x2",IF(AND(LEFT(C337,3)="eib",E337='LC - EIB'!$U$2,D337='LC - EIB'!$S$2),"x3",""))))</f>
        <v/>
      </c>
      <c r="B337" s="62" t="str">
        <f t="shared" si="29"/>
        <v/>
      </c>
      <c r="C337" s="62"/>
      <c r="D337" s="67"/>
      <c r="E337" s="65"/>
      <c r="F337" s="64"/>
      <c r="G337" s="64"/>
      <c r="H337" s="64"/>
      <c r="I337" s="65"/>
      <c r="J337" s="66"/>
      <c r="K337" s="67"/>
      <c r="L337" s="65"/>
      <c r="M337" s="65"/>
      <c r="N337" s="64"/>
      <c r="O337" s="68"/>
      <c r="P337" s="69"/>
      <c r="Q337" s="104"/>
      <c r="R337" s="131" t="str">
        <f>IF(AND(C337="pv",D337='UNC - PV'!$Q$2,LEFT(E337,1)="u",'UNC - PV'!$O$2="vnđ",TH!P337&lt;&gt;""),"p",IF(AND(C337="pv",D337='UNC - PV'!$Q$2,LEFT(E337,1)="u",'UNC - PV'!$O$2="usd",TH!O337&lt;&gt;""),"p1",IF(AND(C337="pv",D337='LC - PV'!$P$2,LEFT(E337,1)="l"),"p2",IF(AND(LEFT(C337,3)="EIB",D337='UNC - EIB'!$T$2,LEFT(E337,1)="u",'UNC - EIB'!$R$2="vnđ",TH!P337&lt;&gt;""),"e",IF(AND(LEFT(C337,3)="EIB",D337='UNC - EIB'!$T$2,LEFT(E337,1)="U",'UNC - EIB'!$R$2="usd",TH!O337&lt;&gt;""),"e1",IF(AND(LEFT(C337,3)="EIB",D337='LC - EIB'!$S$2,LEFT(E337,1)="l"),"e2",""))))))</f>
        <v/>
      </c>
    </row>
    <row r="338" spans="1:18" s="57" customFormat="1" ht="18.75" hidden="1" customHeight="1">
      <c r="A338" s="55" t="str">
        <f>IF(AND(C338="pv",E338='UNC - PV'!$S$2,D338='UNC - PV'!$Q$2),"x",IF(AND(LEFT(C338,3)="eib",E338='UNC - EIB'!$V$2,D338='UNC - EIB'!$T$2),"x1",IF(AND(C338="pv",E338='LC - PV'!$R$2,D338='LC - PV'!$P$2),"x2",IF(AND(LEFT(C338,3)="eib",E338='LC - EIB'!$U$2,D338='LC - EIB'!$S$2),"x3",""))))</f>
        <v/>
      </c>
      <c r="B338" s="62" t="str">
        <f t="shared" ref="B338:B339" si="30">IF(C338&lt;&gt;"",ROW()-3,"")</f>
        <v/>
      </c>
      <c r="C338" s="62"/>
      <c r="D338" s="67"/>
      <c r="E338" s="65"/>
      <c r="F338" s="64"/>
      <c r="G338" s="64"/>
      <c r="H338" s="64"/>
      <c r="I338" s="65"/>
      <c r="J338" s="66"/>
      <c r="K338" s="67"/>
      <c r="L338" s="65"/>
      <c r="M338" s="65"/>
      <c r="N338" s="64"/>
      <c r="O338" s="68"/>
      <c r="P338" s="69"/>
      <c r="Q338" s="104"/>
      <c r="R338" s="131" t="str">
        <f>IF(AND(C338="pv",D338='UNC - PV'!$Q$2,LEFT(E338,1)="u",'UNC - PV'!$O$2="vnđ",TH!P338&lt;&gt;""),"p",IF(AND(C338="pv",D338='UNC - PV'!$Q$2,LEFT(E338,1)="u",'UNC - PV'!$O$2="usd",TH!O338&lt;&gt;""),"p1",IF(AND(C338="pv",D338='LC - PV'!$P$2,LEFT(E338,1)="l"),"p2",IF(AND(LEFT(C338,3)="EIB",D338='UNC - EIB'!$T$2,LEFT(E338,1)="u",'UNC - EIB'!$R$2="vnđ",TH!P338&lt;&gt;""),"e",IF(AND(LEFT(C338,3)="EIB",D338='UNC - EIB'!$T$2,LEFT(E338,1)="U",'UNC - EIB'!$R$2="usd",TH!O338&lt;&gt;""),"e1",IF(AND(LEFT(C338,3)="EIB",D338='LC - EIB'!$S$2,LEFT(E338,1)="l"),"e2",""))))))</f>
        <v/>
      </c>
    </row>
    <row r="339" spans="1:18" s="57" customFormat="1" ht="18.75" hidden="1" customHeight="1">
      <c r="A339" s="55" t="str">
        <f>IF(AND(C339="pv",E339='UNC - PV'!$S$2,D339='UNC - PV'!$Q$2),"x",IF(AND(LEFT(C339,3)="eib",E339='UNC - EIB'!$V$2,D339='UNC - EIB'!$T$2),"x1",IF(AND(C339="pv",E339='LC - PV'!$R$2,D339='LC - PV'!$P$2),"x2",IF(AND(LEFT(C339,3)="eib",E339='LC - EIB'!$U$2,D339='LC - EIB'!$S$2),"x3",""))))</f>
        <v/>
      </c>
      <c r="B339" s="62" t="str">
        <f t="shared" si="30"/>
        <v/>
      </c>
      <c r="C339" s="62"/>
      <c r="D339" s="67"/>
      <c r="E339" s="65"/>
      <c r="F339" s="64"/>
      <c r="G339" s="64"/>
      <c r="H339" s="64"/>
      <c r="I339" s="65"/>
      <c r="J339" s="66"/>
      <c r="K339" s="67"/>
      <c r="L339" s="65"/>
      <c r="M339" s="65"/>
      <c r="N339" s="64"/>
      <c r="O339" s="68"/>
      <c r="P339" s="69"/>
      <c r="Q339" s="104"/>
      <c r="R339" s="131" t="str">
        <f>IF(AND(C339="pv",D339='UNC - PV'!$Q$2,LEFT(E339,1)="u",'UNC - PV'!$O$2="vnđ",TH!P339&lt;&gt;""),"p",IF(AND(C339="pv",D339='UNC - PV'!$Q$2,LEFT(E339,1)="u",'UNC - PV'!$O$2="usd",TH!O339&lt;&gt;""),"p1",IF(AND(C339="pv",D339='LC - PV'!$P$2,LEFT(E339,1)="l"),"p2",IF(AND(LEFT(C339,3)="EIB",D339='UNC - EIB'!$T$2,LEFT(E339,1)="u",'UNC - EIB'!$R$2="vnđ",TH!P339&lt;&gt;""),"e",IF(AND(LEFT(C339,3)="EIB",D339='UNC - EIB'!$T$2,LEFT(E339,1)="U",'UNC - EIB'!$R$2="usd",TH!O339&lt;&gt;""),"e1",IF(AND(LEFT(C339,3)="EIB",D339='LC - EIB'!$S$2,LEFT(E339,1)="l"),"e2",""))))))</f>
        <v/>
      </c>
    </row>
    <row r="340" spans="1:18" s="57" customFormat="1" ht="18.75" hidden="1" customHeight="1">
      <c r="A340" s="55" t="str">
        <f>IF(AND(C340="pv",E340='UNC - PV'!$S$2,D340='UNC - PV'!$Q$2),"x",IF(AND(LEFT(C340,3)="eib",E340='UNC - EIB'!$V$2,D340='UNC - EIB'!$T$2),"x1",IF(AND(C340="pv",E340='LC - PV'!$R$2,D340='LC - PV'!$P$2),"x2",IF(AND(LEFT(C340,3)="eib",E340='LC - EIB'!$U$2,D340='LC - EIB'!$S$2),"x3",""))))</f>
        <v/>
      </c>
      <c r="B340" s="62" t="str">
        <f t="shared" ref="B340:B341" si="31">IF(C340&lt;&gt;"",ROW()-3,"")</f>
        <v/>
      </c>
      <c r="C340" s="62"/>
      <c r="D340" s="67"/>
      <c r="E340" s="65"/>
      <c r="F340" s="64"/>
      <c r="G340" s="64"/>
      <c r="H340" s="64"/>
      <c r="I340" s="65"/>
      <c r="J340" s="66"/>
      <c r="K340" s="67"/>
      <c r="L340" s="65"/>
      <c r="M340" s="65"/>
      <c r="N340" s="64"/>
      <c r="O340" s="68"/>
      <c r="P340" s="69"/>
      <c r="Q340" s="104"/>
      <c r="R340" s="131" t="str">
        <f>IF(AND(C340="pv",D340='UNC - PV'!$Q$2,LEFT(E340,1)="u",'UNC - PV'!$O$2="vnđ",TH!P340&lt;&gt;""),"p",IF(AND(C340="pv",D340='UNC - PV'!$Q$2,LEFT(E340,1)="u",'UNC - PV'!$O$2="usd",TH!O340&lt;&gt;""),"p1",IF(AND(C340="pv",D340='LC - PV'!$P$2,LEFT(E340,1)="l"),"p2",IF(AND(LEFT(C340,3)="EIB",D340='UNC - EIB'!$T$2,LEFT(E340,1)="u",'UNC - EIB'!$R$2="vnđ",TH!P340&lt;&gt;""),"e",IF(AND(LEFT(C340,3)="EIB",D340='UNC - EIB'!$T$2,LEFT(E340,1)="U",'UNC - EIB'!$R$2="usd",TH!O340&lt;&gt;""),"e1",IF(AND(LEFT(C340,3)="EIB",D340='LC - EIB'!$S$2,LEFT(E340,1)="l"),"e2",""))))))</f>
        <v/>
      </c>
    </row>
    <row r="341" spans="1:18" s="57" customFormat="1" ht="18.75" hidden="1" customHeight="1">
      <c r="A341" s="55" t="str">
        <f>IF(AND(C341="pv",E341='UNC - PV'!$S$2,D341='UNC - PV'!$Q$2),"x",IF(AND(LEFT(C341,3)="eib",E341='UNC - EIB'!$V$2,D341='UNC - EIB'!$T$2),"x1",IF(AND(C341="pv",E341='LC - PV'!$R$2,D341='LC - PV'!$P$2),"x2",IF(AND(LEFT(C341,3)="eib",E341='LC - EIB'!$U$2,D341='LC - EIB'!$S$2),"x3",""))))</f>
        <v/>
      </c>
      <c r="B341" s="62" t="str">
        <f t="shared" si="31"/>
        <v/>
      </c>
      <c r="C341" s="62"/>
      <c r="D341" s="67"/>
      <c r="E341" s="65"/>
      <c r="F341" s="64"/>
      <c r="G341" s="64"/>
      <c r="H341" s="64"/>
      <c r="I341" s="65"/>
      <c r="J341" s="66"/>
      <c r="K341" s="67"/>
      <c r="L341" s="65"/>
      <c r="M341" s="65"/>
      <c r="N341" s="64"/>
      <c r="O341" s="68"/>
      <c r="P341" s="69"/>
      <c r="Q341" s="104"/>
      <c r="R341" s="131" t="str">
        <f>IF(AND(C341="pv",D341='UNC - PV'!$Q$2,LEFT(E341,1)="u",'UNC - PV'!$O$2="vnđ",TH!P341&lt;&gt;""),"p",IF(AND(C341="pv",D341='UNC - PV'!$Q$2,LEFT(E341,1)="u",'UNC - PV'!$O$2="usd",TH!O341&lt;&gt;""),"p1",IF(AND(C341="pv",D341='LC - PV'!$P$2,LEFT(E341,1)="l"),"p2",IF(AND(LEFT(C341,3)="EIB",D341='UNC - EIB'!$T$2,LEFT(E341,1)="u",'UNC - EIB'!$R$2="vnđ",TH!P341&lt;&gt;""),"e",IF(AND(LEFT(C341,3)="EIB",D341='UNC - EIB'!$T$2,LEFT(E341,1)="U",'UNC - EIB'!$R$2="usd",TH!O341&lt;&gt;""),"e1",IF(AND(LEFT(C341,3)="EIB",D341='LC - EIB'!$S$2,LEFT(E341,1)="l"),"e2",""))))))</f>
        <v/>
      </c>
    </row>
    <row r="342" spans="1:18" s="57" customFormat="1" ht="18.75" hidden="1" customHeight="1">
      <c r="A342" s="55" t="str">
        <f>IF(AND(C342="pv",E342='UNC - PV'!$S$2,D342='UNC - PV'!$Q$2),"x",IF(AND(LEFT(C342,3)="eib",E342='UNC - EIB'!$V$2,D342='UNC - EIB'!$T$2),"x1",IF(AND(C342="pv",E342='LC - PV'!$R$2,D342='LC - PV'!$P$2),"x2",IF(AND(LEFT(C342,3)="eib",E342='LC - EIB'!$U$2,D342='LC - EIB'!$S$2),"x3",""))))</f>
        <v/>
      </c>
      <c r="B342" s="62" t="str">
        <f t="shared" si="29"/>
        <v/>
      </c>
      <c r="C342" s="62"/>
      <c r="D342" s="67"/>
      <c r="E342" s="65"/>
      <c r="F342" s="64"/>
      <c r="G342" s="64"/>
      <c r="H342" s="64"/>
      <c r="I342" s="65"/>
      <c r="J342" s="66"/>
      <c r="K342" s="67"/>
      <c r="L342" s="65"/>
      <c r="M342" s="65"/>
      <c r="N342" s="64"/>
      <c r="O342" s="68"/>
      <c r="P342" s="69"/>
      <c r="Q342" s="104"/>
      <c r="R342" s="131" t="str">
        <f>IF(AND(C342="pv",D342='UNC - PV'!$Q$2,LEFT(E342,1)="u",'UNC - PV'!$O$2="vnđ",TH!P342&lt;&gt;""),"p",IF(AND(C342="pv",D342='UNC - PV'!$Q$2,LEFT(E342,1)="u",'UNC - PV'!$O$2="usd",TH!O342&lt;&gt;""),"p1",IF(AND(C342="pv",D342='LC - PV'!$P$2,LEFT(E342,1)="l"),"p2",IF(AND(LEFT(C342,3)="EIB",D342='UNC - EIB'!$T$2,LEFT(E342,1)="u",'UNC - EIB'!$R$2="vnđ",TH!P342&lt;&gt;""),"e",IF(AND(LEFT(C342,3)="EIB",D342='UNC - EIB'!$T$2,LEFT(E342,1)="U",'UNC - EIB'!$R$2="usd",TH!O342&lt;&gt;""),"e1",IF(AND(LEFT(C342,3)="EIB",D342='LC - EIB'!$S$2,LEFT(E342,1)="l"),"e2",""))))))</f>
        <v/>
      </c>
    </row>
    <row r="343" spans="1:18" s="57" customFormat="1" ht="18.75" hidden="1" customHeight="1">
      <c r="A343" s="55" t="str">
        <f>IF(AND(C343="pv",E343='UNC - PV'!$S$2,D343='UNC - PV'!$Q$2),"x",IF(AND(LEFT(C343,3)="eib",E343='UNC - EIB'!$V$2,D343='UNC - EIB'!$T$2),"x1",IF(AND(C343="pv",E343='LC - PV'!$R$2,D343='LC - PV'!$P$2),"x2",IF(AND(LEFT(C343,3)="eib",E343='LC - EIB'!$U$2,D343='LC - EIB'!$S$2),"x3",""))))</f>
        <v/>
      </c>
      <c r="B343" s="62" t="str">
        <f t="shared" si="0"/>
        <v/>
      </c>
      <c r="C343" s="62"/>
      <c r="D343" s="67"/>
      <c r="E343" s="65"/>
      <c r="F343" s="64"/>
      <c r="G343" s="64"/>
      <c r="H343" s="64"/>
      <c r="I343" s="65"/>
      <c r="J343" s="66"/>
      <c r="K343" s="67"/>
      <c r="L343" s="65"/>
      <c r="M343" s="65"/>
      <c r="N343" s="64"/>
      <c r="O343" s="68"/>
      <c r="P343" s="69"/>
      <c r="Q343" s="104"/>
      <c r="R343" s="131" t="str">
        <f>IF(AND(C343="pv",D343='UNC - PV'!$Q$2,LEFT(E343,1)="u",'UNC - PV'!$O$2="vnđ",TH!P343&lt;&gt;""),"p",IF(AND(C343="pv",D343='UNC - PV'!$Q$2,LEFT(E343,1)="u",'UNC - PV'!$O$2="usd",TH!O343&lt;&gt;""),"p1",IF(AND(C343="pv",D343='LC - PV'!$P$2,LEFT(E343,1)="l"),"p2",IF(AND(LEFT(C343,3)="EIB",D343='UNC - EIB'!$T$2,LEFT(E343,1)="u",'UNC - EIB'!$R$2="vnđ",TH!P343&lt;&gt;""),"e",IF(AND(LEFT(C343,3)="EIB",D343='UNC - EIB'!$T$2,LEFT(E343,1)="U",'UNC - EIB'!$R$2="usd",TH!O343&lt;&gt;""),"e1",IF(AND(LEFT(C343,3)="EIB",D343='LC - EIB'!$S$2,LEFT(E343,1)="l"),"e2",""))))))</f>
        <v/>
      </c>
    </row>
    <row r="344" spans="1:18" ht="18.75" hidden="1" customHeight="1"/>
  </sheetData>
  <autoFilter ref="B3:X344">
    <filterColumn colId="1">
      <filters>
        <filter val="PV"/>
      </filters>
    </filterColumn>
  </autoFilter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343">
      <formula1>"PV,EIB-Q4,EIB-Q11,EIB-TV"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1.710937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2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20.25" customHeight="1" thickBot="1">
      <c r="O2" s="13" t="s">
        <v>496</v>
      </c>
      <c r="Q2" s="10">
        <v>43213</v>
      </c>
      <c r="R2" s="11"/>
      <c r="S2" s="12" t="s">
        <v>25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6" s="1" t="s">
        <v>7</v>
      </c>
    </row>
    <row r="7" spans="1:19" ht="22.5" customHeight="1">
      <c r="F7" s="180">
        <f>IF(OR($O$2="VNĐ",$O$2="TAMP"),VLOOKUP("X",DS,16,0),VLOOKUP("X",DS,15,0))</f>
        <v>4300695000</v>
      </c>
      <c r="G7" s="180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Bốn tỷ, ba trăm triệu, sáu trăm chín mươi lăm ngàn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tiền theo KUNN số 52 -10206/2017/KUNN/PVN-DN.GĐ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1070 0026 8615</v>
      </c>
    </row>
    <row r="16" spans="1:19" ht="15" customHeight="1">
      <c r="E16" s="1" t="str">
        <f>VLOOKUP("X",DS,8,0)&amp;", "&amp;VLOOKUP("X",DS,9,0)</f>
        <v>PVCombank - CN Gia Định,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2.5703125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496</v>
      </c>
    </row>
    <row r="3" spans="1:15" ht="19.5" customHeight="1"/>
    <row r="4" spans="1:15" ht="18.75" customHeight="1">
      <c r="G4" s="1" t="s">
        <v>2</v>
      </c>
    </row>
    <row r="5" spans="1:15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1">
        <f>IF(OR($O$2="VNĐ",$O$2="TAMP"),VLOOKUP("X",DS,16,0),VLOOKUP("X",DS,15,0))</f>
        <v>4300695000</v>
      </c>
      <c r="G6" s="181"/>
      <c r="K6" s="1" t="str">
        <f>IF(OR(O2="vnđ",O2="TAMP"),"x","")</f>
        <v>x</v>
      </c>
      <c r="L6" s="1" t="str">
        <f>IF(O2="usd","x","")</f>
        <v/>
      </c>
    </row>
    <row r="7" spans="1:15" ht="17.25" customHeight="1">
      <c r="F7" s="1" t="str">
        <f>[1]!VND(F6,FALSE)&amp;IF($O$2="USD"," đô la mỹ."," đồng.")</f>
        <v>Bốn tỷ, ba trăm triệu, sáu trăm chín mươi lăm ngàn đồng.</v>
      </c>
    </row>
    <row r="8" spans="1:15" ht="16.5" customHeight="1">
      <c r="G8" s="1" t="s">
        <v>3</v>
      </c>
    </row>
    <row r="9" spans="1:15" ht="21" customHeight="1">
      <c r="F9" s="1" t="str">
        <f>VLOOKUP("X",DS,14,0)</f>
        <v>Chuyển tiền theo KUNN số 52 -10206/2017/KUNN/PVN-DN.GĐ</v>
      </c>
    </row>
    <row r="11" spans="1:15" ht="25.5" customHeight="1">
      <c r="F11" s="14" t="str">
        <f>VLOOKUP("X",DS,6,0)</f>
        <v>CTY TNHH HẢI SẢN AN LẠC</v>
      </c>
      <c r="G11" s="14"/>
    </row>
    <row r="12" spans="1:15" ht="17.25" customHeight="1"/>
    <row r="13" spans="1:15" ht="16.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23" activePane="bottomLeft" state="frozen"/>
      <selection pane="bottomLeft" activeCell="E14" sqref="E14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496</v>
      </c>
    </row>
    <row r="3" spans="1:15" ht="23.2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0">
        <f>IF(OR($O$2="VNĐ",$O$2="TAMP"),VLOOKUP("X",DS,16,0),VLOOKUP("X",DS,15,0))</f>
        <v>4300695000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Bốn tỷ, ba trăm triệu, sáu trăm chín mươi lăm ngàn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Chuyển tiền theo KUNN số 52 -10206/2017/KUNN/PVN-DN.GĐ</v>
      </c>
      <c r="M9" s="151"/>
    </row>
    <row r="10" spans="1:15" ht="18" customHeight="1">
      <c r="F10" s="14" t="str">
        <f>VLOOKUP("X",DS,6,0)</f>
        <v>CTY TNHH HẢI SẢN AN LẠC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5.7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4300695000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Bốn tỷ, ba trăm triệu, sáu trăm chín mươi lăm ngàn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Chuyển tiền theo KUNN số 52 -10206/2017/KUNN/PVN-DN.GĐ</v>
      </c>
      <c r="M9" s="151"/>
    </row>
    <row r="10" spans="1:15" ht="18" customHeight="1">
      <c r="F10" s="14" t="str">
        <f>VLOOKUP("X",DS,6,0)</f>
        <v>CTY TNHH HẢI SẢN AN LẠC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tabSelected="1" view="pageBreakPreview" zoomScaleSheetLayoutView="100" workbookViewId="0">
      <pane ySplit="18" topLeftCell="A19" activePane="bottomLeft" state="frozen"/>
      <selection activeCell="T4" sqref="T4"/>
      <selection pane="bottomLeft" activeCell="H12" sqref="H12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2    5    7    0    0    0   0    4    8    0    1    5</v>
      </c>
      <c r="L7" s="7" t="s">
        <v>7</v>
      </c>
    </row>
    <row r="8" spans="1:12" ht="20.25" customHeight="1">
      <c r="F8" s="180">
        <f>IF(OR('UNC - PV'!$O$2="VNĐ",'UNC - PV'!$O$2="TAMP"),VLOOKUP("X",DS,16,0),VLOOKUP("X",DS,15,0))</f>
        <v>4300695000</v>
      </c>
      <c r="G8" s="180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Bốn tỷ, ba trăm triệu, sáu trăm chín mươi lăm ngàn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Chuyển tiền theo KUNN số 52 -10206/2017/KUNN/PVN-DN.GĐ</v>
      </c>
    </row>
    <row r="13" spans="1:12" ht="21" customHeight="1">
      <c r="F13" s="133" t="str">
        <f>VLOOKUP("X",DS,6,0)</f>
        <v>CTY TNHH HẢI SẢN AN LẠC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1070 0026 8615</v>
      </c>
    </row>
    <row r="17" spans="5:5" ht="15" customHeight="1">
      <c r="E17" s="7" t="str">
        <f>VLOOKUP("X",DS,8,0)&amp;", "&amp;VLOOKUP("X",DS,9,0)</f>
        <v>PVCombank - CN Gia Định,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G25" sqref="G25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E1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28</v>
      </c>
      <c r="T2" s="10">
        <v>43103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1402 148 5102 8153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Chín mươi tám ngàn, hai trăm đô la mỹ.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82" t="s">
        <v>63</v>
      </c>
      <c r="O20" s="182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83" t="s">
        <v>64</v>
      </c>
      <c r="O21" s="183"/>
      <c r="P21" s="32"/>
    </row>
    <row r="22" spans="1:16">
      <c r="A22" s="18"/>
      <c r="B22" s="18"/>
      <c r="M22" s="31"/>
      <c r="N22" s="152">
        <f>IF($R$2="VNĐ",VLOOKUP("X1",DS,16,0),VLOOKUP("X1",DS,15,0))</f>
        <v>98200</v>
      </c>
      <c r="O22" s="44" t="str">
        <f>R2</f>
        <v>USD</v>
      </c>
      <c r="P22" s="32"/>
    </row>
    <row r="23" spans="1:16" ht="15" customHeight="1">
      <c r="A23" s="17" t="s">
        <v>65</v>
      </c>
      <c r="B23" s="15"/>
      <c r="C23" s="52" t="str">
        <f>VLOOKUP("X1",DS,14,0)</f>
        <v>BÁN NT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80">
        <f>VLOOKUP("X2",DS,16,0)</f>
        <v>1100000000</v>
      </c>
      <c r="F8" s="18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87">
        <f>VLOOKUP("X3",DS,11,0)</f>
        <v>41051</v>
      </c>
      <c r="M17" s="187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84" t="s">
        <v>63</v>
      </c>
      <c r="O21" s="185"/>
      <c r="P21" s="185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86" t="s">
        <v>64</v>
      </c>
      <c r="O22" s="183"/>
      <c r="P22" s="183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</vt:lpstr>
      <vt:lpstr>UNC - PV</vt:lpstr>
      <vt:lpstr>UNC - PV (3)</vt:lpstr>
      <vt:lpstr>UNC - PV (2)</vt:lpstr>
      <vt:lpstr>UNC - PV (4)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'UNC - PV (2)'!Print_Area</vt:lpstr>
      <vt:lpstr>'UNC - PV (3)'!Print_Area</vt:lpstr>
      <vt:lpstr>'UNC - PV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2018-05-15T06:56:34Z</cp:lastPrinted>
  <dcterms:created xsi:type="dcterms:W3CDTF">2016-07-02T08:51:17Z</dcterms:created>
  <dcterms:modified xsi:type="dcterms:W3CDTF">2018-05-15T06:59:20Z</dcterms:modified>
</cp:coreProperties>
</file>