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45" windowWidth="21840" windowHeight="8835" activeTab="3"/>
  </bookViews>
  <sheets>
    <sheet name="TH" sheetId="5" r:id="rId1"/>
    <sheet name="UNC - PV" sheetId="2" r:id="rId2"/>
    <sheet name="UNC - PV (3)" sheetId="20" r:id="rId3"/>
    <sheet name="UNC - PV (2)" sheetId="19" r:id="rId4"/>
    <sheet name="UNC - KM" sheetId="18" r:id="rId5"/>
    <sheet name="UNC - EIB" sheetId="6" r:id="rId6"/>
    <sheet name="LC - PV" sheetId="4" r:id="rId7"/>
    <sheet name="LC - EIB" sheetId="7" r:id="rId8"/>
    <sheet name="U&amp;P" sheetId="8" r:id="rId9"/>
  </sheets>
  <externalReferences>
    <externalReference r:id="rId10"/>
  </externalReferences>
  <definedNames>
    <definedName name="_Fill" localSheetId="8" hidden="1">#REF!</definedName>
    <definedName name="_Fill" localSheetId="3" hidden="1">#REF!</definedName>
    <definedName name="_Fill" localSheetId="2" hidden="1">#REF!</definedName>
    <definedName name="_Fill" hidden="1">#REF!</definedName>
    <definedName name="_xlnm._FilterDatabase" localSheetId="0" hidden="1">TH!$B$3:$X$288</definedName>
    <definedName name="Dong">IF(Loai="p1",ROW(Loai)-1,"")</definedName>
    <definedName name="DS">TH!$A$4:$Q$287</definedName>
    <definedName name="Loai">OFFSET(TH!$R$4,,,COUNTA(TH!$R$4:$R$39858))</definedName>
    <definedName name="N_1">TH!$R$4:$R$287</definedName>
    <definedName name="_xlnm.Print_Area" localSheetId="7">'LC - EIB'!$A$1:$Q$33</definedName>
    <definedName name="_xlnm.Print_Area" localSheetId="6">'LC - PV'!$A$1:$N$18</definedName>
    <definedName name="_xlnm.Print_Area" localSheetId="5">'UNC - EIB'!$A$1:$P$32</definedName>
    <definedName name="_xlnm.Print_Area" localSheetId="4">'UNC - KM'!$A$1:$M$18</definedName>
    <definedName name="_xlnm.Print_Area" localSheetId="1">'UNC - PV'!$A$1:$M$17</definedName>
    <definedName name="_xlnm.Print_Area" localSheetId="3">'UNC - PV (2)'!$A$1:$M$16</definedName>
    <definedName name="_xlnm.Print_Area" localSheetId="2">'UNC - PV (3)'!$A$1:$M$16</definedName>
  </definedNames>
  <calcPr calcId="144525" iterate="1"/>
</workbook>
</file>

<file path=xl/calcChain.xml><?xml version="1.0" encoding="utf-8"?>
<calcChain xmlns="http://schemas.openxmlformats.org/spreadsheetml/2006/main">
  <c r="P276" i="5" l="1"/>
  <c r="P275" i="5" l="1"/>
  <c r="P274" i="5" l="1"/>
  <c r="P273" i="5" l="1"/>
  <c r="P272" i="5" l="1"/>
  <c r="R258" i="5" l="1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P270" i="5" l="1"/>
  <c r="P269" i="5" l="1"/>
  <c r="P267" i="5" l="1"/>
  <c r="B265" i="5" l="1"/>
  <c r="A265" i="5"/>
  <c r="P263" i="5" l="1"/>
  <c r="P262" i="5"/>
  <c r="P260" i="5" l="1"/>
  <c r="P259" i="5" l="1"/>
  <c r="P258" i="5"/>
  <c r="B259" i="5"/>
  <c r="A259" i="5"/>
  <c r="B258" i="5"/>
  <c r="A258" i="5"/>
  <c r="P256" i="5" l="1"/>
  <c r="P255" i="5" l="1"/>
  <c r="B269" i="5" l="1"/>
  <c r="A269" i="5"/>
  <c r="B268" i="5"/>
  <c r="A268" i="5"/>
  <c r="B267" i="5"/>
  <c r="A267" i="5"/>
  <c r="B266" i="5"/>
  <c r="A266" i="5"/>
  <c r="B264" i="5"/>
  <c r="A264" i="5"/>
  <c r="B263" i="5"/>
  <c r="A263" i="5"/>
  <c r="B262" i="5"/>
  <c r="A262" i="5"/>
  <c r="B261" i="5"/>
  <c r="A261" i="5"/>
  <c r="B260" i="5"/>
  <c r="A260" i="5"/>
  <c r="R257" i="5"/>
  <c r="B257" i="5"/>
  <c r="A257" i="5"/>
  <c r="R256" i="5"/>
  <c r="B256" i="5"/>
  <c r="A256" i="5"/>
  <c r="R255" i="5"/>
  <c r="B255" i="5"/>
  <c r="A255" i="5"/>
  <c r="R254" i="5"/>
  <c r="B254" i="5"/>
  <c r="A254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R281" i="5"/>
  <c r="B281" i="5"/>
  <c r="A281" i="5"/>
  <c r="R280" i="5"/>
  <c r="B280" i="5"/>
  <c r="A280" i="5"/>
  <c r="R279" i="5"/>
  <c r="B279" i="5"/>
  <c r="A279" i="5"/>
  <c r="B278" i="5"/>
  <c r="A278" i="5"/>
  <c r="B277" i="5"/>
  <c r="A277" i="5"/>
  <c r="B276" i="5"/>
  <c r="A276" i="5"/>
  <c r="E7" i="18"/>
  <c r="P252" i="5"/>
  <c r="P246" i="5" l="1"/>
  <c r="R6" i="5" l="1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82" i="5"/>
  <c r="R283" i="5"/>
  <c r="R284" i="5"/>
  <c r="R285" i="5"/>
  <c r="R286" i="5"/>
  <c r="R287" i="5"/>
  <c r="P237" i="5" l="1"/>
  <c r="B242" i="5" l="1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P234" i="5"/>
  <c r="P233" i="5"/>
  <c r="B228" i="5" l="1"/>
  <c r="A228" i="5"/>
  <c r="B226" i="5" l="1"/>
  <c r="A226" i="5"/>
  <c r="B225" i="5"/>
  <c r="A225" i="5"/>
  <c r="P213" i="5" l="1"/>
  <c r="L6" i="20" l="1"/>
  <c r="K6" i="20"/>
  <c r="E5" i="20"/>
  <c r="A1" i="20"/>
  <c r="L6" i="19"/>
  <c r="K6" i="19"/>
  <c r="E5" i="19"/>
  <c r="A1" i="19"/>
  <c r="P198" i="5" l="1"/>
  <c r="P205" i="5" l="1"/>
  <c r="R205" i="5" s="1"/>
  <c r="B212" i="5" l="1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227" i="5"/>
  <c r="A227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51" i="5"/>
  <c r="A251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L8" i="18"/>
  <c r="K8" i="18"/>
  <c r="A1" i="18"/>
  <c r="K7" i="2" l="1"/>
  <c r="E6" i="2"/>
  <c r="P195" i="5" l="1"/>
  <c r="P194" i="5"/>
  <c r="P181" i="5" l="1"/>
  <c r="B183" i="5" l="1"/>
  <c r="A183" i="5"/>
  <c r="B182" i="5"/>
  <c r="A182" i="5"/>
  <c r="B181" i="5"/>
  <c r="A181" i="5"/>
  <c r="B180" i="5"/>
  <c r="A180" i="5"/>
  <c r="B179" i="5"/>
  <c r="A179" i="5"/>
  <c r="B178" i="5"/>
  <c r="A178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252" i="5"/>
  <c r="A252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71" i="5" l="1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283" i="5"/>
  <c r="A283" i="5"/>
  <c r="B282" i="5"/>
  <c r="A282" i="5"/>
  <c r="B253" i="5"/>
  <c r="A253" i="5"/>
  <c r="B159" i="5" l="1"/>
  <c r="A159" i="5"/>
  <c r="B158" i="5"/>
  <c r="A158" i="5"/>
  <c r="B157" i="5"/>
  <c r="A157" i="5"/>
  <c r="B156" i="5"/>
  <c r="A156" i="5"/>
  <c r="B285" i="5"/>
  <c r="A285" i="5"/>
  <c r="B284" i="5"/>
  <c r="A284" i="5"/>
  <c r="B286" i="5"/>
  <c r="A286" i="5"/>
  <c r="P124" i="5" l="1"/>
  <c r="B131" i="5"/>
  <c r="B127" i="5"/>
  <c r="B126" i="5"/>
  <c r="B125" i="5"/>
  <c r="B124" i="5"/>
  <c r="B123" i="5"/>
  <c r="B122" i="5"/>
  <c r="B121" i="5"/>
  <c r="B120" i="5"/>
  <c r="B119" i="5"/>
  <c r="B118" i="5"/>
  <c r="B140" i="5"/>
  <c r="B139" i="5"/>
  <c r="B138" i="5"/>
  <c r="B137" i="5"/>
  <c r="B136" i="5"/>
  <c r="B135" i="5"/>
  <c r="B134" i="5"/>
  <c r="B133" i="5"/>
  <c r="B130" i="5"/>
  <c r="B129" i="5"/>
  <c r="B128" i="5"/>
  <c r="B132" i="5"/>
  <c r="B148" i="5"/>
  <c r="B147" i="5"/>
  <c r="B146" i="5"/>
  <c r="B145" i="5"/>
  <c r="B144" i="5"/>
  <c r="B143" i="5"/>
  <c r="B142" i="5"/>
  <c r="B141" i="5"/>
  <c r="A127" i="5"/>
  <c r="A123" i="5"/>
  <c r="A119" i="5"/>
  <c r="A124" i="5"/>
  <c r="A131" i="5"/>
  <c r="A125" i="5"/>
  <c r="A121" i="5"/>
  <c r="A126" i="5"/>
  <c r="A122" i="5"/>
  <c r="A118" i="5"/>
  <c r="A120" i="5"/>
  <c r="A135" i="5"/>
  <c r="A129" i="5"/>
  <c r="A130" i="5"/>
  <c r="A140" i="5"/>
  <c r="A137" i="5"/>
  <c r="A133" i="5"/>
  <c r="A132" i="5"/>
  <c r="A138" i="5"/>
  <c r="A134" i="5"/>
  <c r="A128" i="5"/>
  <c r="A139" i="5"/>
  <c r="A136" i="5"/>
  <c r="A146" i="5"/>
  <c r="A142" i="5"/>
  <c r="A147" i="5"/>
  <c r="A143" i="5"/>
  <c r="A148" i="5"/>
  <c r="A144" i="5"/>
  <c r="A141" i="5"/>
  <c r="A145" i="5"/>
  <c r="P99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49" i="5"/>
  <c r="B150" i="5"/>
  <c r="B151" i="5"/>
  <c r="B152" i="5"/>
  <c r="B153" i="5"/>
  <c r="B154" i="5"/>
  <c r="P95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49" i="5"/>
  <c r="A150" i="5"/>
  <c r="A151" i="5"/>
  <c r="A152" i="5"/>
  <c r="A153" i="5"/>
  <c r="A154" i="5"/>
  <c r="A155" i="5"/>
  <c r="A287" i="5"/>
  <c r="B88" i="5"/>
  <c r="B89" i="5"/>
  <c r="B90" i="5"/>
  <c r="B91" i="5"/>
  <c r="B92" i="5"/>
  <c r="B93" i="5"/>
  <c r="B94" i="5"/>
  <c r="B95" i="5"/>
  <c r="R5" i="5"/>
  <c r="B74" i="5"/>
  <c r="B73" i="5"/>
  <c r="P70" i="5"/>
  <c r="P69" i="5"/>
  <c r="R69" i="5" s="1"/>
  <c r="P65" i="5"/>
  <c r="B60" i="5"/>
  <c r="B59" i="5"/>
  <c r="B58" i="5"/>
  <c r="B57" i="5"/>
  <c r="B56" i="5"/>
  <c r="B55" i="5"/>
  <c r="B68" i="5"/>
  <c r="B67" i="5"/>
  <c r="B66" i="5"/>
  <c r="B65" i="5"/>
  <c r="B64" i="5"/>
  <c r="B63" i="5"/>
  <c r="B62" i="5"/>
  <c r="B61" i="5"/>
  <c r="B78" i="5"/>
  <c r="B77" i="5"/>
  <c r="B76" i="5"/>
  <c r="B75" i="5"/>
  <c r="B72" i="5"/>
  <c r="B71" i="5"/>
  <c r="B70" i="5"/>
  <c r="B69" i="5"/>
  <c r="B82" i="5"/>
  <c r="B81" i="5"/>
  <c r="B80" i="5"/>
  <c r="B79" i="5"/>
  <c r="B86" i="5"/>
  <c r="B85" i="5"/>
  <c r="B84" i="5"/>
  <c r="B83" i="5"/>
  <c r="P25" i="5"/>
  <c r="R4" i="5"/>
  <c r="A4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A1" i="6"/>
  <c r="O22" i="6"/>
  <c r="B5" i="5"/>
  <c r="B6" i="5"/>
  <c r="B7" i="5"/>
  <c r="B8" i="5"/>
  <c r="B9" i="5"/>
  <c r="B10" i="5"/>
  <c r="B11" i="5"/>
  <c r="B12" i="5"/>
  <c r="B13" i="5"/>
  <c r="B44" i="5"/>
  <c r="B45" i="5"/>
  <c r="B46" i="5"/>
  <c r="B47" i="5"/>
  <c r="B48" i="5"/>
  <c r="B49" i="5"/>
  <c r="B50" i="5"/>
  <c r="B51" i="5"/>
  <c r="B52" i="5"/>
  <c r="B53" i="5"/>
  <c r="B54" i="5"/>
  <c r="B87" i="5"/>
  <c r="B155" i="5"/>
  <c r="B287" i="5"/>
  <c r="B4" i="5"/>
  <c r="A1" i="2"/>
  <c r="L7" i="2"/>
  <c r="L9" i="19" l="1"/>
  <c r="E15" i="20"/>
  <c r="E15" i="19"/>
  <c r="E14" i="20"/>
  <c r="F11" i="20"/>
  <c r="E14" i="19"/>
  <c r="F9" i="20"/>
  <c r="F10" i="19"/>
  <c r="F6" i="19"/>
  <c r="F6" i="20"/>
  <c r="F8" i="18"/>
  <c r="E17" i="18"/>
  <c r="E16" i="18"/>
  <c r="F13" i="18"/>
  <c r="F11" i="18"/>
  <c r="O23" i="7"/>
  <c r="F7" i="2"/>
  <c r="C18" i="6"/>
  <c r="J13" i="4"/>
  <c r="H13" i="4"/>
  <c r="L15" i="7"/>
  <c r="E13" i="4"/>
  <c r="E8" i="4"/>
  <c r="F12" i="4"/>
  <c r="C7" i="7"/>
  <c r="C12" i="6"/>
  <c r="E14" i="4"/>
  <c r="H16" i="4"/>
  <c r="C24" i="7"/>
  <c r="L19" i="7"/>
  <c r="H11" i="7"/>
  <c r="F12" i="2"/>
  <c r="F10" i="2"/>
  <c r="C16" i="6"/>
  <c r="C14" i="6"/>
  <c r="C8" i="6"/>
  <c r="N22" i="6"/>
  <c r="E15" i="2"/>
  <c r="H10" i="6"/>
  <c r="C23" i="6"/>
  <c r="I13" i="4"/>
  <c r="N13" i="4"/>
  <c r="C9" i="7"/>
  <c r="L17" i="7"/>
  <c r="C6" i="6"/>
  <c r="E16" i="2"/>
  <c r="C13" i="7"/>
  <c r="F7" i="19"/>
  <c r="C20" i="6"/>
  <c r="F9" i="18"/>
  <c r="F7" i="20"/>
  <c r="F9" i="4"/>
  <c r="C21" i="7"/>
  <c r="F8" i="2"/>
</calcChain>
</file>

<file path=xl/sharedStrings.xml><?xml version="1.0" encoding="utf-8"?>
<sst xmlns="http://schemas.openxmlformats.org/spreadsheetml/2006/main" count="2251" uniqueCount="473">
  <si>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</si>
  <si>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</si>
  <si>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</si>
  <si>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</si>
  <si>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</si>
  <si>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</si>
  <si>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</si>
  <si>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</si>
  <si>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</si>
  <si>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PHẠM THỊ ĐÔNG</t>
  </si>
  <si>
    <t>TPHCM</t>
  </si>
  <si>
    <t>020999909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</si>
  <si>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</si>
  <si>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</si>
  <si>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</si>
  <si>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</si>
  <si>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</si>
  <si>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</si>
  <si>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</si>
  <si>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</si>
  <si>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</si>
  <si>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</si>
  <si>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</si>
  <si>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</si>
  <si>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</si>
  <si>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</si>
  <si>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</si>
  <si>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</si>
  <si>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</si>
  <si>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</si>
  <si>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</si>
  <si>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</si>
  <si>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</si>
  <si>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</si>
  <si>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</si>
  <si>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</si>
  <si>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</si>
  <si>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</si>
  <si>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</si>
  <si>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</si>
  <si>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</si>
  <si>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</si>
  <si>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</si>
  <si>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</si>
  <si>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</si>
  <si>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</si>
  <si>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</si>
  <si>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</si>
  <si>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</si>
  <si>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</si>
  <si>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</si>
  <si>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</si>
  <si>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</si>
  <si>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</si>
  <si>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</si>
  <si>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</si>
  <si>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</si>
  <si>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</si>
  <si>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</si>
  <si>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</si>
  <si>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</si>
  <si>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</si>
  <si>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</si>
  <si>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</si>
  <si>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</si>
  <si>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</si>
  <si>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</si>
  <si>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</si>
  <si>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</si>
  <si>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</si>
  <si>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</si>
  <si>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</si>
  <si>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</si>
  <si>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</si>
  <si>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</si>
  <si>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</si>
  <si>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</si>
  <si>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</si>
  <si>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</si>
  <si>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</si>
  <si>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</si>
  <si>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</si>
  <si>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</si>
  <si>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</si>
  <si>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</si>
  <si>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</si>
  <si>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</si>
  <si>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</si>
  <si>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</si>
  <si>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</si>
  <si>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</si>
  <si>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</si>
  <si>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</si>
  <si>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</si>
  <si>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</si>
  <si>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</si>
  <si>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</si>
  <si>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</si>
  <si>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</si>
  <si>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</si>
  <si>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</si>
  <si>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</si>
  <si>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</si>
  <si>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</si>
  <si>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</si>
  <si>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GUQ-AL/01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</si>
  <si>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</si>
  <si>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</si>
  <si>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</si>
  <si>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</si>
  <si>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</si>
  <si>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</si>
  <si>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</si>
  <si>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</si>
  <si>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</si>
  <si>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</si>
  <si>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</si>
  <si>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</si>
  <si>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</si>
  <si>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</si>
  <si>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</si>
  <si>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</si>
  <si>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</si>
  <si>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</si>
  <si>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</si>
  <si>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</si>
  <si>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</si>
  <si>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Rút tiền mặt</t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</si>
  <si>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</si>
  <si>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</si>
  <si>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</si>
  <si>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</si>
  <si>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</si>
  <si>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</si>
  <si>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</si>
  <si>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</si>
  <si>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</si>
  <si>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</si>
  <si>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</si>
  <si>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</si>
  <si>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</si>
  <si>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</si>
  <si>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</si>
  <si>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</si>
  <si>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</si>
  <si>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Thử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</si>
  <si>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</si>
  <si>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</si>
  <si>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</si>
  <si>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</si>
  <si>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</si>
  <si>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</si>
  <si>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</si>
  <si>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</si>
  <si>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</si>
  <si>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</si>
  <si>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</si>
  <si>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</si>
  <si>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</si>
  <si>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</si>
  <si>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</si>
  <si>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</si>
  <si>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</si>
  <si>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</si>
  <si>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</si>
  <si>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</si>
  <si>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</si>
  <si>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</si>
  <si>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</si>
  <si>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</si>
  <si>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</si>
  <si>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</si>
  <si>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</si>
  <si>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</si>
  <si>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</si>
  <si>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</si>
  <si>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</si>
  <si>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</si>
  <si>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</si>
  <si>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</si>
  <si>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</si>
  <si>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</si>
  <si>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</si>
  <si>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</si>
  <si>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</si>
  <si>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</si>
  <si>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</si>
  <si>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</si>
  <si>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</si>
  <si>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</si>
  <si>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</si>
  <si>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</si>
  <si>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</si>
  <si>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</si>
  <si>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</si>
  <si>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</si>
  <si>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</si>
  <si>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</si>
  <si>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</si>
  <si>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</si>
  <si>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</si>
  <si>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</si>
  <si>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</si>
  <si>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</si>
  <si>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</si>
  <si>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</si>
  <si>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</si>
  <si>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</si>
  <si>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</si>
  <si>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</si>
  <si>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</si>
  <si>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</si>
  <si>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</si>
  <si>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</si>
  <si>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</si>
  <si>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</si>
  <si>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</si>
  <si>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</si>
  <si>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</si>
  <si>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</si>
  <si>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</si>
  <si>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</si>
  <si>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</si>
  <si>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</si>
  <si>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</si>
  <si>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</si>
  <si>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</si>
  <si>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</si>
  <si>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</si>
  <si>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</si>
  <si>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</si>
  <si>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</si>
  <si>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</si>
  <si>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</si>
  <si>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</si>
  <si>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</si>
  <si>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</si>
  <si>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</si>
  <si>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</si>
  <si>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</si>
  <si>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</si>
  <si>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</si>
  <si>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</si>
  <si>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</si>
  <si>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</si>
  <si>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</si>
  <si>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</si>
  <si>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</si>
  <si>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</si>
  <si>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</si>
  <si>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</si>
  <si>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</si>
  <si>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</si>
  <si>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</si>
  <si>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</si>
  <si>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</si>
  <si>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</si>
  <si>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</si>
  <si>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</si>
  <si>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</si>
  <si>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</si>
  <si>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1402 148 5100 9479</t>
  </si>
  <si>
    <t>PB16010048099 - Thanh toán tiền điện kỳ 2 tháng 08 năm 2016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</si>
  <si>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</si>
  <si>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</si>
  <si>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</si>
  <si>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</si>
  <si>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</si>
  <si>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</si>
  <si>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</si>
  <si>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</si>
  <si>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</si>
  <si>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</si>
  <si>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</si>
  <si>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</si>
  <si>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</si>
  <si>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</si>
  <si>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</si>
  <si>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</si>
  <si>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</si>
  <si>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</si>
  <si>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</si>
  <si>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</si>
  <si>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</si>
  <si>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</si>
  <si>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</si>
  <si>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</si>
  <si>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</si>
  <si>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</si>
  <si>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</si>
  <si>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</si>
  <si>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</si>
  <si>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</si>
  <si>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</si>
  <si>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</si>
  <si>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</si>
  <si>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</si>
  <si>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</si>
  <si>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</si>
  <si>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</si>
  <si>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</si>
  <si>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</si>
  <si>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</si>
  <si>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</si>
  <si>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</si>
  <si>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</si>
  <si>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</si>
  <si>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</si>
  <si>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</si>
  <si>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</si>
  <si>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</si>
  <si>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</si>
  <si>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</si>
  <si>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</si>
  <si>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</si>
  <si>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</si>
  <si>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</si>
  <si>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</si>
  <si>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</si>
  <si>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</si>
  <si>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</si>
  <si>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</si>
  <si>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</si>
  <si>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</si>
  <si>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</si>
  <si>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</si>
  <si>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</si>
  <si>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</si>
  <si>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</si>
  <si>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</si>
  <si>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</si>
  <si>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</si>
  <si>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</si>
  <si>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</si>
  <si>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</si>
  <si>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</si>
  <si>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</si>
  <si>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</si>
  <si>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</si>
  <si>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</si>
  <si>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</si>
  <si>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</si>
  <si>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</si>
  <si>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</si>
  <si>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</si>
  <si>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</si>
  <si>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</si>
  <si>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</si>
  <si>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</si>
  <si>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</si>
  <si>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</si>
  <si>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</si>
  <si>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</si>
  <si>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</si>
  <si>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</si>
  <si>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</si>
  <si>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</si>
  <si>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</si>
  <si>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</si>
  <si>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</si>
  <si>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</si>
  <si>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</si>
  <si>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</si>
  <si>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</si>
  <si>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</si>
  <si>
    <t>0500 3969 9831</t>
  </si>
  <si>
    <t>ĐIỆN LỰC ĐỨC HÒA</t>
  </si>
  <si>
    <t>1681 000 228 089</t>
  </si>
  <si>
    <t>ABBANK - PGD Đức Hòa</t>
  </si>
  <si>
    <t>MKH: PB06030022841- Tiền điện kỳ 3 tháng 05 năm 2017</t>
  </si>
  <si>
    <t>CÔNG TY TNHH GIAO NHẬN VẬN CHUYỂN ÁNH DƯƠNG</t>
  </si>
  <si>
    <t>053 100 250 3669</t>
  </si>
  <si>
    <t>Vietcombank – CN Đông Sài Gòn</t>
  </si>
  <si>
    <t>Thanh toán cước vận chuyển và phí liên quan – Ánh Dương</t>
  </si>
  <si>
    <t>CTY CỔ PHẦN BẢO HIỂM VIỄN ĐÔNG-SỞ GIAO DỊCH TPHCM</t>
  </si>
  <si>
    <t>0600 0598 0634</t>
  </si>
  <si>
    <t>Sacombank - CN Trung Tâm</t>
  </si>
  <si>
    <t>Thanh toán tiền BH của HĐ: 17-99-11-020303-0026380</t>
  </si>
  <si>
    <t>CTY TNHH TM XNK VẬN TẢI VĨNH PHÁT</t>
  </si>
  <si>
    <t>0421 000 457 457</t>
  </si>
  <si>
    <t>Vietcombank - CN Phú Thọ</t>
  </si>
  <si>
    <t>CTY TNHH KHOA KỸ SINH VẬT THĂNG LONG</t>
  </si>
  <si>
    <t>0700 4738 2171</t>
  </si>
  <si>
    <t>Sacombank-PGD Bến Lức</t>
  </si>
  <si>
    <t>Thanh toán tiền kho lạnh</t>
  </si>
  <si>
    <t>140314851017230</t>
  </si>
  <si>
    <t>MKH: PB06030022841- Tiền điện kỳ 3 tháng 06 năm 2017</t>
  </si>
  <si>
    <t>CÔNG TY TNHH MTV KHỞI NGUYÊN AN</t>
  </si>
  <si>
    <t>046.1000.435.129</t>
  </si>
  <si>
    <t>Vietcombank - CN Sóng Thần</t>
  </si>
  <si>
    <t>Bình Dương</t>
  </si>
  <si>
    <t>Thanh toán tiền hóa đơn bao bì</t>
  </si>
  <si>
    <t>Thanh toán phí kiểm nghiệm T06/2017</t>
  </si>
  <si>
    <t>1020 1000 1909 096</t>
  </si>
  <si>
    <t>Viettinbank - CN Bình Thuận</t>
  </si>
  <si>
    <t>MKH: PB06030022841- Tiền điện kỳ 1&amp;2 tháng 07 năm 2017</t>
  </si>
  <si>
    <t>MKH: PB06030022841- Tiền điện kỳ 3 tháng 07 năm 2017</t>
  </si>
  <si>
    <t>125 759 122</t>
  </si>
  <si>
    <t>VPBANK - PGD Bùi Hữu Nghĩa</t>
  </si>
  <si>
    <t>Chuyển USD</t>
  </si>
  <si>
    <t>Thanh toán tiền nước, phí CSHT  T05 &amp; T06 &amp; T07/2017 -Hải Sơn</t>
  </si>
  <si>
    <t>MKH: PB06030022841- Tiền điện kỳ 1&amp;2 tháng 08 năm 2017</t>
  </si>
  <si>
    <t>CÔNG TY CỔ PHẦN BẢO HIỂM VIỄN ĐÔNG - SỞ GIAO DỊCH TP.HCM</t>
  </si>
  <si>
    <t>TT bảo hiểm số: 17-99-11-040502-0034369; 0034788; 0034787; 0035884</t>
  </si>
  <si>
    <t>Chuyển tiền theo KUNN số 13 -10206/2017/KUNN/PVN-DN.GĐ</t>
  </si>
  <si>
    <t>1070 0026 8615</t>
  </si>
  <si>
    <t>MKH: PB06030022841- Tiền điện kỳ 3/8 &amp; kỳ 1/9 năm 2017</t>
  </si>
  <si>
    <t>0531002503669</t>
  </si>
  <si>
    <t>1681000228089</t>
  </si>
  <si>
    <t>117000004257</t>
  </si>
  <si>
    <t>351101053950</t>
  </si>
  <si>
    <t>CÔNG TY TNHH THANH PHÚ LAGI</t>
  </si>
  <si>
    <t>050078302698</t>
  </si>
  <si>
    <t>Sacombank - CN Bình Thuận</t>
  </si>
  <si>
    <t>Chuyển tiền theo KUNN số 14 -10206/2017/KUNN/PVN-DN.GĐ</t>
  </si>
  <si>
    <t>0411001004118</t>
  </si>
  <si>
    <t>MKH: PB06030022841- Tiền điện kỳ 1/9 năm 2017</t>
  </si>
  <si>
    <t>Chuyển tiền theo KUNN số 15 -10206/2017/KUNN/PVN-DN.GĐ</t>
  </si>
  <si>
    <t>7406202959035</t>
  </si>
  <si>
    <t>102010000319461</t>
  </si>
  <si>
    <t>102010000712510</t>
  </si>
  <si>
    <t>375101031156</t>
  </si>
  <si>
    <t>128196099</t>
  </si>
  <si>
    <t>6600202939015</t>
  </si>
  <si>
    <t>THANH TOÁN BẢO HIỂM HÀNG HÓA</t>
  </si>
  <si>
    <t>Chuyển tiền theo KUNN số 16 -10206/2017/KUNN/PVN-DN.GĐ</t>
  </si>
  <si>
    <t>Chuyển tiền theo KUNN số 17 -10206/2017/KUNN/PVN-DN.GĐ</t>
  </si>
  <si>
    <t>Sacombank - CN Trà Vinh</t>
  </si>
  <si>
    <t>070067729194</t>
  </si>
  <si>
    <t>Chuyển tiền theo KUNN số 18 -10206/2017/KUNN/PVN-DN.GĐ</t>
  </si>
  <si>
    <t>Thanh toán tiền nước, phí CSHT  T08 &amp; T09/2017 -Hải Sơn</t>
  </si>
  <si>
    <t>Chuyển tiền theo KUNN số 20 -10206/2017/KUNN/PVN-DN.GĐ</t>
  </si>
  <si>
    <t>Chuyển tiền theo KUNN số 21 -10206/2017/KUNN/PVN-DN.GĐ</t>
  </si>
  <si>
    <t>125 660 843</t>
  </si>
  <si>
    <t>Chuyển tiền theo KUNN số 22 -10206/2017/KUNN/PVN-DN.GĐ</t>
  </si>
  <si>
    <t>Chuyển tiền theo KUNN số 23 -10206/2017/KUNN/PVN-DN.GĐ</t>
  </si>
  <si>
    <t>MKH: PB06030022841- Tiền điện kỳ 2/10 năm 2017</t>
  </si>
  <si>
    <t>CTY TNHH XK THỦY SẢN HẢI VIỆT</t>
  </si>
  <si>
    <t>119 0000 16692</t>
  </si>
  <si>
    <t>NH Công Thương - CN Bình Thuận</t>
  </si>
  <si>
    <t>Thanh toán tiền mực</t>
  </si>
  <si>
    <t>050039699831</t>
  </si>
  <si>
    <t>TRUNG TAM CHAT LUONG NONG LAM THUY SAN VUNG 4</t>
  </si>
  <si>
    <t>THANH TOAN PHI KIEM NGHIEM T09 VA10/2017</t>
  </si>
  <si>
    <t>Chuyển tiền theo KUNN số 24 -10206/2017/KUNN/PVN-DN.GĐ</t>
  </si>
  <si>
    <t>Chuyển tiền theo KUNN số 25 -10206/2017/KUNN/PVN-DN.GĐ</t>
  </si>
  <si>
    <t>210314851008898</t>
  </si>
  <si>
    <t>070047382171</t>
  </si>
  <si>
    <t>060005977811</t>
  </si>
  <si>
    <t>0421000457457</t>
  </si>
  <si>
    <t>8168219</t>
  </si>
  <si>
    <t>060005980634</t>
  </si>
  <si>
    <t>531002503669</t>
  </si>
  <si>
    <t>Chuyển tiền theo KUNN số 26 -10206/2017/KUNN/PVN-DN.GĐ</t>
  </si>
  <si>
    <t>CÔNG TY TNHH MTV BTFOOD</t>
  </si>
  <si>
    <t>174848779</t>
  </si>
  <si>
    <t>ACB - CN Thủ Đức</t>
  </si>
  <si>
    <t>Thanh toán tiền đường</t>
  </si>
  <si>
    <t>Chuyển tiền theo KUNN số 27 -10206/2017/KUNN/PVN-DN.GĐ</t>
  </si>
  <si>
    <t>Chuyển tiền theo KUNN số 28 -10206/2017/KUNN/PVN-DN.GĐ</t>
  </si>
  <si>
    <t>Chuyển tiền theo KUNN số 29 -10206/2017/KUNN/PVN-DN.GĐ</t>
  </si>
  <si>
    <t>Chuyển tiền theo KUNN số 30 -10206/2017/KUNN/PVN-DN.GĐ</t>
  </si>
  <si>
    <t>0071001293855</t>
  </si>
  <si>
    <t>Chuyển tiền theo KUNN số 31 -10206/2017/KUNN/PVN-DN.GĐ</t>
  </si>
  <si>
    <t>Chuyển tiền theo KUNN số 32 -10206/2017/KUNN/PVN-DN.GĐ</t>
  </si>
  <si>
    <t>Chuyển tiền theo KUNN số 33 -10206/2017/KUNN/PVN-DN.GĐ</t>
  </si>
  <si>
    <t>Chuyển tiền theo KUNN số 34 -10206/2017/KUNN/PVN-DN.GĐ</t>
  </si>
  <si>
    <t>MKH: PB06030022841- Tiền điện kỳ 2&amp;3/12 năm 2017</t>
  </si>
  <si>
    <t>Chuyển tiền theo KUNN số 35 -10206/2017/KUNN/PVN-DN.GĐ</t>
  </si>
  <si>
    <t>060005954609</t>
  </si>
  <si>
    <t>Chuyển tiền theo KUNN số 36 -10206/2017/KUNN/PVN-DN.GĐ</t>
  </si>
  <si>
    <t>Chuyển tiền theo KUNN số 37 -10206/2017/KUNN/PVN-DN.GĐ</t>
  </si>
  <si>
    <t>Chuyển tiền theo KUNN số 38 -10206/2017/KUNN/PVN-DN.GĐ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</si>
</sst>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</numFmts>
  <fonts count="4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sz val="10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.5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36" fillId="4" borderId="1"/>
    <xf numFmtId="43" fontId="35" fillId="0" borderId="0" applyFont="0" applyFill="0" applyBorder="0" applyAlignment="0" applyProtection="0"/>
    <xf numFmtId="43" fontId="37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36" fillId="4" borderId="1">
      <alignment horizontal="centerContinuous" vertical="center" wrapText="1"/>
    </xf>
    <xf numFmtId="3" fontId="36" fillId="4" borderId="1">
      <alignment horizontal="center" vertical="center" wrapText="1"/>
    </xf>
    <xf numFmtId="2" fontId="1" fillId="0" borderId="0" applyFont="0" applyFill="0" applyBorder="0" applyAlignment="0" applyProtection="0"/>
    <xf numFmtId="0" fontId="38" fillId="0" borderId="19" applyNumberFormat="0" applyAlignment="0" applyProtection="0">
      <alignment horizontal="left" vertical="center"/>
    </xf>
    <xf numFmtId="0" fontId="38" fillId="0" borderId="6">
      <alignment horizontal="left" vertical="center"/>
    </xf>
    <xf numFmtId="3" fontId="36" fillId="0" borderId="20"/>
    <xf numFmtId="3" fontId="39" fillId="0" borderId="21"/>
    <xf numFmtId="3" fontId="36" fillId="0" borderId="1">
      <alignment horizontal="center" vertical="center" wrapText="1"/>
    </xf>
    <xf numFmtId="3" fontId="36" fillId="0" borderId="1">
      <alignment horizontal="centerContinuous" vertical="center"/>
    </xf>
    <xf numFmtId="165" fontId="40" fillId="0" borderId="18"/>
    <xf numFmtId="0" fontId="35" fillId="0" borderId="0"/>
    <xf numFmtId="0" fontId="30" fillId="0" borderId="0"/>
    <xf numFmtId="0" fontId="41" fillId="0" borderId="0">
      <alignment horizontal="centerContinuous"/>
    </xf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43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0" fontId="45" fillId="0" borderId="0"/>
    <xf numFmtId="0" fontId="1" fillId="0" borderId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2" xfId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3" xfId="0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28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46" fillId="0" borderId="3" xfId="0" applyFont="1" applyBorder="1" applyAlignment="1">
      <alignment horizontal="center" vertical="center"/>
    </xf>
    <xf numFmtId="14" fontId="46" fillId="0" borderId="2" xfId="0" applyNumberFormat="1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vertical="center"/>
    </xf>
    <xf numFmtId="49" fontId="46" fillId="0" borderId="2" xfId="0" applyNumberFormat="1" applyFont="1" applyBorder="1" applyAlignment="1">
      <alignment horizontal="center" vertical="center"/>
    </xf>
    <xf numFmtId="43" fontId="46" fillId="0" borderId="2" xfId="1" applyFont="1" applyBorder="1" applyAlignment="1">
      <alignment vertical="center"/>
    </xf>
    <xf numFmtId="164" fontId="46" fillId="0" borderId="2" xfId="1" applyNumberFormat="1" applyFont="1" applyBorder="1" applyAlignment="1">
      <alignment vertical="center"/>
    </xf>
    <xf numFmtId="49" fontId="46" fillId="0" borderId="2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4" fontId="33" fillId="0" borderId="2" xfId="4" applyNumberFormat="1" applyFont="1" applyBorder="1" applyAlignment="1">
      <alignment vertical="center"/>
    </xf>
    <xf numFmtId="0" fontId="6" fillId="0" borderId="0" xfId="0" applyFont="1" applyAlignment="1"/>
    <xf numFmtId="0" fontId="6" fillId="0" borderId="3" xfId="0" quotePrefix="1" applyFont="1" applyBorder="1" applyAlignment="1">
      <alignment vertical="center"/>
    </xf>
    <xf numFmtId="0" fontId="28" fillId="0" borderId="0" xfId="0" applyFont="1" applyAlignment="1">
      <alignment horizontal="center" vertical="center"/>
    </xf>
    <xf numFmtId="0" fontId="28" fillId="0" borderId="2" xfId="0" quotePrefix="1" applyFont="1" applyBorder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quotePrefix="1" applyFont="1" applyFill="1" applyBorder="1" applyAlignment="1">
      <alignment vertical="center"/>
    </xf>
    <xf numFmtId="0" fontId="29" fillId="0" borderId="3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3" fontId="6" fillId="0" borderId="2" xfId="1" applyFont="1" applyFill="1" applyBorder="1" applyAlignment="1">
      <alignment vertical="center"/>
    </xf>
    <xf numFmtId="164" fontId="6" fillId="0" borderId="2" xfId="1" applyNumberFormat="1" applyFont="1" applyFill="1" applyBorder="1" applyAlignment="1">
      <alignment vertical="center"/>
    </xf>
    <xf numFmtId="49" fontId="46" fillId="0" borderId="2" xfId="0" applyNumberFormat="1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Alignment="1">
      <alignment horizontal="right"/>
    </xf>
    <xf numFmtId="43" fontId="3" fillId="0" borderId="5" xfId="1" applyFont="1" applyBorder="1" applyAlignment="1"/>
    <xf numFmtId="0" fontId="22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vertical="center"/>
    </xf>
    <xf numFmtId="0" fontId="29" fillId="2" borderId="2" xfId="0" applyFont="1" applyFill="1" applyBorder="1" applyAlignment="1">
      <alignment horizontal="center" vertical="center"/>
    </xf>
    <xf numFmtId="49" fontId="29" fillId="2" borderId="2" xfId="0" applyNumberFormat="1" applyFont="1" applyFill="1" applyBorder="1" applyAlignment="1">
      <alignment horizontal="center" vertical="center"/>
    </xf>
    <xf numFmtId="14" fontId="29" fillId="2" borderId="2" xfId="0" applyNumberFormat="1" applyFont="1" applyFill="1" applyBorder="1" applyAlignment="1">
      <alignment horizontal="center" vertical="center"/>
    </xf>
    <xf numFmtId="43" fontId="6" fillId="2" borderId="2" xfId="1" applyFont="1" applyFill="1" applyBorder="1" applyAlignment="1">
      <alignment vertical="center"/>
    </xf>
    <xf numFmtId="164" fontId="6" fillId="2" borderId="2" xfId="1" applyNumberFormat="1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9" fillId="2" borderId="2" xfId="0" quotePrefix="1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2" xfId="0" quotePrefix="1" applyFont="1" applyFill="1" applyBorder="1" applyAlignment="1">
      <alignment vertical="center"/>
    </xf>
    <xf numFmtId="0" fontId="29" fillId="2" borderId="3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</cellXfs>
  <cellStyles count="38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Normal 6" xfId="37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87"/>
  <sheetViews>
    <sheetView topLeftCell="B1" zoomScale="90" zoomScaleNormal="90" workbookViewId="0">
      <pane xSplit="5" ySplit="3" topLeftCell="I259" activePane="bottomRight" state="frozen"/>
      <selection activeCell="B1" sqref="B1"/>
      <selection pane="topRight" activeCell="G1" sqref="G1"/>
      <selection pane="bottomLeft" activeCell="B4" sqref="B4"/>
      <selection pane="bottomRight" activeCell="F278" sqref="F278"/>
    </sheetView>
  </sheetViews>
  <sheetFormatPr defaultRowHeight="18.75" customHeight="1"/>
  <cols>
    <col min="1" max="1" width="2.140625" customWidth="1"/>
    <col min="2" max="2" width="4.5703125" customWidth="1"/>
    <col min="3" max="3" width="7.85546875" customWidth="1"/>
    <col min="4" max="4" width="8.42578125" customWidth="1"/>
    <col min="5" max="5" width="7.5703125" customWidth="1"/>
    <col min="6" max="6" width="81.5703125" customWidth="1"/>
    <col min="7" max="7" width="18.42578125" customWidth="1"/>
    <col min="8" max="8" width="42.140625" customWidth="1"/>
    <col min="9" max="9" width="10" customWidth="1"/>
    <col min="10" max="10" width="11" customWidth="1"/>
    <col min="11" max="12" width="8.42578125" customWidth="1"/>
    <col min="13" max="13" width="7" customWidth="1"/>
    <col min="14" max="14" width="21.140625" customWidth="1"/>
    <col min="15" max="15" width="13.85546875" customWidth="1"/>
    <col min="16" max="16" width="14" customWidth="1"/>
    <col min="18" max="18" width="4.42578125" customWidth="1"/>
  </cols>
  <sheetData>
    <row r="1" spans="1:18" s="57" customFormat="1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101">
        <v>17</v>
      </c>
      <c r="R1" s="131"/>
    </row>
    <row r="2" spans="1:18" s="59" customFormat="1" ht="24" customHeight="1">
      <c r="A2" s="58"/>
      <c r="B2" s="179" t="s">
        <v>1</v>
      </c>
      <c r="C2" s="176" t="s">
        <v>12</v>
      </c>
      <c r="D2" s="177"/>
      <c r="E2" s="178"/>
      <c r="F2" s="176" t="s">
        <v>20</v>
      </c>
      <c r="G2" s="177"/>
      <c r="H2" s="177"/>
      <c r="I2" s="177"/>
      <c r="J2" s="177"/>
      <c r="K2" s="177"/>
      <c r="L2" s="177"/>
      <c r="M2" s="178"/>
      <c r="N2" s="171" t="s">
        <v>0</v>
      </c>
      <c r="O2" s="175" t="s">
        <v>21</v>
      </c>
      <c r="P2" s="175"/>
      <c r="Q2" s="173" t="s">
        <v>22</v>
      </c>
      <c r="R2" s="58"/>
    </row>
    <row r="3" spans="1:18" s="59" customFormat="1" ht="36.75" customHeight="1">
      <c r="A3" s="58"/>
      <c r="B3" s="172"/>
      <c r="C3" s="60" t="s">
        <v>14</v>
      </c>
      <c r="D3" s="60" t="s">
        <v>12</v>
      </c>
      <c r="E3" s="60" t="s">
        <v>13</v>
      </c>
      <c r="F3" s="60" t="s">
        <v>15</v>
      </c>
      <c r="G3" s="60" t="s">
        <v>30</v>
      </c>
      <c r="H3" s="60" t="s">
        <v>31</v>
      </c>
      <c r="I3" s="60" t="s">
        <v>34</v>
      </c>
      <c r="J3" s="60" t="s">
        <v>16</v>
      </c>
      <c r="K3" s="60" t="s">
        <v>17</v>
      </c>
      <c r="L3" s="60" t="s">
        <v>18</v>
      </c>
      <c r="M3" s="60" t="s">
        <v>19</v>
      </c>
      <c r="N3" s="172"/>
      <c r="O3" s="61" t="s">
        <v>28</v>
      </c>
      <c r="P3" s="61" t="s">
        <v>29</v>
      </c>
      <c r="Q3" s="174"/>
      <c r="R3" s="58"/>
    </row>
    <row r="4" spans="1:18" s="57" customFormat="1" ht="18.75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82</v>
      </c>
      <c r="D4" s="63">
        <v>42556</v>
      </c>
      <c r="E4" s="62" t="s">
        <v>23</v>
      </c>
      <c r="F4" s="64" t="s">
        <v>36</v>
      </c>
      <c r="G4" s="64" t="s">
        <v>32</v>
      </c>
      <c r="H4" s="64" t="s">
        <v>33</v>
      </c>
      <c r="I4" s="65" t="s">
        <v>35</v>
      </c>
      <c r="J4" s="66"/>
      <c r="K4" s="67"/>
      <c r="L4" s="65"/>
      <c r="M4" s="65"/>
      <c r="N4" s="64" t="s">
        <v>86</v>
      </c>
      <c r="O4" s="68"/>
      <c r="P4" s="69">
        <v>57018720</v>
      </c>
      <c r="Q4" s="102" t="s">
        <v>146</v>
      </c>
      <c r="R4" s="131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s="57" customFormat="1" ht="18.75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287" si="0">IF(C5&lt;&gt;"",ROW()-3,"")</f>
        <v>2</v>
      </c>
      <c r="C5" s="62" t="s">
        <v>82</v>
      </c>
      <c r="D5" s="63">
        <v>42556</v>
      </c>
      <c r="E5" s="62" t="s">
        <v>24</v>
      </c>
      <c r="F5" s="64" t="s">
        <v>87</v>
      </c>
      <c r="G5" s="71" t="s">
        <v>88</v>
      </c>
      <c r="H5" s="64" t="s">
        <v>89</v>
      </c>
      <c r="I5" s="62" t="s">
        <v>10</v>
      </c>
      <c r="J5" s="66"/>
      <c r="K5" s="67"/>
      <c r="L5" s="65"/>
      <c r="M5" s="65"/>
      <c r="N5" s="64" t="s">
        <v>90</v>
      </c>
      <c r="O5" s="68"/>
      <c r="P5" s="69">
        <v>32574576</v>
      </c>
      <c r="Q5" s="102" t="s">
        <v>146</v>
      </c>
      <c r="R5" s="131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s="57" customFormat="1" ht="18.75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82</v>
      </c>
      <c r="D6" s="63">
        <v>42556</v>
      </c>
      <c r="E6" s="62" t="s">
        <v>25</v>
      </c>
      <c r="F6" s="64" t="s">
        <v>91</v>
      </c>
      <c r="G6" s="64" t="s">
        <v>92</v>
      </c>
      <c r="H6" s="64" t="s">
        <v>93</v>
      </c>
      <c r="I6" s="65" t="s">
        <v>35</v>
      </c>
      <c r="J6" s="66"/>
      <c r="K6" s="67"/>
      <c r="L6" s="65"/>
      <c r="M6" s="65"/>
      <c r="N6" s="64" t="s">
        <v>94</v>
      </c>
      <c r="O6" s="68"/>
      <c r="P6" s="69">
        <v>80000000</v>
      </c>
      <c r="Q6" s="102" t="s">
        <v>146</v>
      </c>
      <c r="R6" s="131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s="57" customFormat="1" ht="18.75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82</v>
      </c>
      <c r="D7" s="63">
        <v>42556</v>
      </c>
      <c r="E7" s="62" t="s">
        <v>26</v>
      </c>
      <c r="F7" s="64" t="s">
        <v>95</v>
      </c>
      <c r="G7" s="71" t="s">
        <v>98</v>
      </c>
      <c r="H7" s="64" t="s">
        <v>96</v>
      </c>
      <c r="I7" s="62" t="s">
        <v>10</v>
      </c>
      <c r="J7" s="66"/>
      <c r="K7" s="67"/>
      <c r="L7" s="65"/>
      <c r="M7" s="65"/>
      <c r="N7" s="64" t="s">
        <v>97</v>
      </c>
      <c r="O7" s="68"/>
      <c r="P7" s="69">
        <v>50000000</v>
      </c>
      <c r="Q7" s="102" t="s">
        <v>146</v>
      </c>
      <c r="R7" s="131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s="57" customFormat="1" ht="18.75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82</v>
      </c>
      <c r="D8" s="63">
        <v>42556</v>
      </c>
      <c r="E8" s="62" t="s">
        <v>84</v>
      </c>
      <c r="F8" s="64" t="s">
        <v>99</v>
      </c>
      <c r="G8" s="64" t="s">
        <v>100</v>
      </c>
      <c r="H8" s="64" t="s">
        <v>101</v>
      </c>
      <c r="I8" s="62" t="s">
        <v>10</v>
      </c>
      <c r="J8" s="66"/>
      <c r="K8" s="67"/>
      <c r="L8" s="65"/>
      <c r="M8" s="65"/>
      <c r="N8" s="64" t="s">
        <v>102</v>
      </c>
      <c r="O8" s="68"/>
      <c r="P8" s="69">
        <v>50000000</v>
      </c>
      <c r="Q8" s="102" t="s">
        <v>146</v>
      </c>
      <c r="R8" s="131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s="57" customFormat="1" ht="18.75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82</v>
      </c>
      <c r="D9" s="63">
        <v>42556</v>
      </c>
      <c r="E9" s="62" t="s">
        <v>85</v>
      </c>
      <c r="F9" s="70" t="s">
        <v>4</v>
      </c>
      <c r="G9" s="70" t="s">
        <v>5</v>
      </c>
      <c r="H9" s="70" t="s">
        <v>6</v>
      </c>
      <c r="I9" s="62" t="s">
        <v>10</v>
      </c>
      <c r="J9" s="72"/>
      <c r="K9" s="63"/>
      <c r="L9" s="62"/>
      <c r="M9" s="62"/>
      <c r="N9" s="70" t="s">
        <v>83</v>
      </c>
      <c r="O9" s="73"/>
      <c r="P9" s="74">
        <v>28078550</v>
      </c>
      <c r="Q9" s="102" t="s">
        <v>146</v>
      </c>
      <c r="R9" s="131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s="97" customFormat="1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>x2</v>
      </c>
      <c r="B10" s="89">
        <f t="shared" si="0"/>
        <v>7</v>
      </c>
      <c r="C10" s="89" t="s">
        <v>144</v>
      </c>
      <c r="D10" s="90">
        <v>42556</v>
      </c>
      <c r="E10" s="89" t="s">
        <v>27</v>
      </c>
      <c r="F10" s="91" t="s">
        <v>9</v>
      </c>
      <c r="G10" s="91"/>
      <c r="H10" s="91"/>
      <c r="I10" s="92"/>
      <c r="J10" s="93" t="s">
        <v>11</v>
      </c>
      <c r="K10" s="94">
        <v>41051</v>
      </c>
      <c r="L10" s="92" t="s">
        <v>10</v>
      </c>
      <c r="M10" s="92" t="s">
        <v>105</v>
      </c>
      <c r="N10" s="91" t="s">
        <v>127</v>
      </c>
      <c r="O10" s="95"/>
      <c r="P10" s="96">
        <v>1100000000</v>
      </c>
      <c r="Q10" s="103" t="s">
        <v>145</v>
      </c>
      <c r="R10" s="131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>p2</v>
      </c>
    </row>
    <row r="11" spans="1:18" s="97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89">
        <f t="shared" si="0"/>
        <v>8</v>
      </c>
      <c r="C11" s="89" t="s">
        <v>144</v>
      </c>
      <c r="D11" s="90">
        <v>42556</v>
      </c>
      <c r="E11" s="89" t="s">
        <v>23</v>
      </c>
      <c r="F11" s="98" t="s">
        <v>4</v>
      </c>
      <c r="G11" s="98" t="s">
        <v>5</v>
      </c>
      <c r="H11" s="98" t="s">
        <v>6</v>
      </c>
      <c r="I11" s="89" t="s">
        <v>10</v>
      </c>
      <c r="J11" s="99"/>
      <c r="K11" s="90"/>
      <c r="L11" s="89"/>
      <c r="M11" s="89"/>
      <c r="N11" s="98" t="s">
        <v>83</v>
      </c>
      <c r="O11" s="95"/>
      <c r="P11" s="100">
        <v>28078550</v>
      </c>
      <c r="Q11" s="103" t="s">
        <v>145</v>
      </c>
      <c r="R11" s="131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s="57" customFormat="1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>x3</v>
      </c>
      <c r="B12" s="62">
        <f t="shared" si="0"/>
        <v>9</v>
      </c>
      <c r="C12" s="62" t="s">
        <v>82</v>
      </c>
      <c r="D12" s="63">
        <v>42556</v>
      </c>
      <c r="E12" s="62" t="s">
        <v>78</v>
      </c>
      <c r="F12" s="64" t="s">
        <v>9</v>
      </c>
      <c r="G12" s="64"/>
      <c r="H12" s="64"/>
      <c r="I12" s="65"/>
      <c r="J12" s="66" t="s">
        <v>11</v>
      </c>
      <c r="K12" s="67">
        <v>41051</v>
      </c>
      <c r="L12" s="65" t="s">
        <v>10</v>
      </c>
      <c r="M12" s="65" t="s">
        <v>105</v>
      </c>
      <c r="N12" s="64" t="s">
        <v>127</v>
      </c>
      <c r="O12" s="68"/>
      <c r="P12" s="69">
        <v>300000000</v>
      </c>
      <c r="Q12" s="103" t="s">
        <v>145</v>
      </c>
      <c r="R12" s="131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>e2</v>
      </c>
    </row>
    <row r="13" spans="1:18" s="57" customFormat="1" ht="18.75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105">
        <f t="shared" si="0"/>
        <v>10</v>
      </c>
      <c r="C13" s="105" t="s">
        <v>128</v>
      </c>
      <c r="D13" s="106">
        <v>42559</v>
      </c>
      <c r="E13" s="105" t="s">
        <v>23</v>
      </c>
      <c r="F13" s="107" t="s">
        <v>132</v>
      </c>
      <c r="G13" s="107" t="s">
        <v>131</v>
      </c>
      <c r="H13" s="107" t="s">
        <v>130</v>
      </c>
      <c r="I13" s="105" t="s">
        <v>10</v>
      </c>
      <c r="J13" s="108"/>
      <c r="K13" s="109"/>
      <c r="L13" s="110"/>
      <c r="M13" s="110"/>
      <c r="N13" s="107" t="s">
        <v>129</v>
      </c>
      <c r="O13" s="111">
        <v>39600</v>
      </c>
      <c r="P13" s="112"/>
      <c r="Q13" s="113" t="s">
        <v>146</v>
      </c>
      <c r="R13" s="131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s="97" customFormat="1" ht="18.75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105">
        <f t="shared" si="0"/>
        <v>11</v>
      </c>
      <c r="C14" s="105" t="s">
        <v>128</v>
      </c>
      <c r="D14" s="106">
        <v>42562</v>
      </c>
      <c r="E14" s="105" t="s">
        <v>23</v>
      </c>
      <c r="F14" s="107" t="s">
        <v>133</v>
      </c>
      <c r="G14" s="107" t="s">
        <v>134</v>
      </c>
      <c r="H14" s="107" t="s">
        <v>130</v>
      </c>
      <c r="I14" s="105" t="s">
        <v>10</v>
      </c>
      <c r="J14" s="108"/>
      <c r="K14" s="109"/>
      <c r="L14" s="110"/>
      <c r="M14" s="110"/>
      <c r="N14" s="107" t="s">
        <v>135</v>
      </c>
      <c r="O14" s="111"/>
      <c r="P14" s="112">
        <v>100000000</v>
      </c>
      <c r="Q14" s="113" t="s">
        <v>147</v>
      </c>
      <c r="R14" s="131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s="57" customFormat="1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105">
        <f t="shared" si="0"/>
        <v>12</v>
      </c>
      <c r="C15" s="105" t="s">
        <v>104</v>
      </c>
      <c r="D15" s="106">
        <v>42562</v>
      </c>
      <c r="E15" s="105" t="s">
        <v>24</v>
      </c>
      <c r="F15" s="107" t="s">
        <v>136</v>
      </c>
      <c r="G15" s="114" t="s">
        <v>422</v>
      </c>
      <c r="H15" s="107" t="s">
        <v>138</v>
      </c>
      <c r="I15" s="110" t="s">
        <v>137</v>
      </c>
      <c r="J15" s="108"/>
      <c r="K15" s="109"/>
      <c r="L15" s="110"/>
      <c r="M15" s="110"/>
      <c r="N15" s="107" t="s">
        <v>139</v>
      </c>
      <c r="O15" s="111"/>
      <c r="P15" s="112">
        <v>100000000</v>
      </c>
      <c r="Q15" s="113" t="s">
        <v>146</v>
      </c>
      <c r="R15" s="131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s="97" customFormat="1" ht="18.75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105">
        <f t="shared" si="0"/>
        <v>13</v>
      </c>
      <c r="C16" s="105" t="s">
        <v>128</v>
      </c>
      <c r="D16" s="106">
        <v>42562</v>
      </c>
      <c r="E16" s="105" t="s">
        <v>25</v>
      </c>
      <c r="F16" s="107" t="s">
        <v>142</v>
      </c>
      <c r="G16" s="107" t="s">
        <v>141</v>
      </c>
      <c r="H16" s="107" t="s">
        <v>140</v>
      </c>
      <c r="I16" s="105" t="s">
        <v>10</v>
      </c>
      <c r="J16" s="108"/>
      <c r="K16" s="109"/>
      <c r="L16" s="110"/>
      <c r="M16" s="110"/>
      <c r="N16" s="107" t="s">
        <v>143</v>
      </c>
      <c r="O16" s="111"/>
      <c r="P16" s="112">
        <v>77480000</v>
      </c>
      <c r="Q16" s="113" t="s">
        <v>147</v>
      </c>
      <c r="R16" s="131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s="57" customFormat="1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105">
        <f t="shared" si="0"/>
        <v>14</v>
      </c>
      <c r="C17" s="105" t="s">
        <v>82</v>
      </c>
      <c r="D17" s="106">
        <v>42564</v>
      </c>
      <c r="E17" s="105" t="s">
        <v>23</v>
      </c>
      <c r="F17" s="107" t="s">
        <v>152</v>
      </c>
      <c r="G17" s="114" t="s">
        <v>149</v>
      </c>
      <c r="H17" s="107" t="s">
        <v>150</v>
      </c>
      <c r="I17" s="110" t="s">
        <v>10</v>
      </c>
      <c r="J17" s="108"/>
      <c r="K17" s="109"/>
      <c r="L17" s="110"/>
      <c r="M17" s="110"/>
      <c r="N17" s="107" t="s">
        <v>151</v>
      </c>
      <c r="O17" s="111"/>
      <c r="P17" s="112">
        <v>11852379</v>
      </c>
      <c r="Q17" s="113" t="s">
        <v>146</v>
      </c>
      <c r="R17" s="131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s="57" customFormat="1" ht="18.75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105">
        <f t="shared" si="0"/>
        <v>15</v>
      </c>
      <c r="C18" s="105" t="s">
        <v>82</v>
      </c>
      <c r="D18" s="106">
        <v>42566</v>
      </c>
      <c r="E18" s="105" t="s">
        <v>23</v>
      </c>
      <c r="F18" s="107" t="s">
        <v>153</v>
      </c>
      <c r="G18" s="107" t="s">
        <v>154</v>
      </c>
      <c r="H18" s="107" t="s">
        <v>155</v>
      </c>
      <c r="I18" s="110" t="s">
        <v>10</v>
      </c>
      <c r="J18" s="108"/>
      <c r="K18" s="109"/>
      <c r="L18" s="110"/>
      <c r="M18" s="110"/>
      <c r="N18" s="107" t="s">
        <v>156</v>
      </c>
      <c r="O18" s="111"/>
      <c r="P18" s="112">
        <v>50000000</v>
      </c>
      <c r="Q18" s="113" t="s">
        <v>146</v>
      </c>
      <c r="R18" s="131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s="57" customFormat="1" ht="18.75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105">
        <f t="shared" si="0"/>
        <v>16</v>
      </c>
      <c r="C19" s="105" t="s">
        <v>82</v>
      </c>
      <c r="D19" s="106">
        <v>42566</v>
      </c>
      <c r="E19" s="105" t="s">
        <v>24</v>
      </c>
      <c r="F19" s="107" t="s">
        <v>133</v>
      </c>
      <c r="G19" s="107" t="s">
        <v>134</v>
      </c>
      <c r="H19" s="107" t="s">
        <v>130</v>
      </c>
      <c r="I19" s="105" t="s">
        <v>10</v>
      </c>
      <c r="J19" s="108"/>
      <c r="K19" s="109"/>
      <c r="L19" s="110"/>
      <c r="M19" s="110"/>
      <c r="N19" s="107" t="s">
        <v>135</v>
      </c>
      <c r="O19" s="111"/>
      <c r="P19" s="112">
        <v>29000000</v>
      </c>
      <c r="Q19" s="113" t="s">
        <v>146</v>
      </c>
      <c r="R19" s="131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s="57" customFormat="1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105">
        <f t="shared" si="0"/>
        <v>17</v>
      </c>
      <c r="C20" s="105" t="s">
        <v>104</v>
      </c>
      <c r="D20" s="106">
        <v>42566</v>
      </c>
      <c r="E20" s="105" t="s">
        <v>25</v>
      </c>
      <c r="F20" s="107" t="s">
        <v>157</v>
      </c>
      <c r="G20" s="107" t="s">
        <v>158</v>
      </c>
      <c r="H20" s="107" t="s">
        <v>159</v>
      </c>
      <c r="I20" s="110" t="s">
        <v>160</v>
      </c>
      <c r="J20" s="108"/>
      <c r="K20" s="109"/>
      <c r="L20" s="110"/>
      <c r="M20" s="110"/>
      <c r="N20" s="107" t="s">
        <v>161</v>
      </c>
      <c r="O20" s="111"/>
      <c r="P20" s="112">
        <v>28700000</v>
      </c>
      <c r="Q20" s="113" t="s">
        <v>146</v>
      </c>
      <c r="R20" s="131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s="57" customFormat="1" ht="18.75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82</v>
      </c>
      <c r="D21" s="63">
        <v>42573</v>
      </c>
      <c r="E21" s="105" t="s">
        <v>23</v>
      </c>
      <c r="F21" s="107" t="s">
        <v>132</v>
      </c>
      <c r="G21" s="71" t="s">
        <v>162</v>
      </c>
      <c r="H21" s="64" t="s">
        <v>163</v>
      </c>
      <c r="I21" s="105" t="s">
        <v>10</v>
      </c>
      <c r="J21" s="66"/>
      <c r="K21" s="67"/>
      <c r="L21" s="65"/>
      <c r="M21" s="65"/>
      <c r="N21" s="64" t="s">
        <v>164</v>
      </c>
      <c r="O21" s="68"/>
      <c r="P21" s="69">
        <v>32000000</v>
      </c>
      <c r="Q21" s="113" t="s">
        <v>146</v>
      </c>
      <c r="R21" s="131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s="57" customFormat="1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82</v>
      </c>
      <c r="D22" s="63">
        <v>42573</v>
      </c>
      <c r="E22" s="105" t="s">
        <v>24</v>
      </c>
      <c r="F22" s="107" t="s">
        <v>133</v>
      </c>
      <c r="G22" s="107" t="s">
        <v>134</v>
      </c>
      <c r="H22" s="107" t="s">
        <v>130</v>
      </c>
      <c r="I22" s="105" t="s">
        <v>10</v>
      </c>
      <c r="J22" s="66"/>
      <c r="K22" s="67"/>
      <c r="L22" s="65"/>
      <c r="M22" s="65"/>
      <c r="N22" s="107" t="s">
        <v>135</v>
      </c>
      <c r="O22" s="68"/>
      <c r="P22" s="69">
        <v>160000000</v>
      </c>
      <c r="Q22" s="113" t="s">
        <v>146</v>
      </c>
      <c r="R22" s="131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s="57" customFormat="1" ht="18.75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82</v>
      </c>
      <c r="D23" s="63">
        <v>42573</v>
      </c>
      <c r="E23" s="105" t="s">
        <v>25</v>
      </c>
      <c r="F23" s="107" t="s">
        <v>142</v>
      </c>
      <c r="G23" s="107" t="s">
        <v>141</v>
      </c>
      <c r="H23" s="107" t="s">
        <v>140</v>
      </c>
      <c r="I23" s="105" t="s">
        <v>10</v>
      </c>
      <c r="J23" s="108"/>
      <c r="K23" s="109"/>
      <c r="L23" s="110"/>
      <c r="M23" s="110"/>
      <c r="N23" s="107" t="s">
        <v>143</v>
      </c>
      <c r="O23" s="111"/>
      <c r="P23" s="112">
        <v>40000000</v>
      </c>
      <c r="Q23" s="113" t="s">
        <v>146</v>
      </c>
      <c r="R23" s="131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s="57" customFormat="1" ht="18.75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82</v>
      </c>
      <c r="D24" s="63">
        <v>42573</v>
      </c>
      <c r="E24" s="105" t="s">
        <v>26</v>
      </c>
      <c r="F24" s="64" t="s">
        <v>36</v>
      </c>
      <c r="G24" s="64" t="s">
        <v>32</v>
      </c>
      <c r="H24" s="64" t="s">
        <v>33</v>
      </c>
      <c r="I24" s="65" t="s">
        <v>35</v>
      </c>
      <c r="J24" s="66"/>
      <c r="K24" s="67"/>
      <c r="L24" s="65"/>
      <c r="M24" s="65"/>
      <c r="N24" s="64" t="s">
        <v>165</v>
      </c>
      <c r="O24" s="68"/>
      <c r="P24" s="69">
        <v>20769870</v>
      </c>
      <c r="Q24" s="113" t="s">
        <v>146</v>
      </c>
      <c r="R24" s="131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s="57" customFormat="1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104</v>
      </c>
      <c r="D25" s="67">
        <v>42580</v>
      </c>
      <c r="E25" s="105" t="s">
        <v>23</v>
      </c>
      <c r="F25" s="64" t="s">
        <v>166</v>
      </c>
      <c r="G25" s="64" t="s">
        <v>202</v>
      </c>
      <c r="H25" s="64" t="s">
        <v>167</v>
      </c>
      <c r="I25" s="110" t="s">
        <v>160</v>
      </c>
      <c r="J25" s="66"/>
      <c r="K25" s="67"/>
      <c r="L25" s="65"/>
      <c r="M25" s="65"/>
      <c r="N25" s="115" t="s">
        <v>192</v>
      </c>
      <c r="O25" s="68"/>
      <c r="P25" s="69">
        <f>26959790+26175600</f>
        <v>53135390</v>
      </c>
      <c r="Q25" s="113" t="s">
        <v>193</v>
      </c>
      <c r="R25" s="131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s="57" customFormat="1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si="0"/>
        <v>23</v>
      </c>
      <c r="C26" s="62" t="s">
        <v>128</v>
      </c>
      <c r="D26" s="67">
        <v>42583</v>
      </c>
      <c r="E26" s="105" t="s">
        <v>23</v>
      </c>
      <c r="F26" s="107" t="s">
        <v>132</v>
      </c>
      <c r="G26" s="71" t="s">
        <v>169</v>
      </c>
      <c r="H26" s="64" t="s">
        <v>168</v>
      </c>
      <c r="I26" s="105" t="s">
        <v>10</v>
      </c>
      <c r="J26" s="66"/>
      <c r="K26" s="67"/>
      <c r="L26" s="65"/>
      <c r="M26" s="65"/>
      <c r="N26" s="64" t="s">
        <v>170</v>
      </c>
      <c r="O26" s="68">
        <v>500</v>
      </c>
      <c r="P26" s="69"/>
      <c r="Q26" s="113" t="s">
        <v>194</v>
      </c>
      <c r="R26" s="131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s="57" customFormat="1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0"/>
        <v>24</v>
      </c>
      <c r="C27" s="62" t="s">
        <v>82</v>
      </c>
      <c r="D27" s="67">
        <v>42586</v>
      </c>
      <c r="E27" s="105" t="s">
        <v>23</v>
      </c>
      <c r="F27" s="64" t="s">
        <v>36</v>
      </c>
      <c r="G27" s="64" t="s">
        <v>32</v>
      </c>
      <c r="H27" s="64" t="s">
        <v>33</v>
      </c>
      <c r="I27" s="65" t="s">
        <v>35</v>
      </c>
      <c r="J27" s="66"/>
      <c r="K27" s="67"/>
      <c r="L27" s="65"/>
      <c r="M27" s="65"/>
      <c r="N27" s="64" t="s">
        <v>172</v>
      </c>
      <c r="O27" s="68"/>
      <c r="P27" s="69">
        <v>23985830</v>
      </c>
      <c r="Q27" s="113" t="s">
        <v>194</v>
      </c>
      <c r="R27" s="131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s="57" customFormat="1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0"/>
        <v>25</v>
      </c>
      <c r="C28" s="62" t="s">
        <v>82</v>
      </c>
      <c r="D28" s="67">
        <v>42586</v>
      </c>
      <c r="E28" s="105" t="s">
        <v>24</v>
      </c>
      <c r="F28" s="64" t="s">
        <v>173</v>
      </c>
      <c r="G28" s="71" t="s">
        <v>174</v>
      </c>
      <c r="H28" s="64" t="s">
        <v>175</v>
      </c>
      <c r="I28" s="105" t="s">
        <v>10</v>
      </c>
      <c r="J28" s="66"/>
      <c r="K28" s="67"/>
      <c r="L28" s="65"/>
      <c r="M28" s="65"/>
      <c r="N28" s="64" t="s">
        <v>176</v>
      </c>
      <c r="O28" s="68"/>
      <c r="P28" s="69">
        <v>64375104</v>
      </c>
      <c r="Q28" s="113" t="s">
        <v>194</v>
      </c>
      <c r="R28" s="131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s="57" customFormat="1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ref="B29:B43" si="1">IF(C29&lt;&gt;"",ROW()-3,"")</f>
        <v>26</v>
      </c>
      <c r="C29" s="62" t="s">
        <v>82</v>
      </c>
      <c r="D29" s="67">
        <v>42586</v>
      </c>
      <c r="E29" s="105" t="s">
        <v>25</v>
      </c>
      <c r="F29" s="64" t="s">
        <v>177</v>
      </c>
      <c r="G29" s="71" t="s">
        <v>178</v>
      </c>
      <c r="H29" s="64" t="s">
        <v>179</v>
      </c>
      <c r="I29" s="105" t="s">
        <v>10</v>
      </c>
      <c r="J29" s="66"/>
      <c r="K29" s="67"/>
      <c r="L29" s="65"/>
      <c r="M29" s="65"/>
      <c r="N29" s="64" t="s">
        <v>183</v>
      </c>
      <c r="O29" s="68"/>
      <c r="P29" s="69">
        <v>420000</v>
      </c>
      <c r="Q29" s="113" t="s">
        <v>194</v>
      </c>
      <c r="R29" s="131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s="57" customFormat="1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82</v>
      </c>
      <c r="D30" s="67">
        <v>42586</v>
      </c>
      <c r="E30" s="105" t="s">
        <v>26</v>
      </c>
      <c r="F30" s="64" t="s">
        <v>177</v>
      </c>
      <c r="G30" s="71" t="s">
        <v>180</v>
      </c>
      <c r="H30" s="64" t="s">
        <v>181</v>
      </c>
      <c r="I30" s="105" t="s">
        <v>10</v>
      </c>
      <c r="J30" s="66"/>
      <c r="K30" s="67"/>
      <c r="L30" s="65"/>
      <c r="M30" s="65"/>
      <c r="N30" s="64" t="s">
        <v>182</v>
      </c>
      <c r="O30" s="68"/>
      <c r="P30" s="69">
        <v>9215000</v>
      </c>
      <c r="Q30" s="113" t="s">
        <v>194</v>
      </c>
      <c r="R30" s="131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s="57" customFormat="1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82</v>
      </c>
      <c r="D31" s="67">
        <v>42586</v>
      </c>
      <c r="E31" s="105" t="s">
        <v>84</v>
      </c>
      <c r="F31" s="107" t="s">
        <v>133</v>
      </c>
      <c r="G31" s="107" t="s">
        <v>134</v>
      </c>
      <c r="H31" s="107" t="s">
        <v>130</v>
      </c>
      <c r="I31" s="105" t="s">
        <v>10</v>
      </c>
      <c r="J31" s="66"/>
      <c r="K31" s="67"/>
      <c r="L31" s="65"/>
      <c r="M31" s="65"/>
      <c r="N31" s="107" t="s">
        <v>135</v>
      </c>
      <c r="O31" s="68"/>
      <c r="P31" s="69">
        <v>61000000</v>
      </c>
      <c r="Q31" s="113" t="s">
        <v>194</v>
      </c>
      <c r="R31" s="131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s="57" customFormat="1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104</v>
      </c>
      <c r="D32" s="67">
        <v>42587</v>
      </c>
      <c r="E32" s="105" t="s">
        <v>85</v>
      </c>
      <c r="F32" s="64" t="s">
        <v>189</v>
      </c>
      <c r="G32" s="64" t="s">
        <v>195</v>
      </c>
      <c r="H32" s="64" t="s">
        <v>190</v>
      </c>
      <c r="I32" s="105" t="s">
        <v>10</v>
      </c>
      <c r="J32" s="66"/>
      <c r="K32" s="67"/>
      <c r="L32" s="65"/>
      <c r="M32" s="65"/>
      <c r="N32" s="64" t="s">
        <v>191</v>
      </c>
      <c r="O32" s="68"/>
      <c r="P32" s="69">
        <v>21000000</v>
      </c>
      <c r="Q32" s="113" t="s">
        <v>194</v>
      </c>
      <c r="R32" s="131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s="57" customFormat="1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104</v>
      </c>
      <c r="D33" s="67">
        <v>42586</v>
      </c>
      <c r="E33" s="105" t="s">
        <v>171</v>
      </c>
      <c r="F33" s="64" t="s">
        <v>184</v>
      </c>
      <c r="G33" s="64" t="s">
        <v>185</v>
      </c>
      <c r="H33" s="64" t="s">
        <v>186</v>
      </c>
      <c r="I33" s="65" t="s">
        <v>187</v>
      </c>
      <c r="J33" s="66"/>
      <c r="K33" s="67"/>
      <c r="L33" s="65"/>
      <c r="M33" s="65"/>
      <c r="N33" s="64" t="s">
        <v>188</v>
      </c>
      <c r="O33" s="68"/>
      <c r="P33" s="69">
        <v>40920000</v>
      </c>
      <c r="Q33" s="113" t="s">
        <v>194</v>
      </c>
      <c r="R33" s="131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s="57" customFormat="1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104</v>
      </c>
      <c r="D34" s="67">
        <v>42593</v>
      </c>
      <c r="E34" s="105" t="s">
        <v>23</v>
      </c>
      <c r="F34" s="64" t="s">
        <v>196</v>
      </c>
      <c r="G34" s="64" t="s">
        <v>197</v>
      </c>
      <c r="H34" s="64" t="s">
        <v>198</v>
      </c>
      <c r="I34" s="110" t="s">
        <v>160</v>
      </c>
      <c r="J34" s="66"/>
      <c r="K34" s="67"/>
      <c r="L34" s="65"/>
      <c r="M34" s="65"/>
      <c r="N34" s="64" t="s">
        <v>199</v>
      </c>
      <c r="O34" s="68"/>
      <c r="P34" s="69">
        <v>31034850</v>
      </c>
      <c r="Q34" s="113" t="s">
        <v>194</v>
      </c>
      <c r="R34" s="131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s="57" customFormat="1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104</v>
      </c>
      <c r="D35" s="67">
        <v>42593</v>
      </c>
      <c r="E35" s="105" t="s">
        <v>24</v>
      </c>
      <c r="F35" s="64" t="s">
        <v>200</v>
      </c>
      <c r="G35" s="64" t="s">
        <v>201</v>
      </c>
      <c r="H35" s="64" t="s">
        <v>167</v>
      </c>
      <c r="I35" s="110" t="s">
        <v>160</v>
      </c>
      <c r="J35" s="66"/>
      <c r="K35" s="67"/>
      <c r="L35" s="65"/>
      <c r="M35" s="65"/>
      <c r="N35" s="64" t="s">
        <v>203</v>
      </c>
      <c r="O35" s="68"/>
      <c r="P35" s="69">
        <v>17500000</v>
      </c>
      <c r="Q35" s="113" t="s">
        <v>194</v>
      </c>
      <c r="R35" s="131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s="57" customFormat="1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104</v>
      </c>
      <c r="D36" s="67">
        <v>42594</v>
      </c>
      <c r="E36" s="105" t="s">
        <v>23</v>
      </c>
      <c r="F36" s="64" t="s">
        <v>204</v>
      </c>
      <c r="G36" s="71" t="s">
        <v>420</v>
      </c>
      <c r="H36" s="64" t="s">
        <v>167</v>
      </c>
      <c r="I36" s="110" t="s">
        <v>160</v>
      </c>
      <c r="J36" s="66"/>
      <c r="K36" s="67"/>
      <c r="L36" s="65"/>
      <c r="M36" s="65"/>
      <c r="N36" s="64" t="s">
        <v>205</v>
      </c>
      <c r="O36" s="68"/>
      <c r="P36" s="69">
        <v>62466820</v>
      </c>
      <c r="Q36" s="113" t="s">
        <v>194</v>
      </c>
      <c r="R36" s="131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s="57" customFormat="1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104</v>
      </c>
      <c r="D37" s="67">
        <v>42594</v>
      </c>
      <c r="E37" s="105" t="s">
        <v>24</v>
      </c>
      <c r="F37" s="107" t="s">
        <v>132</v>
      </c>
      <c r="G37" s="64" t="s">
        <v>209</v>
      </c>
      <c r="H37" s="64" t="s">
        <v>206</v>
      </c>
      <c r="I37" s="65" t="s">
        <v>10</v>
      </c>
      <c r="J37" s="66"/>
      <c r="K37" s="67"/>
      <c r="L37" s="65"/>
      <c r="M37" s="65"/>
      <c r="N37" s="64" t="s">
        <v>207</v>
      </c>
      <c r="O37" s="68"/>
      <c r="P37" s="69">
        <v>18000000</v>
      </c>
      <c r="Q37" s="113" t="s">
        <v>194</v>
      </c>
      <c r="R37" s="131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s="57" customFormat="1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82</v>
      </c>
      <c r="D38" s="67">
        <v>42594</v>
      </c>
      <c r="E38" s="105" t="s">
        <v>25</v>
      </c>
      <c r="F38" s="64" t="s">
        <v>36</v>
      </c>
      <c r="G38" s="64" t="s">
        <v>32</v>
      </c>
      <c r="H38" s="64" t="s">
        <v>33</v>
      </c>
      <c r="I38" s="65" t="s">
        <v>35</v>
      </c>
      <c r="J38" s="66"/>
      <c r="K38" s="67"/>
      <c r="L38" s="65"/>
      <c r="M38" s="65"/>
      <c r="N38" s="64" t="s">
        <v>208</v>
      </c>
      <c r="O38" s="68"/>
      <c r="P38" s="69">
        <v>17432580</v>
      </c>
      <c r="Q38" s="113" t="s">
        <v>194</v>
      </c>
      <c r="R38" s="131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s="57" customFormat="1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104</v>
      </c>
      <c r="D39" s="67">
        <v>42594</v>
      </c>
      <c r="E39" s="105" t="s">
        <v>26</v>
      </c>
      <c r="F39" s="64" t="s">
        <v>210</v>
      </c>
      <c r="G39" s="64" t="s">
        <v>211</v>
      </c>
      <c r="H39" s="64" t="s">
        <v>212</v>
      </c>
      <c r="I39" s="110" t="s">
        <v>160</v>
      </c>
      <c r="J39" s="66"/>
      <c r="K39" s="67"/>
      <c r="L39" s="65"/>
      <c r="M39" s="65"/>
      <c r="N39" s="64" t="s">
        <v>213</v>
      </c>
      <c r="O39" s="68"/>
      <c r="P39" s="69">
        <v>200000000</v>
      </c>
      <c r="Q39" s="113" t="s">
        <v>194</v>
      </c>
      <c r="R39" s="131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s="57" customFormat="1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128</v>
      </c>
      <c r="D40" s="67">
        <v>42598</v>
      </c>
      <c r="E40" s="105" t="s">
        <v>23</v>
      </c>
      <c r="F40" s="107" t="s">
        <v>132</v>
      </c>
      <c r="G40" s="107" t="s">
        <v>131</v>
      </c>
      <c r="H40" s="107" t="s">
        <v>130</v>
      </c>
      <c r="I40" s="105" t="s">
        <v>10</v>
      </c>
      <c r="J40" s="108"/>
      <c r="K40" s="109"/>
      <c r="L40" s="110"/>
      <c r="M40" s="110"/>
      <c r="N40" s="107" t="s">
        <v>129</v>
      </c>
      <c r="O40" s="111">
        <v>1600</v>
      </c>
      <c r="P40" s="69"/>
      <c r="Q40" s="113" t="s">
        <v>194</v>
      </c>
      <c r="R40" s="131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s="57" customFormat="1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1"/>
        <v>38</v>
      </c>
      <c r="C41" s="62" t="s">
        <v>144</v>
      </c>
      <c r="D41" s="67">
        <v>42600</v>
      </c>
      <c r="E41" s="105" t="s">
        <v>23</v>
      </c>
      <c r="F41" s="107" t="s">
        <v>132</v>
      </c>
      <c r="G41" s="64" t="s">
        <v>209</v>
      </c>
      <c r="H41" s="107" t="s">
        <v>206</v>
      </c>
      <c r="I41" s="105" t="s">
        <v>10</v>
      </c>
      <c r="J41" s="66"/>
      <c r="K41" s="67"/>
      <c r="L41" s="65"/>
      <c r="M41" s="65"/>
      <c r="N41" s="64" t="s">
        <v>164</v>
      </c>
      <c r="O41" s="68"/>
      <c r="P41" s="69">
        <v>500000000</v>
      </c>
      <c r="Q41" s="104" t="s">
        <v>193</v>
      </c>
      <c r="R41" s="131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s="57" customFormat="1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1"/>
        <v>39</v>
      </c>
      <c r="C42" s="62" t="s">
        <v>144</v>
      </c>
      <c r="D42" s="67">
        <v>42600</v>
      </c>
      <c r="E42" s="105" t="s">
        <v>24</v>
      </c>
      <c r="F42" s="107" t="s">
        <v>133</v>
      </c>
      <c r="G42" s="107" t="s">
        <v>134</v>
      </c>
      <c r="H42" s="107" t="s">
        <v>130</v>
      </c>
      <c r="I42" s="105" t="s">
        <v>10</v>
      </c>
      <c r="J42" s="66"/>
      <c r="K42" s="67"/>
      <c r="L42" s="65"/>
      <c r="M42" s="65"/>
      <c r="N42" s="107" t="s">
        <v>135</v>
      </c>
      <c r="O42" s="68"/>
      <c r="P42" s="69">
        <v>20000000</v>
      </c>
      <c r="Q42" s="104" t="s">
        <v>193</v>
      </c>
      <c r="R42" s="131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s="57" customFormat="1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1"/>
        <v>40</v>
      </c>
      <c r="C43" s="62" t="s">
        <v>82</v>
      </c>
      <c r="D43" s="67">
        <v>42600</v>
      </c>
      <c r="E43" s="105" t="s">
        <v>23</v>
      </c>
      <c r="F43" s="107" t="s">
        <v>153</v>
      </c>
      <c r="G43" s="107" t="s">
        <v>154</v>
      </c>
      <c r="H43" s="107" t="s">
        <v>155</v>
      </c>
      <c r="I43" s="110" t="s">
        <v>10</v>
      </c>
      <c r="J43" s="108"/>
      <c r="K43" s="109"/>
      <c r="L43" s="110"/>
      <c r="M43" s="110"/>
      <c r="N43" s="107" t="s">
        <v>156</v>
      </c>
      <c r="O43" s="111"/>
      <c r="P43" s="112">
        <v>59355400</v>
      </c>
      <c r="Q43" s="113" t="s">
        <v>194</v>
      </c>
      <c r="R43" s="131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s="57" customFormat="1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82</v>
      </c>
      <c r="D44" s="67">
        <v>42600</v>
      </c>
      <c r="E44" s="105" t="s">
        <v>24</v>
      </c>
      <c r="F44" s="64" t="s">
        <v>95</v>
      </c>
      <c r="G44" s="71" t="s">
        <v>450</v>
      </c>
      <c r="H44" s="64" t="s">
        <v>96</v>
      </c>
      <c r="I44" s="62" t="s">
        <v>10</v>
      </c>
      <c r="J44" s="66"/>
      <c r="K44" s="67"/>
      <c r="L44" s="65"/>
      <c r="M44" s="65"/>
      <c r="N44" s="64" t="s">
        <v>97</v>
      </c>
      <c r="O44" s="68"/>
      <c r="P44" s="69">
        <v>50100000</v>
      </c>
      <c r="Q44" s="113" t="s">
        <v>194</v>
      </c>
      <c r="R44" s="131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s="57" customFormat="1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82</v>
      </c>
      <c r="D45" s="67">
        <v>42600</v>
      </c>
      <c r="E45" s="105" t="s">
        <v>25</v>
      </c>
      <c r="F45" s="64" t="s">
        <v>99</v>
      </c>
      <c r="G45" s="64" t="s">
        <v>100</v>
      </c>
      <c r="H45" s="64" t="s">
        <v>101</v>
      </c>
      <c r="I45" s="62" t="s">
        <v>10</v>
      </c>
      <c r="J45" s="66"/>
      <c r="K45" s="67"/>
      <c r="L45" s="65"/>
      <c r="M45" s="65"/>
      <c r="N45" s="64" t="s">
        <v>102</v>
      </c>
      <c r="O45" s="68"/>
      <c r="P45" s="69">
        <v>50000000</v>
      </c>
      <c r="Q45" s="113" t="s">
        <v>194</v>
      </c>
      <c r="R45" s="131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s="57" customFormat="1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82</v>
      </c>
      <c r="D46" s="67">
        <v>42600</v>
      </c>
      <c r="E46" s="105" t="s">
        <v>26</v>
      </c>
      <c r="F46" s="107" t="s">
        <v>214</v>
      </c>
      <c r="G46" s="64" t="s">
        <v>215</v>
      </c>
      <c r="H46" s="64" t="s">
        <v>216</v>
      </c>
      <c r="I46" s="62" t="s">
        <v>10</v>
      </c>
      <c r="J46" s="66"/>
      <c r="K46" s="67"/>
      <c r="L46" s="65"/>
      <c r="M46" s="65"/>
      <c r="N46" s="64" t="s">
        <v>217</v>
      </c>
      <c r="O46" s="68"/>
      <c r="P46" s="69">
        <v>6400000</v>
      </c>
      <c r="Q46" s="113" t="s">
        <v>194</v>
      </c>
      <c r="R46" s="131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s="57" customFormat="1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82</v>
      </c>
      <c r="D47" s="67">
        <v>42600</v>
      </c>
      <c r="E47" s="105" t="s">
        <v>84</v>
      </c>
      <c r="F47" s="64" t="s">
        <v>36</v>
      </c>
      <c r="G47" s="64" t="s">
        <v>32</v>
      </c>
      <c r="H47" s="64" t="s">
        <v>33</v>
      </c>
      <c r="I47" s="65" t="s">
        <v>35</v>
      </c>
      <c r="J47" s="66"/>
      <c r="K47" s="67"/>
      <c r="L47" s="65"/>
      <c r="M47" s="65"/>
      <c r="N47" s="64" t="s">
        <v>218</v>
      </c>
      <c r="O47" s="68"/>
      <c r="P47" s="69">
        <v>32480910</v>
      </c>
      <c r="Q47" s="113" t="s">
        <v>194</v>
      </c>
      <c r="R47" s="131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s="57" customFormat="1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82</v>
      </c>
      <c r="D48" s="67">
        <v>42600</v>
      </c>
      <c r="E48" s="105" t="s">
        <v>85</v>
      </c>
      <c r="F48" s="70" t="s">
        <v>4</v>
      </c>
      <c r="G48" s="70" t="s">
        <v>5</v>
      </c>
      <c r="H48" s="70" t="s">
        <v>6</v>
      </c>
      <c r="I48" s="62" t="s">
        <v>10</v>
      </c>
      <c r="J48" s="72"/>
      <c r="K48" s="63"/>
      <c r="L48" s="62"/>
      <c r="M48" s="62"/>
      <c r="N48" s="70" t="s">
        <v>219</v>
      </c>
      <c r="O48" s="68"/>
      <c r="P48" s="69">
        <v>17842328</v>
      </c>
      <c r="Q48" s="113" t="s">
        <v>194</v>
      </c>
      <c r="R48" s="131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s="57" customFormat="1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104</v>
      </c>
      <c r="D49" s="67">
        <v>42600</v>
      </c>
      <c r="E49" s="105" t="s">
        <v>171</v>
      </c>
      <c r="F49" s="64" t="s">
        <v>221</v>
      </c>
      <c r="G49" s="64" t="s">
        <v>222</v>
      </c>
      <c r="H49" s="64" t="s">
        <v>223</v>
      </c>
      <c r="I49" s="62" t="s">
        <v>10</v>
      </c>
      <c r="J49" s="66"/>
      <c r="K49" s="67"/>
      <c r="L49" s="65"/>
      <c r="M49" s="65"/>
      <c r="N49" s="64" t="s">
        <v>224</v>
      </c>
      <c r="O49" s="68"/>
      <c r="P49" s="69">
        <v>9487000</v>
      </c>
      <c r="Q49" s="113" t="s">
        <v>194</v>
      </c>
      <c r="R49" s="131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s="57" customFormat="1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104</v>
      </c>
      <c r="D50" s="67">
        <v>42600</v>
      </c>
      <c r="E50" s="105" t="s">
        <v>220</v>
      </c>
      <c r="F50" s="64" t="s">
        <v>225</v>
      </c>
      <c r="G50" s="64" t="s">
        <v>226</v>
      </c>
      <c r="H50" s="64" t="s">
        <v>227</v>
      </c>
      <c r="I50" s="110" t="s">
        <v>160</v>
      </c>
      <c r="J50" s="66"/>
      <c r="K50" s="67"/>
      <c r="L50" s="65"/>
      <c r="M50" s="65"/>
      <c r="N50" s="64" t="s">
        <v>228</v>
      </c>
      <c r="O50" s="68"/>
      <c r="P50" s="69">
        <v>8143872</v>
      </c>
      <c r="Q50" s="113" t="s">
        <v>194</v>
      </c>
      <c r="R50" s="131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s="57" customFormat="1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82</v>
      </c>
      <c r="D51" s="67">
        <v>42600</v>
      </c>
      <c r="E51" s="105" t="s">
        <v>230</v>
      </c>
      <c r="F51" s="107" t="s">
        <v>133</v>
      </c>
      <c r="G51" s="107" t="s">
        <v>134</v>
      </c>
      <c r="H51" s="107" t="s">
        <v>130</v>
      </c>
      <c r="I51" s="105" t="s">
        <v>10</v>
      </c>
      <c r="J51" s="66"/>
      <c r="K51" s="67"/>
      <c r="L51" s="65"/>
      <c r="M51" s="65"/>
      <c r="N51" s="107" t="s">
        <v>135</v>
      </c>
      <c r="O51" s="68"/>
      <c r="P51" s="69">
        <v>30000000</v>
      </c>
      <c r="Q51" s="113" t="s">
        <v>194</v>
      </c>
      <c r="R51" s="131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s="57" customFormat="1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si="0"/>
        <v>49</v>
      </c>
      <c r="C52" s="62" t="s">
        <v>104</v>
      </c>
      <c r="D52" s="67">
        <v>42600</v>
      </c>
      <c r="E52" s="105" t="s">
        <v>231</v>
      </c>
      <c r="F52" s="64" t="s">
        <v>166</v>
      </c>
      <c r="G52" s="64" t="s">
        <v>202</v>
      </c>
      <c r="H52" s="64" t="s">
        <v>167</v>
      </c>
      <c r="I52" s="110" t="s">
        <v>160</v>
      </c>
      <c r="J52" s="66"/>
      <c r="K52" s="67"/>
      <c r="L52" s="65"/>
      <c r="M52" s="65"/>
      <c r="N52" s="115" t="s">
        <v>229</v>
      </c>
      <c r="O52" s="68"/>
      <c r="P52" s="69">
        <v>30533800</v>
      </c>
      <c r="Q52" s="113" t="s">
        <v>194</v>
      </c>
      <c r="R52" s="131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s="57" customFormat="1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0"/>
        <v>50</v>
      </c>
      <c r="C53" s="62" t="s">
        <v>128</v>
      </c>
      <c r="D53" s="67">
        <v>42606</v>
      </c>
      <c r="E53" s="105" t="s">
        <v>23</v>
      </c>
      <c r="F53" s="64" t="s">
        <v>232</v>
      </c>
      <c r="G53" s="64" t="s">
        <v>233</v>
      </c>
      <c r="H53" s="64" t="s">
        <v>216</v>
      </c>
      <c r="I53" s="62" t="s">
        <v>10</v>
      </c>
      <c r="J53" s="66"/>
      <c r="K53" s="67"/>
      <c r="L53" s="65"/>
      <c r="M53" s="65"/>
      <c r="N53" s="64" t="s">
        <v>234</v>
      </c>
      <c r="O53" s="68"/>
      <c r="P53" s="69">
        <v>28690200</v>
      </c>
      <c r="Q53" s="104" t="s">
        <v>193</v>
      </c>
      <c r="R53" s="131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s="57" customFormat="1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0"/>
        <v>51</v>
      </c>
      <c r="C54" s="62" t="s">
        <v>82</v>
      </c>
      <c r="D54" s="67">
        <v>42611</v>
      </c>
      <c r="E54" s="105" t="s">
        <v>23</v>
      </c>
      <c r="F54" s="107" t="s">
        <v>132</v>
      </c>
      <c r="G54" s="107" t="s">
        <v>131</v>
      </c>
      <c r="H54" s="107" t="s">
        <v>130</v>
      </c>
      <c r="I54" s="105" t="s">
        <v>10</v>
      </c>
      <c r="J54" s="108"/>
      <c r="K54" s="109"/>
      <c r="L54" s="110"/>
      <c r="M54" s="110"/>
      <c r="N54" s="107" t="s">
        <v>129</v>
      </c>
      <c r="O54" s="111">
        <v>8600</v>
      </c>
      <c r="P54" s="69"/>
      <c r="Q54" s="113" t="s">
        <v>194</v>
      </c>
      <c r="R54" s="131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s="57" customFormat="1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ref="B55:B60" si="2">IF(C55&lt;&gt;"",ROW()-3,"")</f>
        <v>52</v>
      </c>
      <c r="C55" s="62" t="s">
        <v>128</v>
      </c>
      <c r="D55" s="67">
        <v>42611</v>
      </c>
      <c r="E55" s="105" t="s">
        <v>24</v>
      </c>
      <c r="F55" s="107" t="s">
        <v>132</v>
      </c>
      <c r="G55" s="71" t="s">
        <v>162</v>
      </c>
      <c r="H55" s="64" t="s">
        <v>163</v>
      </c>
      <c r="I55" s="105" t="s">
        <v>10</v>
      </c>
      <c r="J55" s="66"/>
      <c r="K55" s="67"/>
      <c r="L55" s="65"/>
      <c r="M55" s="65"/>
      <c r="N55" s="64" t="s">
        <v>164</v>
      </c>
      <c r="O55" s="68"/>
      <c r="P55" s="69">
        <v>210000000</v>
      </c>
      <c r="Q55" s="113" t="s">
        <v>194</v>
      </c>
      <c r="R55" s="131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s="57" customFormat="1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144</v>
      </c>
      <c r="D56" s="67">
        <v>42611</v>
      </c>
      <c r="E56" s="105" t="s">
        <v>25</v>
      </c>
      <c r="F56" s="107" t="s">
        <v>132</v>
      </c>
      <c r="G56" s="107" t="s">
        <v>261</v>
      </c>
      <c r="H56" s="107" t="s">
        <v>130</v>
      </c>
      <c r="I56" s="105" t="s">
        <v>10</v>
      </c>
      <c r="J56" s="66"/>
      <c r="K56" s="67"/>
      <c r="L56" s="65"/>
      <c r="M56" s="65"/>
      <c r="N56" s="64" t="s">
        <v>170</v>
      </c>
      <c r="O56" s="68">
        <v>6700</v>
      </c>
      <c r="P56" s="69"/>
      <c r="Q56" s="113" t="s">
        <v>194</v>
      </c>
      <c r="R56" s="131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s="57" customFormat="1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128</v>
      </c>
      <c r="D57" s="67">
        <v>42613</v>
      </c>
      <c r="E57" s="105" t="s">
        <v>23</v>
      </c>
      <c r="F57" s="107" t="s">
        <v>132</v>
      </c>
      <c r="G57" s="64" t="s">
        <v>209</v>
      </c>
      <c r="H57" s="64" t="s">
        <v>206</v>
      </c>
      <c r="I57" s="65" t="s">
        <v>10</v>
      </c>
      <c r="J57" s="66"/>
      <c r="K57" s="67"/>
      <c r="L57" s="65"/>
      <c r="M57" s="65"/>
      <c r="N57" s="107" t="s">
        <v>129</v>
      </c>
      <c r="O57" s="68">
        <v>6700</v>
      </c>
      <c r="P57" s="69"/>
      <c r="Q57" s="113" t="s">
        <v>194</v>
      </c>
      <c r="R57" s="131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s="57" customFormat="1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2"/>
        <v>55</v>
      </c>
      <c r="C58" s="62" t="s">
        <v>82</v>
      </c>
      <c r="D58" s="67">
        <v>42613</v>
      </c>
      <c r="E58" s="105" t="s">
        <v>24</v>
      </c>
      <c r="F58" s="107" t="s">
        <v>133</v>
      </c>
      <c r="G58" s="107" t="s">
        <v>134</v>
      </c>
      <c r="H58" s="107" t="s">
        <v>130</v>
      </c>
      <c r="I58" s="105" t="s">
        <v>10</v>
      </c>
      <c r="J58" s="66"/>
      <c r="K58" s="67"/>
      <c r="L58" s="65"/>
      <c r="M58" s="65"/>
      <c r="N58" s="107" t="s">
        <v>135</v>
      </c>
      <c r="O58" s="68"/>
      <c r="P58" s="69">
        <v>23000000</v>
      </c>
      <c r="Q58" s="113" t="s">
        <v>194</v>
      </c>
      <c r="R58" s="131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s="57" customFormat="1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2"/>
        <v>56</v>
      </c>
      <c r="C59" s="62" t="s">
        <v>104</v>
      </c>
      <c r="D59" s="67">
        <v>42613</v>
      </c>
      <c r="E59" s="105" t="s">
        <v>26</v>
      </c>
      <c r="F59" s="64" t="s">
        <v>166</v>
      </c>
      <c r="G59" s="64" t="s">
        <v>267</v>
      </c>
      <c r="H59" s="64" t="s">
        <v>227</v>
      </c>
      <c r="I59" s="110" t="s">
        <v>160</v>
      </c>
      <c r="J59" s="66"/>
      <c r="K59" s="67"/>
      <c r="L59" s="65"/>
      <c r="M59" s="65"/>
      <c r="N59" s="115" t="s">
        <v>262</v>
      </c>
      <c r="O59" s="68"/>
      <c r="P59" s="69">
        <v>22821810</v>
      </c>
      <c r="Q59" s="113" t="s">
        <v>194</v>
      </c>
      <c r="R59" s="131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s="57" customFormat="1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2"/>
        <v>57</v>
      </c>
      <c r="C60" s="62" t="s">
        <v>144</v>
      </c>
      <c r="D60" s="67">
        <v>42627</v>
      </c>
      <c r="E60" s="105" t="s">
        <v>23</v>
      </c>
      <c r="F60" s="64" t="s">
        <v>36</v>
      </c>
      <c r="G60" s="64" t="s">
        <v>32</v>
      </c>
      <c r="H60" s="64" t="s">
        <v>33</v>
      </c>
      <c r="I60" s="65" t="s">
        <v>35</v>
      </c>
      <c r="J60" s="66"/>
      <c r="K60" s="67"/>
      <c r="L60" s="65"/>
      <c r="M60" s="65"/>
      <c r="N60" s="64" t="s">
        <v>268</v>
      </c>
      <c r="O60" s="68"/>
      <c r="P60" s="69">
        <v>24068550</v>
      </c>
      <c r="Q60" s="104" t="s">
        <v>193</v>
      </c>
      <c r="R60" s="131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s="57" customFormat="1" ht="18.75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82</v>
      </c>
      <c r="D61" s="67">
        <v>42635</v>
      </c>
      <c r="E61" s="105" t="s">
        <v>23</v>
      </c>
      <c r="F61" s="64" t="s">
        <v>36</v>
      </c>
      <c r="G61" s="64" t="s">
        <v>32</v>
      </c>
      <c r="H61" s="64" t="s">
        <v>33</v>
      </c>
      <c r="I61" s="65" t="s">
        <v>35</v>
      </c>
      <c r="J61" s="66"/>
      <c r="K61" s="67"/>
      <c r="L61" s="65"/>
      <c r="M61" s="65"/>
      <c r="N61" s="64" t="s">
        <v>269</v>
      </c>
      <c r="O61" s="68"/>
      <c r="P61" s="69">
        <v>21641290</v>
      </c>
      <c r="Q61" s="104" t="s">
        <v>193</v>
      </c>
      <c r="R61" s="131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s="57" customFormat="1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82</v>
      </c>
      <c r="D62" s="67">
        <v>42635</v>
      </c>
      <c r="E62" s="105" t="s">
        <v>24</v>
      </c>
      <c r="F62" s="64" t="s">
        <v>177</v>
      </c>
      <c r="G62" s="71" t="s">
        <v>271</v>
      </c>
      <c r="H62" s="64" t="s">
        <v>179</v>
      </c>
      <c r="I62" s="105" t="s">
        <v>10</v>
      </c>
      <c r="J62" s="66"/>
      <c r="K62" s="67"/>
      <c r="L62" s="65"/>
      <c r="M62" s="65"/>
      <c r="N62" s="64" t="s">
        <v>270</v>
      </c>
      <c r="O62" s="68"/>
      <c r="P62" s="69">
        <v>1663000</v>
      </c>
      <c r="Q62" s="104" t="s">
        <v>193</v>
      </c>
      <c r="R62" s="131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s="57" customFormat="1" ht="18.75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82</v>
      </c>
      <c r="D63" s="67">
        <v>42635</v>
      </c>
      <c r="E63" s="105" t="s">
        <v>25</v>
      </c>
      <c r="F63" s="64" t="s">
        <v>177</v>
      </c>
      <c r="G63" s="71" t="s">
        <v>180</v>
      </c>
      <c r="H63" s="64" t="s">
        <v>181</v>
      </c>
      <c r="I63" s="105" t="s">
        <v>10</v>
      </c>
      <c r="J63" s="66"/>
      <c r="K63" s="67"/>
      <c r="L63" s="65"/>
      <c r="M63" s="65"/>
      <c r="N63" s="64" t="s">
        <v>272</v>
      </c>
      <c r="O63" s="68"/>
      <c r="P63" s="69">
        <v>27700000</v>
      </c>
      <c r="Q63" s="104" t="s">
        <v>193</v>
      </c>
      <c r="R63" s="131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s="57" customFormat="1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144</v>
      </c>
      <c r="D64" s="67">
        <v>42642</v>
      </c>
      <c r="E64" s="105" t="s">
        <v>23</v>
      </c>
      <c r="F64" s="107" t="s">
        <v>133</v>
      </c>
      <c r="G64" s="107" t="s">
        <v>134</v>
      </c>
      <c r="H64" s="107" t="s">
        <v>130</v>
      </c>
      <c r="I64" s="105" t="s">
        <v>10</v>
      </c>
      <c r="J64" s="66"/>
      <c r="K64" s="67"/>
      <c r="L64" s="65"/>
      <c r="M64" s="65"/>
      <c r="N64" s="107" t="s">
        <v>135</v>
      </c>
      <c r="O64" s="68"/>
      <c r="P64" s="69">
        <v>60000000</v>
      </c>
      <c r="Q64" s="104" t="s">
        <v>193</v>
      </c>
      <c r="R64" s="131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s="57" customFormat="1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104</v>
      </c>
      <c r="D65" s="67">
        <v>42642</v>
      </c>
      <c r="E65" s="105" t="s">
        <v>24</v>
      </c>
      <c r="F65" s="64" t="s">
        <v>166</v>
      </c>
      <c r="G65" s="64" t="s">
        <v>202</v>
      </c>
      <c r="H65" s="64" t="s">
        <v>167</v>
      </c>
      <c r="I65" s="110" t="s">
        <v>160</v>
      </c>
      <c r="J65" s="66"/>
      <c r="K65" s="67"/>
      <c r="L65" s="65"/>
      <c r="M65" s="65"/>
      <c r="N65" s="115" t="s">
        <v>273</v>
      </c>
      <c r="O65" s="68"/>
      <c r="P65" s="69">
        <f>41688680+46359940</f>
        <v>88048620</v>
      </c>
      <c r="Q65" s="104" t="s">
        <v>193</v>
      </c>
      <c r="R65" s="131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s="57" customFormat="1" ht="18.75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62">
        <f t="shared" si="0"/>
        <v>63</v>
      </c>
      <c r="C66" s="62" t="s">
        <v>128</v>
      </c>
      <c r="D66" s="67">
        <v>42646</v>
      </c>
      <c r="E66" s="105" t="s">
        <v>23</v>
      </c>
      <c r="F66" s="64" t="s">
        <v>275</v>
      </c>
      <c r="G66" s="64" t="s">
        <v>276</v>
      </c>
      <c r="H66" s="64" t="s">
        <v>277</v>
      </c>
      <c r="I66" s="65" t="s">
        <v>278</v>
      </c>
      <c r="J66" s="66"/>
      <c r="K66" s="67"/>
      <c r="L66" s="65"/>
      <c r="M66" s="65"/>
      <c r="N66" s="64" t="s">
        <v>274</v>
      </c>
      <c r="O66" s="68"/>
      <c r="P66" s="69">
        <v>100000000</v>
      </c>
      <c r="Q66" s="113" t="s">
        <v>194</v>
      </c>
      <c r="R66" s="131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s="57" customFormat="1" ht="18.75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62">
        <f t="shared" si="0"/>
        <v>64</v>
      </c>
      <c r="C67" s="62" t="s">
        <v>82</v>
      </c>
      <c r="D67" s="67">
        <v>42647</v>
      </c>
      <c r="E67" s="105" t="s">
        <v>23</v>
      </c>
      <c r="F67" s="64" t="s">
        <v>36</v>
      </c>
      <c r="G67" s="64" t="s">
        <v>32</v>
      </c>
      <c r="H67" s="64" t="s">
        <v>33</v>
      </c>
      <c r="I67" s="65" t="s">
        <v>35</v>
      </c>
      <c r="J67" s="66"/>
      <c r="K67" s="67"/>
      <c r="L67" s="65"/>
      <c r="M67" s="65"/>
      <c r="N67" s="64" t="s">
        <v>279</v>
      </c>
      <c r="O67" s="68"/>
      <c r="P67" s="69">
        <v>24156880</v>
      </c>
      <c r="Q67" s="104" t="s">
        <v>193</v>
      </c>
      <c r="R67" s="131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s="57" customFormat="1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0"/>
        <v>65</v>
      </c>
      <c r="C68" s="62" t="s">
        <v>144</v>
      </c>
      <c r="D68" s="67">
        <v>42648</v>
      </c>
      <c r="E68" s="105" t="s">
        <v>23</v>
      </c>
      <c r="F68" s="64" t="s">
        <v>280</v>
      </c>
      <c r="G68" s="64" t="s">
        <v>282</v>
      </c>
      <c r="H68" s="64" t="s">
        <v>281</v>
      </c>
      <c r="I68" s="105" t="s">
        <v>10</v>
      </c>
      <c r="J68" s="66"/>
      <c r="K68" s="67"/>
      <c r="L68" s="65"/>
      <c r="M68" s="65"/>
      <c r="N68" s="64" t="s">
        <v>283</v>
      </c>
      <c r="O68" s="68"/>
      <c r="P68" s="69">
        <v>873400</v>
      </c>
      <c r="Q68" s="104" t="s">
        <v>193</v>
      </c>
      <c r="R68" s="131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s="130" customFormat="1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122">
        <f t="shared" ref="B69:B78" si="3">IF(C69&lt;&gt;"",ROW()-3,"")</f>
        <v>66</v>
      </c>
      <c r="C69" s="122" t="s">
        <v>144</v>
      </c>
      <c r="D69" s="123">
        <v>42650</v>
      </c>
      <c r="E69" s="122" t="s">
        <v>23</v>
      </c>
      <c r="F69" s="125" t="s">
        <v>280</v>
      </c>
      <c r="G69" s="125" t="s">
        <v>282</v>
      </c>
      <c r="H69" s="125" t="s">
        <v>281</v>
      </c>
      <c r="I69" s="122" t="s">
        <v>10</v>
      </c>
      <c r="J69" s="126"/>
      <c r="K69" s="123"/>
      <c r="L69" s="124"/>
      <c r="M69" s="124"/>
      <c r="N69" s="125" t="s">
        <v>284</v>
      </c>
      <c r="O69" s="127"/>
      <c r="P69" s="128">
        <f>13197880-P68</f>
        <v>12324480</v>
      </c>
      <c r="Q69" s="129" t="s">
        <v>193</v>
      </c>
      <c r="R69" s="131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s="130" customFormat="1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122">
        <f t="shared" si="3"/>
        <v>67</v>
      </c>
      <c r="C70" s="122" t="s">
        <v>144</v>
      </c>
      <c r="D70" s="123">
        <v>42650</v>
      </c>
      <c r="E70" s="122" t="s">
        <v>24</v>
      </c>
      <c r="F70" s="125" t="s">
        <v>285</v>
      </c>
      <c r="G70" s="125" t="s">
        <v>286</v>
      </c>
      <c r="H70" s="125" t="s">
        <v>287</v>
      </c>
      <c r="I70" s="122" t="s">
        <v>10</v>
      </c>
      <c r="J70" s="126"/>
      <c r="K70" s="123"/>
      <c r="L70" s="124"/>
      <c r="M70" s="124"/>
      <c r="N70" s="125" t="s">
        <v>288</v>
      </c>
      <c r="O70" s="127"/>
      <c r="P70" s="128">
        <f>51480000+51700000</f>
        <v>103180000</v>
      </c>
      <c r="Q70" s="129" t="s">
        <v>193</v>
      </c>
      <c r="R70" s="131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s="57" customFormat="1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si="3"/>
        <v>68</v>
      </c>
      <c r="C71" s="122" t="s">
        <v>144</v>
      </c>
      <c r="D71" s="123">
        <v>42650</v>
      </c>
      <c r="E71" s="122" t="s">
        <v>25</v>
      </c>
      <c r="F71" s="64" t="s">
        <v>275</v>
      </c>
      <c r="G71" s="64" t="s">
        <v>276</v>
      </c>
      <c r="H71" s="64" t="s">
        <v>277</v>
      </c>
      <c r="I71" s="65" t="s">
        <v>278</v>
      </c>
      <c r="J71" s="66"/>
      <c r="K71" s="67"/>
      <c r="L71" s="65"/>
      <c r="M71" s="65"/>
      <c r="N71" s="64" t="s">
        <v>274</v>
      </c>
      <c r="O71" s="68"/>
      <c r="P71" s="69">
        <v>98056855</v>
      </c>
      <c r="Q71" s="129" t="s">
        <v>193</v>
      </c>
      <c r="R71" s="131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s="57" customFormat="1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122" t="s">
        <v>144</v>
      </c>
      <c r="D72" s="123">
        <v>42650</v>
      </c>
      <c r="E72" s="122" t="s">
        <v>26</v>
      </c>
      <c r="F72" s="125" t="s">
        <v>263</v>
      </c>
      <c r="G72" s="125" t="s">
        <v>264</v>
      </c>
      <c r="H72" s="125" t="s">
        <v>265</v>
      </c>
      <c r="I72" s="124" t="s">
        <v>10</v>
      </c>
      <c r="J72" s="126"/>
      <c r="K72" s="123"/>
      <c r="L72" s="124"/>
      <c r="M72" s="124"/>
      <c r="N72" s="125" t="s">
        <v>266</v>
      </c>
      <c r="O72" s="127"/>
      <c r="P72" s="128">
        <v>84566900</v>
      </c>
      <c r="Q72" s="129" t="s">
        <v>193</v>
      </c>
      <c r="R72" s="131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s="57" customFormat="1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ref="B73" si="4">IF(C73&lt;&gt;"",ROW()-3,"")</f>
        <v>70</v>
      </c>
      <c r="C73" s="122" t="s">
        <v>144</v>
      </c>
      <c r="D73" s="123">
        <v>42650</v>
      </c>
      <c r="E73" s="122" t="s">
        <v>84</v>
      </c>
      <c r="F73" s="107" t="s">
        <v>142</v>
      </c>
      <c r="G73" s="107" t="s">
        <v>141</v>
      </c>
      <c r="H73" s="107" t="s">
        <v>140</v>
      </c>
      <c r="I73" s="105" t="s">
        <v>10</v>
      </c>
      <c r="J73" s="108"/>
      <c r="K73" s="109"/>
      <c r="L73" s="110"/>
      <c r="M73" s="110"/>
      <c r="N73" s="107" t="s">
        <v>143</v>
      </c>
      <c r="O73" s="111"/>
      <c r="P73" s="112">
        <v>37480000</v>
      </c>
      <c r="Q73" s="129" t="s">
        <v>193</v>
      </c>
      <c r="R73" s="131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s="57" customFormat="1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ref="B74" si="5">IF(C74&lt;&gt;"",ROW()-3,"")</f>
        <v>71</v>
      </c>
      <c r="C74" s="122" t="s">
        <v>144</v>
      </c>
      <c r="D74" s="123">
        <v>42650</v>
      </c>
      <c r="E74" s="122" t="s">
        <v>85</v>
      </c>
      <c r="F74" s="107" t="s">
        <v>132</v>
      </c>
      <c r="G74" s="107" t="s">
        <v>261</v>
      </c>
      <c r="H74" s="107" t="s">
        <v>130</v>
      </c>
      <c r="I74" s="105" t="s">
        <v>10</v>
      </c>
      <c r="J74" s="66"/>
      <c r="K74" s="67"/>
      <c r="L74" s="65"/>
      <c r="M74" s="65"/>
      <c r="N74" s="64" t="s">
        <v>170</v>
      </c>
      <c r="O74" s="68">
        <v>94600</v>
      </c>
      <c r="P74" s="112"/>
      <c r="Q74" s="129" t="s">
        <v>193</v>
      </c>
      <c r="R74" s="131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s="57" customFormat="1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122" t="s">
        <v>104</v>
      </c>
      <c r="D75" s="123">
        <v>42650</v>
      </c>
      <c r="E75" s="122" t="s">
        <v>23</v>
      </c>
      <c r="F75" s="64" t="s">
        <v>189</v>
      </c>
      <c r="G75" s="64" t="s">
        <v>195</v>
      </c>
      <c r="H75" s="64" t="s">
        <v>190</v>
      </c>
      <c r="I75" s="105" t="s">
        <v>10</v>
      </c>
      <c r="J75" s="66"/>
      <c r="K75" s="67"/>
      <c r="L75" s="65"/>
      <c r="M75" s="65"/>
      <c r="N75" s="64" t="s">
        <v>191</v>
      </c>
      <c r="O75" s="68"/>
      <c r="P75" s="69">
        <v>23500000</v>
      </c>
      <c r="Q75" s="113" t="s">
        <v>194</v>
      </c>
      <c r="R75" s="131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s="57" customFormat="1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3"/>
        <v>73</v>
      </c>
      <c r="C76" s="122" t="s">
        <v>104</v>
      </c>
      <c r="D76" s="123">
        <v>42650</v>
      </c>
      <c r="E76" s="122" t="s">
        <v>24</v>
      </c>
      <c r="F76" s="64" t="s">
        <v>210</v>
      </c>
      <c r="G76" s="64" t="s">
        <v>211</v>
      </c>
      <c r="H76" s="64" t="s">
        <v>212</v>
      </c>
      <c r="I76" s="110" t="s">
        <v>160</v>
      </c>
      <c r="J76" s="66"/>
      <c r="K76" s="67"/>
      <c r="L76" s="65"/>
      <c r="M76" s="65"/>
      <c r="N76" s="64" t="s">
        <v>213</v>
      </c>
      <c r="O76" s="68"/>
      <c r="P76" s="69">
        <v>200000000</v>
      </c>
      <c r="Q76" s="113" t="s">
        <v>194</v>
      </c>
      <c r="R76" s="131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s="57" customFormat="1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3"/>
        <v>74</v>
      </c>
      <c r="C77" s="122" t="s">
        <v>104</v>
      </c>
      <c r="D77" s="123">
        <v>42650</v>
      </c>
      <c r="E77" s="122" t="s">
        <v>25</v>
      </c>
      <c r="F77" s="64" t="s">
        <v>289</v>
      </c>
      <c r="G77" s="64" t="s">
        <v>290</v>
      </c>
      <c r="H77" s="64" t="s">
        <v>291</v>
      </c>
      <c r="I77" s="105" t="s">
        <v>10</v>
      </c>
      <c r="J77" s="66"/>
      <c r="K77" s="67"/>
      <c r="L77" s="65"/>
      <c r="M77" s="65"/>
      <c r="N77" s="64" t="s">
        <v>143</v>
      </c>
      <c r="O77" s="68"/>
      <c r="P77" s="69">
        <v>200000000</v>
      </c>
      <c r="Q77" s="113" t="s">
        <v>194</v>
      </c>
      <c r="R77" s="131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s="57" customFormat="1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3"/>
        <v>75</v>
      </c>
      <c r="C78" s="122" t="s">
        <v>104</v>
      </c>
      <c r="D78" s="123">
        <v>42650</v>
      </c>
      <c r="E78" s="122" t="s">
        <v>26</v>
      </c>
      <c r="F78" s="64" t="s">
        <v>292</v>
      </c>
      <c r="G78" s="64" t="s">
        <v>293</v>
      </c>
      <c r="H78" s="64" t="s">
        <v>294</v>
      </c>
      <c r="I78" s="105" t="s">
        <v>10</v>
      </c>
      <c r="J78" s="66"/>
      <c r="K78" s="67"/>
      <c r="L78" s="65"/>
      <c r="M78" s="65"/>
      <c r="N78" s="64" t="s">
        <v>295</v>
      </c>
      <c r="O78" s="68"/>
      <c r="P78" s="69">
        <v>199632000</v>
      </c>
      <c r="Q78" s="113" t="s">
        <v>194</v>
      </c>
      <c r="R78" s="131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s="57" customFormat="1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122" t="s">
        <v>104</v>
      </c>
      <c r="D79" s="123">
        <v>42650</v>
      </c>
      <c r="E79" s="122" t="s">
        <v>84</v>
      </c>
      <c r="F79" s="64" t="s">
        <v>296</v>
      </c>
      <c r="G79" s="64" t="s">
        <v>297</v>
      </c>
      <c r="H79" s="64" t="s">
        <v>298</v>
      </c>
      <c r="I79" s="105" t="s">
        <v>10</v>
      </c>
      <c r="J79" s="66"/>
      <c r="K79" s="67"/>
      <c r="L79" s="65"/>
      <c r="M79" s="65"/>
      <c r="N79" s="64" t="s">
        <v>299</v>
      </c>
      <c r="O79" s="68"/>
      <c r="P79" s="69">
        <v>94100000</v>
      </c>
      <c r="Q79" s="113" t="s">
        <v>194</v>
      </c>
      <c r="R79" s="131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s="57" customFormat="1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si="0"/>
        <v>77</v>
      </c>
      <c r="C80" s="122" t="s">
        <v>104</v>
      </c>
      <c r="D80" s="123">
        <v>42650</v>
      </c>
      <c r="E80" s="122" t="s">
        <v>85</v>
      </c>
      <c r="F80" s="64" t="s">
        <v>300</v>
      </c>
      <c r="G80" s="64" t="s">
        <v>301</v>
      </c>
      <c r="H80" s="64" t="s">
        <v>302</v>
      </c>
      <c r="I80" s="110" t="s">
        <v>160</v>
      </c>
      <c r="J80" s="66"/>
      <c r="K80" s="67"/>
      <c r="L80" s="65"/>
      <c r="M80" s="65"/>
      <c r="N80" s="64" t="s">
        <v>303</v>
      </c>
      <c r="O80" s="68"/>
      <c r="P80" s="69">
        <v>25850000</v>
      </c>
      <c r="Q80" s="113" t="s">
        <v>194</v>
      </c>
      <c r="R80" s="131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s="57" customFormat="1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0"/>
        <v>78</v>
      </c>
      <c r="C81" s="122" t="s">
        <v>104</v>
      </c>
      <c r="D81" s="123">
        <v>42650</v>
      </c>
      <c r="E81" s="122" t="s">
        <v>171</v>
      </c>
      <c r="F81" s="64" t="s">
        <v>304</v>
      </c>
      <c r="G81" s="71" t="s">
        <v>418</v>
      </c>
      <c r="H81" s="64" t="s">
        <v>305</v>
      </c>
      <c r="I81" s="110" t="s">
        <v>160</v>
      </c>
      <c r="J81" s="66"/>
      <c r="K81" s="67"/>
      <c r="L81" s="65"/>
      <c r="M81" s="65"/>
      <c r="N81" s="64" t="s">
        <v>307</v>
      </c>
      <c r="O81" s="68"/>
      <c r="P81" s="69">
        <v>100000000</v>
      </c>
      <c r="Q81" s="113" t="s">
        <v>194</v>
      </c>
      <c r="R81" s="131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s="57" customFormat="1" ht="18.75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0"/>
        <v>79</v>
      </c>
      <c r="C82" s="62" t="s">
        <v>128</v>
      </c>
      <c r="D82" s="123">
        <v>42651</v>
      </c>
      <c r="E82" s="122" t="s">
        <v>23</v>
      </c>
      <c r="F82" s="107" t="s">
        <v>132</v>
      </c>
      <c r="G82" s="107" t="s">
        <v>131</v>
      </c>
      <c r="H82" s="107" t="s">
        <v>130</v>
      </c>
      <c r="I82" s="105" t="s">
        <v>10</v>
      </c>
      <c r="J82" s="108"/>
      <c r="K82" s="109"/>
      <c r="L82" s="110"/>
      <c r="M82" s="110"/>
      <c r="N82" s="107" t="s">
        <v>129</v>
      </c>
      <c r="O82" s="111">
        <v>94500</v>
      </c>
      <c r="P82" s="69"/>
      <c r="Q82" s="129" t="s">
        <v>193</v>
      </c>
      <c r="R82" s="131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s="57" customFormat="1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ref="B83:B86" si="6">IF(C83&lt;&gt;"",ROW()-3,"")</f>
        <v>80</v>
      </c>
      <c r="C83" s="62" t="s">
        <v>104</v>
      </c>
      <c r="D83" s="67">
        <v>42654</v>
      </c>
      <c r="E83" s="122" t="s">
        <v>23</v>
      </c>
      <c r="F83" s="64" t="s">
        <v>300</v>
      </c>
      <c r="G83" s="64" t="s">
        <v>301</v>
      </c>
      <c r="H83" s="64" t="s">
        <v>302</v>
      </c>
      <c r="I83" s="110" t="s">
        <v>160</v>
      </c>
      <c r="J83" s="66"/>
      <c r="K83" s="67"/>
      <c r="L83" s="65"/>
      <c r="M83" s="65"/>
      <c r="N83" s="64" t="s">
        <v>303</v>
      </c>
      <c r="O83" s="68"/>
      <c r="P83" s="69">
        <v>49232000</v>
      </c>
      <c r="Q83" s="113" t="s">
        <v>194</v>
      </c>
      <c r="R83" s="131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s="57" customFormat="1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6"/>
        <v>81</v>
      </c>
      <c r="C84" s="62" t="s">
        <v>144</v>
      </c>
      <c r="D84" s="67">
        <v>42653</v>
      </c>
      <c r="E84" s="122" t="s">
        <v>23</v>
      </c>
      <c r="F84" s="64" t="s">
        <v>36</v>
      </c>
      <c r="G84" s="64" t="s">
        <v>32</v>
      </c>
      <c r="H84" s="64" t="s">
        <v>33</v>
      </c>
      <c r="I84" s="65" t="s">
        <v>35</v>
      </c>
      <c r="J84" s="66"/>
      <c r="K84" s="67"/>
      <c r="L84" s="65"/>
      <c r="M84" s="65"/>
      <c r="N84" s="64" t="s">
        <v>306</v>
      </c>
      <c r="O84" s="68"/>
      <c r="P84" s="69">
        <v>21023640</v>
      </c>
      <c r="Q84" s="129" t="s">
        <v>193</v>
      </c>
      <c r="R84" s="131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s="57" customFormat="1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6"/>
        <v>82</v>
      </c>
      <c r="C85" s="62" t="s">
        <v>144</v>
      </c>
      <c r="D85" s="67">
        <v>42662</v>
      </c>
      <c r="E85" s="122" t="s">
        <v>23</v>
      </c>
      <c r="F85" s="70" t="s">
        <v>4</v>
      </c>
      <c r="G85" s="70" t="s">
        <v>5</v>
      </c>
      <c r="H85" s="70" t="s">
        <v>6</v>
      </c>
      <c r="I85" s="62" t="s">
        <v>10</v>
      </c>
      <c r="J85" s="72"/>
      <c r="K85" s="63"/>
      <c r="L85" s="62"/>
      <c r="M85" s="62"/>
      <c r="N85" s="70" t="s">
        <v>308</v>
      </c>
      <c r="O85" s="68"/>
      <c r="P85" s="69">
        <v>16302356</v>
      </c>
      <c r="Q85" s="129" t="s">
        <v>193</v>
      </c>
      <c r="R85" s="131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s="57" customFormat="1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6"/>
        <v>83</v>
      </c>
      <c r="C86" s="62" t="s">
        <v>144</v>
      </c>
      <c r="D86" s="67">
        <v>42662</v>
      </c>
      <c r="E86" s="122" t="s">
        <v>24</v>
      </c>
      <c r="F86" s="64" t="s">
        <v>36</v>
      </c>
      <c r="G86" s="64" t="s">
        <v>32</v>
      </c>
      <c r="H86" s="64" t="s">
        <v>33</v>
      </c>
      <c r="I86" s="65" t="s">
        <v>35</v>
      </c>
      <c r="J86" s="66"/>
      <c r="K86" s="67"/>
      <c r="L86" s="65"/>
      <c r="M86" s="65"/>
      <c r="N86" s="64" t="s">
        <v>309</v>
      </c>
      <c r="O86" s="68"/>
      <c r="P86" s="69">
        <v>20797260</v>
      </c>
      <c r="Q86" s="129" t="s">
        <v>193</v>
      </c>
      <c r="R86" s="131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s="57" customFormat="1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144</v>
      </c>
      <c r="D87" s="67">
        <v>42662</v>
      </c>
      <c r="E87" s="122" t="s">
        <v>25</v>
      </c>
      <c r="F87" s="64" t="s">
        <v>173</v>
      </c>
      <c r="G87" s="71" t="s">
        <v>174</v>
      </c>
      <c r="H87" s="64" t="s">
        <v>175</v>
      </c>
      <c r="I87" s="105" t="s">
        <v>10</v>
      </c>
      <c r="J87" s="66"/>
      <c r="K87" s="67"/>
      <c r="L87" s="65"/>
      <c r="M87" s="65"/>
      <c r="N87" s="64" t="s">
        <v>176</v>
      </c>
      <c r="O87" s="68"/>
      <c r="P87" s="69">
        <v>100000000</v>
      </c>
      <c r="Q87" s="129" t="s">
        <v>193</v>
      </c>
      <c r="R87" s="131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s="57" customFormat="1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144</v>
      </c>
      <c r="D88" s="67">
        <v>42662</v>
      </c>
      <c r="E88" s="122" t="s">
        <v>26</v>
      </c>
      <c r="F88" s="107" t="s">
        <v>133</v>
      </c>
      <c r="G88" s="107" t="s">
        <v>134</v>
      </c>
      <c r="H88" s="107" t="s">
        <v>130</v>
      </c>
      <c r="I88" s="105" t="s">
        <v>10</v>
      </c>
      <c r="J88" s="66"/>
      <c r="K88" s="67"/>
      <c r="L88" s="65"/>
      <c r="M88" s="65"/>
      <c r="N88" s="107" t="s">
        <v>135</v>
      </c>
      <c r="O88" s="68"/>
      <c r="P88" s="69">
        <v>42930000</v>
      </c>
      <c r="Q88" s="129" t="s">
        <v>193</v>
      </c>
      <c r="R88" s="131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s="57" customFormat="1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104</v>
      </c>
      <c r="D89" s="67">
        <v>42662</v>
      </c>
      <c r="E89" s="122" t="s">
        <v>23</v>
      </c>
      <c r="F89" s="64" t="s">
        <v>310</v>
      </c>
      <c r="G89" s="64" t="s">
        <v>311</v>
      </c>
      <c r="H89" s="64" t="s">
        <v>313</v>
      </c>
      <c r="I89" s="105" t="s">
        <v>10</v>
      </c>
      <c r="J89" s="66"/>
      <c r="K89" s="67"/>
      <c r="L89" s="65"/>
      <c r="M89" s="65"/>
      <c r="N89" s="64" t="s">
        <v>312</v>
      </c>
      <c r="O89" s="68"/>
      <c r="P89" s="69">
        <v>42930000</v>
      </c>
      <c r="Q89" s="129" t="s">
        <v>193</v>
      </c>
      <c r="R89" s="131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s="57" customFormat="1" ht="18.75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128</v>
      </c>
      <c r="D90" s="67">
        <v>42667</v>
      </c>
      <c r="E90" s="122" t="s">
        <v>23</v>
      </c>
      <c r="F90" s="107" t="s">
        <v>132</v>
      </c>
      <c r="G90" s="107" t="s">
        <v>131</v>
      </c>
      <c r="H90" s="107" t="s">
        <v>130</v>
      </c>
      <c r="I90" s="105" t="s">
        <v>10</v>
      </c>
      <c r="J90" s="108"/>
      <c r="K90" s="109"/>
      <c r="L90" s="110"/>
      <c r="M90" s="110"/>
      <c r="N90" s="107" t="s">
        <v>129</v>
      </c>
      <c r="O90" s="111">
        <v>2300</v>
      </c>
      <c r="P90" s="69"/>
      <c r="Q90" s="129" t="s">
        <v>193</v>
      </c>
      <c r="R90" s="131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s="57" customFormat="1" ht="18.75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128</v>
      </c>
      <c r="D91" s="67">
        <v>42667</v>
      </c>
      <c r="E91" s="122" t="s">
        <v>24</v>
      </c>
      <c r="F91" s="107" t="s">
        <v>214</v>
      </c>
      <c r="G91" s="64" t="s">
        <v>215</v>
      </c>
      <c r="H91" s="64" t="s">
        <v>216</v>
      </c>
      <c r="I91" s="62" t="s">
        <v>10</v>
      </c>
      <c r="J91" s="66"/>
      <c r="K91" s="67"/>
      <c r="L91" s="65"/>
      <c r="M91" s="65"/>
      <c r="N91" s="64" t="s">
        <v>217</v>
      </c>
      <c r="O91" s="68"/>
      <c r="P91" s="69">
        <v>19200000</v>
      </c>
      <c r="Q91" s="129" t="s">
        <v>193</v>
      </c>
      <c r="R91" s="131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s="57" customFormat="1" ht="18.75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128</v>
      </c>
      <c r="D92" s="67">
        <v>42667</v>
      </c>
      <c r="E92" s="122" t="s">
        <v>25</v>
      </c>
      <c r="F92" s="64" t="s">
        <v>314</v>
      </c>
      <c r="G92" s="64" t="s">
        <v>315</v>
      </c>
      <c r="H92" s="64" t="s">
        <v>316</v>
      </c>
      <c r="I92" s="62" t="s">
        <v>10</v>
      </c>
      <c r="J92" s="66"/>
      <c r="K92" s="67"/>
      <c r="L92" s="65"/>
      <c r="M92" s="65"/>
      <c r="N92" s="64" t="s">
        <v>317</v>
      </c>
      <c r="O92" s="68"/>
      <c r="P92" s="69">
        <v>10803694</v>
      </c>
      <c r="Q92" s="129" t="s">
        <v>193</v>
      </c>
      <c r="R92" s="131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s="57" customFormat="1" ht="18.75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82</v>
      </c>
      <c r="D93" s="67">
        <v>42669</v>
      </c>
      <c r="E93" s="122" t="s">
        <v>23</v>
      </c>
      <c r="F93" s="107" t="s">
        <v>132</v>
      </c>
      <c r="G93" s="107" t="s">
        <v>131</v>
      </c>
      <c r="H93" s="107" t="s">
        <v>130</v>
      </c>
      <c r="I93" s="105" t="s">
        <v>10</v>
      </c>
      <c r="J93" s="108"/>
      <c r="K93" s="109"/>
      <c r="L93" s="65"/>
      <c r="M93" s="65"/>
      <c r="N93" s="64" t="s">
        <v>164</v>
      </c>
      <c r="O93" s="68"/>
      <c r="P93" s="69">
        <v>9000000</v>
      </c>
      <c r="Q93" s="129" t="s">
        <v>193</v>
      </c>
      <c r="R93" s="131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s="57" customFormat="1" ht="18.75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128</v>
      </c>
      <c r="D94" s="67">
        <v>42669</v>
      </c>
      <c r="E94" s="122" t="s">
        <v>24</v>
      </c>
      <c r="F94" s="107" t="s">
        <v>133</v>
      </c>
      <c r="G94" s="107" t="s">
        <v>134</v>
      </c>
      <c r="H94" s="107" t="s">
        <v>130</v>
      </c>
      <c r="I94" s="105" t="s">
        <v>10</v>
      </c>
      <c r="J94" s="66"/>
      <c r="K94" s="67"/>
      <c r="L94" s="65"/>
      <c r="M94" s="65"/>
      <c r="N94" s="107" t="s">
        <v>135</v>
      </c>
      <c r="O94" s="68"/>
      <c r="P94" s="69">
        <v>25000000</v>
      </c>
      <c r="Q94" s="129" t="s">
        <v>193</v>
      </c>
      <c r="R94" s="131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s="57" customFormat="1" ht="18.75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104</v>
      </c>
      <c r="D95" s="67">
        <v>42675</v>
      </c>
      <c r="E95" s="122" t="s">
        <v>23</v>
      </c>
      <c r="F95" s="64" t="s">
        <v>166</v>
      </c>
      <c r="G95" s="71" t="s">
        <v>419</v>
      </c>
      <c r="H95" s="64" t="s">
        <v>167</v>
      </c>
      <c r="I95" s="110" t="s">
        <v>160</v>
      </c>
      <c r="J95" s="66"/>
      <c r="K95" s="67"/>
      <c r="L95" s="65"/>
      <c r="M95" s="65"/>
      <c r="N95" s="115" t="s">
        <v>319</v>
      </c>
      <c r="O95" s="68"/>
      <c r="P95" s="69">
        <f>42659320+37594590</f>
        <v>80253910</v>
      </c>
      <c r="Q95" s="129" t="s">
        <v>193</v>
      </c>
      <c r="R95" s="131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s="57" customFormat="1" ht="18.75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144</v>
      </c>
      <c r="D96" s="67">
        <v>42675</v>
      </c>
      <c r="E96" s="122" t="s">
        <v>24</v>
      </c>
      <c r="F96" s="64" t="s">
        <v>36</v>
      </c>
      <c r="G96" s="64" t="s">
        <v>32</v>
      </c>
      <c r="H96" s="64" t="s">
        <v>33</v>
      </c>
      <c r="I96" s="65" t="s">
        <v>35</v>
      </c>
      <c r="J96" s="66"/>
      <c r="K96" s="67"/>
      <c r="L96" s="65"/>
      <c r="M96" s="65"/>
      <c r="N96" s="64" t="s">
        <v>318</v>
      </c>
      <c r="O96" s="68"/>
      <c r="P96" s="69">
        <v>24338820</v>
      </c>
      <c r="Q96" s="129" t="s">
        <v>193</v>
      </c>
      <c r="R96" s="131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s="57" customFormat="1" ht="18.75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144</v>
      </c>
      <c r="D97" s="67">
        <v>42675</v>
      </c>
      <c r="E97" s="122" t="s">
        <v>25</v>
      </c>
      <c r="F97" s="107" t="s">
        <v>132</v>
      </c>
      <c r="G97" s="107" t="s">
        <v>320</v>
      </c>
      <c r="H97" s="107" t="s">
        <v>206</v>
      </c>
      <c r="I97" s="105" t="s">
        <v>10</v>
      </c>
      <c r="J97" s="66"/>
      <c r="K97" s="67"/>
      <c r="L97" s="65"/>
      <c r="M97" s="65"/>
      <c r="N97" s="64" t="s">
        <v>170</v>
      </c>
      <c r="O97" s="68">
        <v>87500</v>
      </c>
      <c r="P97" s="69"/>
      <c r="Q97" s="129" t="s">
        <v>193</v>
      </c>
      <c r="R97" s="131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s="57" customFormat="1" ht="18.75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82</v>
      </c>
      <c r="D98" s="67">
        <v>42675</v>
      </c>
      <c r="E98" s="122" t="s">
        <v>26</v>
      </c>
      <c r="F98" s="107" t="s">
        <v>132</v>
      </c>
      <c r="G98" s="64" t="s">
        <v>209</v>
      </c>
      <c r="H98" s="64" t="s">
        <v>206</v>
      </c>
      <c r="I98" s="65" t="s">
        <v>10</v>
      </c>
      <c r="J98" s="66"/>
      <c r="K98" s="67"/>
      <c r="L98" s="65"/>
      <c r="M98" s="65"/>
      <c r="N98" s="64" t="s">
        <v>129</v>
      </c>
      <c r="O98" s="68">
        <v>87500</v>
      </c>
      <c r="P98" s="69"/>
      <c r="Q98" s="129" t="s">
        <v>193</v>
      </c>
      <c r="R98" s="131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s="57" customFormat="1" ht="18.75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82</v>
      </c>
      <c r="D99" s="67">
        <v>42676</v>
      </c>
      <c r="E99" s="122" t="s">
        <v>23</v>
      </c>
      <c r="F99" s="125" t="s">
        <v>285</v>
      </c>
      <c r="G99" s="125" t="s">
        <v>286</v>
      </c>
      <c r="H99" s="125" t="s">
        <v>287</v>
      </c>
      <c r="I99" s="122" t="s">
        <v>10</v>
      </c>
      <c r="J99" s="126"/>
      <c r="K99" s="123"/>
      <c r="L99" s="124"/>
      <c r="M99" s="124"/>
      <c r="N99" s="125" t="s">
        <v>288</v>
      </c>
      <c r="O99" s="127"/>
      <c r="P99" s="69">
        <f>51480000*2</f>
        <v>102960000</v>
      </c>
      <c r="Q99" s="129" t="s">
        <v>193</v>
      </c>
      <c r="R99" s="131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s="57" customFormat="1" ht="18.75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82</v>
      </c>
      <c r="D100" s="67">
        <v>42676</v>
      </c>
      <c r="E100" s="122" t="s">
        <v>24</v>
      </c>
      <c r="F100" s="107" t="s">
        <v>133</v>
      </c>
      <c r="G100" s="107" t="s">
        <v>134</v>
      </c>
      <c r="H100" s="107" t="s">
        <v>130</v>
      </c>
      <c r="I100" s="105" t="s">
        <v>10</v>
      </c>
      <c r="J100" s="66"/>
      <c r="K100" s="67"/>
      <c r="L100" s="65"/>
      <c r="M100" s="65"/>
      <c r="N100" s="107" t="s">
        <v>135</v>
      </c>
      <c r="O100" s="68"/>
      <c r="P100" s="69">
        <v>38000000</v>
      </c>
      <c r="Q100" s="129" t="s">
        <v>193</v>
      </c>
      <c r="R100" s="131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s="57" customFormat="1" ht="18.75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104</v>
      </c>
      <c r="D101" s="67">
        <v>42676</v>
      </c>
      <c r="E101" s="122" t="s">
        <v>25</v>
      </c>
      <c r="F101" s="64" t="s">
        <v>225</v>
      </c>
      <c r="G101" s="64" t="s">
        <v>226</v>
      </c>
      <c r="H101" s="64" t="s">
        <v>227</v>
      </c>
      <c r="I101" s="110" t="s">
        <v>160</v>
      </c>
      <c r="J101" s="66"/>
      <c r="K101" s="67"/>
      <c r="L101" s="65"/>
      <c r="M101" s="65"/>
      <c r="N101" s="64" t="s">
        <v>228</v>
      </c>
      <c r="O101" s="68"/>
      <c r="P101" s="69">
        <v>27760761</v>
      </c>
      <c r="Q101" s="129" t="s">
        <v>193</v>
      </c>
      <c r="R101" s="131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s="57" customFormat="1" ht="18.75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104</v>
      </c>
      <c r="D102" s="67">
        <v>42676</v>
      </c>
      <c r="E102" s="122" t="s">
        <v>26</v>
      </c>
      <c r="F102" s="64" t="s">
        <v>321</v>
      </c>
      <c r="G102" s="71" t="s">
        <v>421</v>
      </c>
      <c r="H102" s="64" t="s">
        <v>322</v>
      </c>
      <c r="I102" s="110" t="s">
        <v>160</v>
      </c>
      <c r="J102" s="66"/>
      <c r="K102" s="67"/>
      <c r="L102" s="65"/>
      <c r="M102" s="65"/>
      <c r="N102" s="64" t="s">
        <v>323</v>
      </c>
      <c r="O102" s="68"/>
      <c r="P102" s="69">
        <v>10035666</v>
      </c>
      <c r="Q102" s="129" t="s">
        <v>193</v>
      </c>
      <c r="R102" s="131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s="57" customFormat="1" ht="18.75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82</v>
      </c>
      <c r="D103" s="67">
        <v>42676</v>
      </c>
      <c r="E103" s="122" t="s">
        <v>84</v>
      </c>
      <c r="F103" s="64" t="s">
        <v>99</v>
      </c>
      <c r="G103" s="64" t="s">
        <v>100</v>
      </c>
      <c r="H103" s="64" t="s">
        <v>101</v>
      </c>
      <c r="I103" s="62" t="s">
        <v>10</v>
      </c>
      <c r="J103" s="66"/>
      <c r="K103" s="67"/>
      <c r="L103" s="65"/>
      <c r="M103" s="65"/>
      <c r="N103" s="64" t="s">
        <v>102</v>
      </c>
      <c r="O103" s="68"/>
      <c r="P103" s="69">
        <v>100000000</v>
      </c>
      <c r="Q103" s="129" t="s">
        <v>193</v>
      </c>
      <c r="R103" s="131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s="150" customFormat="1" ht="18.75" customHeight="1">
      <c r="A104" s="137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138">
        <f t="shared" si="0"/>
        <v>101</v>
      </c>
      <c r="C104" s="138" t="s">
        <v>82</v>
      </c>
      <c r="D104" s="139">
        <v>42676</v>
      </c>
      <c r="E104" s="140" t="s">
        <v>85</v>
      </c>
      <c r="F104" s="141" t="s">
        <v>189</v>
      </c>
      <c r="G104" s="142" t="s">
        <v>385</v>
      </c>
      <c r="H104" s="141" t="s">
        <v>190</v>
      </c>
      <c r="I104" s="143" t="s">
        <v>10</v>
      </c>
      <c r="J104" s="144"/>
      <c r="K104" s="139"/>
      <c r="L104" s="145"/>
      <c r="M104" s="145"/>
      <c r="N104" s="141" t="s">
        <v>191</v>
      </c>
      <c r="O104" s="146"/>
      <c r="P104" s="147">
        <v>58750000</v>
      </c>
      <c r="Q104" s="148" t="s">
        <v>193</v>
      </c>
      <c r="R104" s="149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s="57" customFormat="1" ht="18.75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82</v>
      </c>
      <c r="D105" s="67">
        <v>42676</v>
      </c>
      <c r="E105" s="122" t="s">
        <v>171</v>
      </c>
      <c r="F105" s="64" t="s">
        <v>275</v>
      </c>
      <c r="G105" s="71" t="s">
        <v>415</v>
      </c>
      <c r="H105" s="64" t="s">
        <v>277</v>
      </c>
      <c r="I105" s="65" t="s">
        <v>278</v>
      </c>
      <c r="J105" s="66"/>
      <c r="K105" s="67"/>
      <c r="L105" s="65"/>
      <c r="M105" s="65"/>
      <c r="N105" s="64" t="s">
        <v>274</v>
      </c>
      <c r="O105" s="68"/>
      <c r="P105" s="69">
        <v>100000000</v>
      </c>
      <c r="Q105" s="129" t="s">
        <v>193</v>
      </c>
      <c r="R105" s="131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s="57" customFormat="1" ht="18.75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82</v>
      </c>
      <c r="D106" s="67">
        <v>42676</v>
      </c>
      <c r="E106" s="122" t="s">
        <v>220</v>
      </c>
      <c r="F106" s="64" t="s">
        <v>324</v>
      </c>
      <c r="G106" s="64" t="s">
        <v>325</v>
      </c>
      <c r="H106" s="64" t="s">
        <v>326</v>
      </c>
      <c r="I106" s="105" t="s">
        <v>10</v>
      </c>
      <c r="J106" s="66"/>
      <c r="K106" s="67"/>
      <c r="L106" s="65"/>
      <c r="M106" s="65"/>
      <c r="N106" s="64" t="s">
        <v>327</v>
      </c>
      <c r="O106" s="68"/>
      <c r="P106" s="69">
        <v>29656000</v>
      </c>
      <c r="Q106" s="129" t="s">
        <v>193</v>
      </c>
      <c r="R106" s="131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s="57" customFormat="1" ht="18.75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144</v>
      </c>
      <c r="D107" s="67">
        <v>42689</v>
      </c>
      <c r="E107" s="122" t="s">
        <v>23</v>
      </c>
      <c r="F107" s="107" t="s">
        <v>132</v>
      </c>
      <c r="G107" s="107" t="s">
        <v>320</v>
      </c>
      <c r="H107" s="107" t="s">
        <v>206</v>
      </c>
      <c r="I107" s="105" t="s">
        <v>10</v>
      </c>
      <c r="J107" s="66"/>
      <c r="K107" s="67"/>
      <c r="L107" s="65"/>
      <c r="M107" s="65"/>
      <c r="N107" s="64" t="s">
        <v>170</v>
      </c>
      <c r="O107" s="68">
        <v>4400</v>
      </c>
      <c r="P107" s="69"/>
      <c r="Q107" s="129" t="s">
        <v>193</v>
      </c>
      <c r="R107" s="131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s="57" customFormat="1" ht="18.75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128</v>
      </c>
      <c r="D108" s="67">
        <v>42689</v>
      </c>
      <c r="E108" s="122" t="s">
        <v>24</v>
      </c>
      <c r="F108" s="64" t="s">
        <v>36</v>
      </c>
      <c r="G108" s="64" t="s">
        <v>32</v>
      </c>
      <c r="H108" s="64" t="s">
        <v>33</v>
      </c>
      <c r="I108" s="65" t="s">
        <v>35</v>
      </c>
      <c r="J108" s="66"/>
      <c r="K108" s="67"/>
      <c r="L108" s="65"/>
      <c r="M108" s="65"/>
      <c r="N108" s="64" t="s">
        <v>328</v>
      </c>
      <c r="O108" s="68"/>
      <c r="P108" s="69">
        <v>22634810</v>
      </c>
      <c r="Q108" s="129" t="s">
        <v>193</v>
      </c>
      <c r="R108" s="131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s="57" customFormat="1" ht="18.75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104</v>
      </c>
      <c r="D109" s="67">
        <v>42689</v>
      </c>
      <c r="E109" s="122" t="s">
        <v>25</v>
      </c>
      <c r="F109" s="64" t="s">
        <v>310</v>
      </c>
      <c r="G109" s="64" t="s">
        <v>311</v>
      </c>
      <c r="H109" s="64" t="s">
        <v>313</v>
      </c>
      <c r="I109" s="105" t="s">
        <v>10</v>
      </c>
      <c r="J109" s="66"/>
      <c r="K109" s="67"/>
      <c r="L109" s="65"/>
      <c r="M109" s="65"/>
      <c r="N109" s="64" t="s">
        <v>329</v>
      </c>
      <c r="O109" s="68"/>
      <c r="P109" s="69">
        <v>100000000</v>
      </c>
      <c r="Q109" s="129" t="s">
        <v>193</v>
      </c>
      <c r="R109" s="131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s="57" customFormat="1" ht="18.75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144</v>
      </c>
      <c r="D110" s="67">
        <v>42697</v>
      </c>
      <c r="E110" s="122" t="s">
        <v>23</v>
      </c>
      <c r="F110" s="64" t="s">
        <v>330</v>
      </c>
      <c r="G110" s="64" t="s">
        <v>331</v>
      </c>
      <c r="H110" s="64" t="s">
        <v>332</v>
      </c>
      <c r="I110" s="65" t="s">
        <v>333</v>
      </c>
      <c r="J110" s="66"/>
      <c r="K110" s="67"/>
      <c r="L110" s="65"/>
      <c r="M110" s="65"/>
      <c r="N110" s="64" t="s">
        <v>334</v>
      </c>
      <c r="O110" s="68"/>
      <c r="P110" s="69">
        <v>4394000000</v>
      </c>
      <c r="Q110" s="129" t="s">
        <v>193</v>
      </c>
      <c r="R110" s="131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s="57" customFormat="1" ht="18.75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144</v>
      </c>
      <c r="D111" s="67">
        <v>42697</v>
      </c>
      <c r="E111" s="122" t="s">
        <v>24</v>
      </c>
      <c r="F111" s="64" t="s">
        <v>36</v>
      </c>
      <c r="G111" s="64" t="s">
        <v>32</v>
      </c>
      <c r="H111" s="64" t="s">
        <v>33</v>
      </c>
      <c r="I111" s="65" t="s">
        <v>35</v>
      </c>
      <c r="J111" s="66"/>
      <c r="K111" s="67"/>
      <c r="L111" s="65"/>
      <c r="M111" s="65"/>
      <c r="N111" s="64" t="s">
        <v>335</v>
      </c>
      <c r="O111" s="68"/>
      <c r="P111" s="69">
        <v>31233070</v>
      </c>
      <c r="Q111" s="129" t="s">
        <v>193</v>
      </c>
      <c r="R111" s="131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s="57" customFormat="1" ht="18.75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144</v>
      </c>
      <c r="D112" s="67">
        <v>42697</v>
      </c>
      <c r="E112" s="122" t="s">
        <v>25</v>
      </c>
      <c r="F112" s="107" t="s">
        <v>133</v>
      </c>
      <c r="G112" s="107" t="s">
        <v>134</v>
      </c>
      <c r="H112" s="107" t="s">
        <v>130</v>
      </c>
      <c r="I112" s="105" t="s">
        <v>10</v>
      </c>
      <c r="J112" s="66"/>
      <c r="K112" s="67"/>
      <c r="L112" s="65"/>
      <c r="M112" s="65"/>
      <c r="N112" s="107" t="s">
        <v>334</v>
      </c>
      <c r="O112" s="68"/>
      <c r="P112" s="69">
        <v>2250000000</v>
      </c>
      <c r="Q112" s="129" t="s">
        <v>193</v>
      </c>
      <c r="R112" s="131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s="57" customFormat="1" ht="18.75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128</v>
      </c>
      <c r="D113" s="67">
        <v>42698</v>
      </c>
      <c r="E113" s="122" t="s">
        <v>23</v>
      </c>
      <c r="F113" s="107" t="s">
        <v>132</v>
      </c>
      <c r="G113" s="107" t="s">
        <v>131</v>
      </c>
      <c r="H113" s="107" t="s">
        <v>130</v>
      </c>
      <c r="I113" s="105" t="s">
        <v>10</v>
      </c>
      <c r="J113" s="108"/>
      <c r="K113" s="67"/>
      <c r="L113" s="65"/>
      <c r="M113" s="65"/>
      <c r="N113" s="64" t="s">
        <v>129</v>
      </c>
      <c r="O113" s="68">
        <v>4600</v>
      </c>
      <c r="P113" s="69"/>
      <c r="Q113" s="129" t="s">
        <v>193</v>
      </c>
      <c r="R113" s="131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s="57" customFormat="1" ht="18.75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128</v>
      </c>
      <c r="D114" s="67">
        <v>42698</v>
      </c>
      <c r="E114" s="122" t="s">
        <v>24</v>
      </c>
      <c r="F114" s="64" t="s">
        <v>91</v>
      </c>
      <c r="G114" s="71" t="s">
        <v>423</v>
      </c>
      <c r="H114" s="64" t="s">
        <v>93</v>
      </c>
      <c r="I114" s="65" t="s">
        <v>35</v>
      </c>
      <c r="J114" s="66"/>
      <c r="K114" s="67"/>
      <c r="L114" s="65"/>
      <c r="M114" s="65"/>
      <c r="N114" s="64" t="s">
        <v>94</v>
      </c>
      <c r="O114" s="68"/>
      <c r="P114" s="69">
        <v>80000000</v>
      </c>
      <c r="Q114" s="129" t="s">
        <v>193</v>
      </c>
      <c r="R114" s="131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s="57" customFormat="1" ht="18.75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si="0"/>
        <v>112</v>
      </c>
      <c r="C115" s="62" t="s">
        <v>128</v>
      </c>
      <c r="D115" s="67">
        <v>42698</v>
      </c>
      <c r="E115" s="122" t="s">
        <v>25</v>
      </c>
      <c r="F115" s="64" t="s">
        <v>177</v>
      </c>
      <c r="G115" s="71" t="s">
        <v>178</v>
      </c>
      <c r="H115" s="64" t="s">
        <v>179</v>
      </c>
      <c r="I115" s="105" t="s">
        <v>10</v>
      </c>
      <c r="J115" s="66"/>
      <c r="K115" s="67"/>
      <c r="L115" s="65"/>
      <c r="M115" s="65"/>
      <c r="N115" s="64" t="s">
        <v>336</v>
      </c>
      <c r="O115" s="68"/>
      <c r="P115" s="69">
        <v>810000</v>
      </c>
      <c r="Q115" s="129" t="s">
        <v>193</v>
      </c>
      <c r="R115" s="131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s="57" customFormat="1" ht="18.75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0"/>
        <v>113</v>
      </c>
      <c r="C116" s="62" t="s">
        <v>128</v>
      </c>
      <c r="D116" s="67">
        <v>42698</v>
      </c>
      <c r="E116" s="122" t="s">
        <v>26</v>
      </c>
      <c r="F116" s="64" t="s">
        <v>177</v>
      </c>
      <c r="G116" s="71" t="s">
        <v>180</v>
      </c>
      <c r="H116" s="64" t="s">
        <v>181</v>
      </c>
      <c r="I116" s="105" t="s">
        <v>10</v>
      </c>
      <c r="J116" s="66"/>
      <c r="K116" s="67"/>
      <c r="L116" s="65"/>
      <c r="M116" s="65"/>
      <c r="N116" s="64" t="s">
        <v>336</v>
      </c>
      <c r="O116" s="68"/>
      <c r="P116" s="69">
        <v>2230000</v>
      </c>
      <c r="Q116" s="129" t="s">
        <v>193</v>
      </c>
      <c r="R116" s="131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s="57" customFormat="1" ht="18.75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0"/>
        <v>114</v>
      </c>
      <c r="C117" s="62" t="s">
        <v>144</v>
      </c>
      <c r="D117" s="67">
        <v>42699</v>
      </c>
      <c r="E117" s="122" t="s">
        <v>23</v>
      </c>
      <c r="F117" s="64" t="s">
        <v>337</v>
      </c>
      <c r="G117" s="64" t="s">
        <v>338</v>
      </c>
      <c r="H117" s="64" t="s">
        <v>332</v>
      </c>
      <c r="I117" s="65" t="s">
        <v>333</v>
      </c>
      <c r="J117" s="66"/>
      <c r="K117" s="67"/>
      <c r="L117" s="65"/>
      <c r="M117" s="65"/>
      <c r="N117" s="107" t="s">
        <v>334</v>
      </c>
      <c r="O117" s="68"/>
      <c r="P117" s="69">
        <v>1441167000</v>
      </c>
      <c r="Q117" s="129" t="s">
        <v>193</v>
      </c>
      <c r="R117" s="131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s="57" customFormat="1" ht="18.75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ref="B118:B131" si="7">IF(C118&lt;&gt;"",ROW()-3,"")</f>
        <v>115</v>
      </c>
      <c r="C118" s="62" t="s">
        <v>144</v>
      </c>
      <c r="D118" s="67">
        <v>42699</v>
      </c>
      <c r="E118" s="122" t="s">
        <v>24</v>
      </c>
      <c r="F118" s="107" t="s">
        <v>133</v>
      </c>
      <c r="G118" s="107" t="s">
        <v>134</v>
      </c>
      <c r="H118" s="107" t="s">
        <v>130</v>
      </c>
      <c r="I118" s="105" t="s">
        <v>10</v>
      </c>
      <c r="J118" s="66"/>
      <c r="K118" s="67"/>
      <c r="L118" s="65"/>
      <c r="M118" s="65"/>
      <c r="N118" s="107" t="s">
        <v>334</v>
      </c>
      <c r="O118" s="68"/>
      <c r="P118" s="69">
        <v>1319000000</v>
      </c>
      <c r="Q118" s="104" t="s">
        <v>194</v>
      </c>
      <c r="R118" s="131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s="57" customFormat="1" ht="18.75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144</v>
      </c>
      <c r="D119" s="67">
        <v>42699</v>
      </c>
      <c r="E119" s="122" t="s">
        <v>25</v>
      </c>
      <c r="F119" s="64" t="s">
        <v>339</v>
      </c>
      <c r="G119" s="64" t="s">
        <v>340</v>
      </c>
      <c r="H119" s="64" t="s">
        <v>343</v>
      </c>
      <c r="I119" s="65" t="s">
        <v>341</v>
      </c>
      <c r="J119" s="66"/>
      <c r="K119" s="67"/>
      <c r="L119" s="65"/>
      <c r="M119" s="65"/>
      <c r="N119" s="107" t="s">
        <v>334</v>
      </c>
      <c r="O119" s="68"/>
      <c r="P119" s="69">
        <v>541450000</v>
      </c>
      <c r="Q119" s="104" t="s">
        <v>194</v>
      </c>
      <c r="R119" s="131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s="57" customFormat="1" ht="18.75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144</v>
      </c>
      <c r="D120" s="67">
        <v>42703</v>
      </c>
      <c r="E120" s="122" t="s">
        <v>23</v>
      </c>
      <c r="F120" s="64" t="s">
        <v>177</v>
      </c>
      <c r="G120" s="71" t="s">
        <v>180</v>
      </c>
      <c r="H120" s="64" t="s">
        <v>181</v>
      </c>
      <c r="I120" s="105" t="s">
        <v>10</v>
      </c>
      <c r="J120" s="66"/>
      <c r="K120" s="67"/>
      <c r="L120" s="65"/>
      <c r="M120" s="65"/>
      <c r="N120" s="64" t="s">
        <v>342</v>
      </c>
      <c r="O120" s="68"/>
      <c r="P120" s="69">
        <v>3555000</v>
      </c>
      <c r="Q120" s="104" t="s">
        <v>194</v>
      </c>
      <c r="R120" s="131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s="57" customFormat="1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144</v>
      </c>
      <c r="D121" s="67">
        <v>42703</v>
      </c>
      <c r="E121" s="122" t="s">
        <v>24</v>
      </c>
      <c r="F121" s="64" t="s">
        <v>337</v>
      </c>
      <c r="G121" s="64" t="s">
        <v>338</v>
      </c>
      <c r="H121" s="64" t="s">
        <v>332</v>
      </c>
      <c r="I121" s="65" t="s">
        <v>333</v>
      </c>
      <c r="J121" s="66"/>
      <c r="K121" s="67"/>
      <c r="L121" s="65"/>
      <c r="M121" s="65"/>
      <c r="N121" s="107" t="s">
        <v>334</v>
      </c>
      <c r="O121" s="68"/>
      <c r="P121" s="69">
        <v>1508000000</v>
      </c>
      <c r="Q121" s="104" t="s">
        <v>194</v>
      </c>
      <c r="R121" s="131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s="57" customFormat="1" ht="18.75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144</v>
      </c>
      <c r="D122" s="67">
        <v>42703</v>
      </c>
      <c r="E122" s="122" t="s">
        <v>25</v>
      </c>
      <c r="F122" s="64" t="s">
        <v>330</v>
      </c>
      <c r="G122" s="64" t="s">
        <v>331</v>
      </c>
      <c r="H122" s="64" t="s">
        <v>332</v>
      </c>
      <c r="I122" s="65" t="s">
        <v>333</v>
      </c>
      <c r="J122" s="66"/>
      <c r="K122" s="67"/>
      <c r="L122" s="65"/>
      <c r="M122" s="65"/>
      <c r="N122" s="64" t="s">
        <v>334</v>
      </c>
      <c r="O122" s="68"/>
      <c r="P122" s="69">
        <v>1674100000</v>
      </c>
      <c r="Q122" s="104" t="s">
        <v>194</v>
      </c>
      <c r="R122" s="131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s="57" customFormat="1" ht="18.75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144</v>
      </c>
      <c r="D123" s="67">
        <v>42703</v>
      </c>
      <c r="E123" s="122" t="s">
        <v>26</v>
      </c>
      <c r="F123" s="107" t="s">
        <v>133</v>
      </c>
      <c r="G123" s="107" t="s">
        <v>134</v>
      </c>
      <c r="H123" s="107" t="s">
        <v>130</v>
      </c>
      <c r="I123" s="105" t="s">
        <v>10</v>
      </c>
      <c r="J123" s="66"/>
      <c r="K123" s="67"/>
      <c r="L123" s="65"/>
      <c r="M123" s="65"/>
      <c r="N123" s="64" t="s">
        <v>334</v>
      </c>
      <c r="O123" s="68"/>
      <c r="P123" s="69">
        <v>100000000</v>
      </c>
      <c r="Q123" s="104" t="s">
        <v>194</v>
      </c>
      <c r="R123" s="131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s="57" customFormat="1" ht="18.75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104</v>
      </c>
      <c r="D124" s="67">
        <v>42703</v>
      </c>
      <c r="E124" s="122" t="s">
        <v>84</v>
      </c>
      <c r="F124" s="64" t="s">
        <v>166</v>
      </c>
      <c r="G124" s="71" t="s">
        <v>419</v>
      </c>
      <c r="H124" s="64" t="s">
        <v>167</v>
      </c>
      <c r="I124" s="110" t="s">
        <v>160</v>
      </c>
      <c r="J124" s="66"/>
      <c r="K124" s="67"/>
      <c r="L124" s="65"/>
      <c r="M124" s="65"/>
      <c r="N124" s="115" t="s">
        <v>344</v>
      </c>
      <c r="O124" s="68"/>
      <c r="P124" s="69">
        <f>46868580+47089900</f>
        <v>93958480</v>
      </c>
      <c r="Q124" s="104" t="s">
        <v>194</v>
      </c>
      <c r="R124" s="131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s="57" customFormat="1" ht="18.75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 t="shared" si="7"/>
        <v>122</v>
      </c>
      <c r="C125" s="62" t="s">
        <v>128</v>
      </c>
      <c r="D125" s="67">
        <v>42704</v>
      </c>
      <c r="E125" s="122" t="s">
        <v>23</v>
      </c>
      <c r="F125" s="64" t="s">
        <v>36</v>
      </c>
      <c r="G125" s="64" t="s">
        <v>32</v>
      </c>
      <c r="H125" s="64" t="s">
        <v>33</v>
      </c>
      <c r="I125" s="65" t="s">
        <v>35</v>
      </c>
      <c r="J125" s="66"/>
      <c r="K125" s="67"/>
      <c r="L125" s="65"/>
      <c r="M125" s="65"/>
      <c r="N125" s="64" t="s">
        <v>345</v>
      </c>
      <c r="O125" s="68"/>
      <c r="P125" s="69">
        <v>34187120</v>
      </c>
      <c r="Q125" s="104"/>
      <c r="R125" s="131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s="57" customFormat="1" ht="18.75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 t="shared" si="7"/>
        <v>123</v>
      </c>
      <c r="C126" s="62" t="s">
        <v>144</v>
      </c>
      <c r="D126" s="67">
        <v>42704</v>
      </c>
      <c r="E126" s="122" t="s">
        <v>24</v>
      </c>
      <c r="F126" s="107" t="s">
        <v>132</v>
      </c>
      <c r="G126" s="107" t="s">
        <v>131</v>
      </c>
      <c r="H126" s="107" t="s">
        <v>130</v>
      </c>
      <c r="I126" s="105" t="s">
        <v>10</v>
      </c>
      <c r="J126" s="108"/>
      <c r="K126" s="109"/>
      <c r="L126" s="110"/>
      <c r="M126" s="65"/>
      <c r="N126" s="64" t="s">
        <v>164</v>
      </c>
      <c r="O126" s="68"/>
      <c r="P126" s="69">
        <v>20000000</v>
      </c>
      <c r="Q126" s="104"/>
      <c r="R126" s="131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s="57" customFormat="1" ht="18.75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 t="shared" si="7"/>
        <v>124</v>
      </c>
      <c r="C127" s="62" t="s">
        <v>144</v>
      </c>
      <c r="D127" s="67">
        <v>42709</v>
      </c>
      <c r="E127" s="122" t="s">
        <v>23</v>
      </c>
      <c r="F127" s="107" t="s">
        <v>132</v>
      </c>
      <c r="G127" s="107" t="s">
        <v>261</v>
      </c>
      <c r="H127" s="107" t="s">
        <v>130</v>
      </c>
      <c r="I127" s="105" t="s">
        <v>10</v>
      </c>
      <c r="J127" s="66"/>
      <c r="K127" s="67"/>
      <c r="L127" s="65"/>
      <c r="M127" s="65"/>
      <c r="N127" s="64" t="s">
        <v>170</v>
      </c>
      <c r="O127" s="68">
        <v>95500</v>
      </c>
      <c r="P127" s="69"/>
      <c r="Q127" s="104"/>
      <c r="R127" s="131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s="57" customFormat="1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>IF(C128&lt;&gt;"",ROW()-3,"")</f>
        <v>125</v>
      </c>
      <c r="C128" s="62" t="s">
        <v>144</v>
      </c>
      <c r="D128" s="67">
        <v>42710</v>
      </c>
      <c r="E128" s="122" t="s">
        <v>23</v>
      </c>
      <c r="F128" s="64" t="s">
        <v>330</v>
      </c>
      <c r="G128" s="64" t="s">
        <v>331</v>
      </c>
      <c r="H128" s="64" t="s">
        <v>332</v>
      </c>
      <c r="I128" s="65" t="s">
        <v>333</v>
      </c>
      <c r="J128" s="66"/>
      <c r="K128" s="67"/>
      <c r="L128" s="65"/>
      <c r="M128" s="65"/>
      <c r="N128" s="64" t="s">
        <v>334</v>
      </c>
      <c r="O128" s="68"/>
      <c r="P128" s="69">
        <v>2918780500</v>
      </c>
      <c r="Q128" s="104"/>
      <c r="R128" s="131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s="57" customFormat="1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>IF(C129&lt;&gt;"",ROW()-3,"")</f>
        <v>126</v>
      </c>
      <c r="C129" s="62" t="s">
        <v>144</v>
      </c>
      <c r="D129" s="67">
        <v>42710</v>
      </c>
      <c r="E129" s="122" t="s">
        <v>24</v>
      </c>
      <c r="F129" s="64" t="s">
        <v>337</v>
      </c>
      <c r="G129" s="64" t="s">
        <v>338</v>
      </c>
      <c r="H129" s="64" t="s">
        <v>332</v>
      </c>
      <c r="I129" s="65" t="s">
        <v>333</v>
      </c>
      <c r="J129" s="66"/>
      <c r="K129" s="67"/>
      <c r="L129" s="65"/>
      <c r="M129" s="65"/>
      <c r="N129" s="107" t="s">
        <v>334</v>
      </c>
      <c r="O129" s="68"/>
      <c r="P129" s="69">
        <v>1824920500</v>
      </c>
      <c r="Q129" s="104"/>
      <c r="R129" s="131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s="57" customFormat="1" ht="18.75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>IF(C130&lt;&gt;"",ROW()-3,"")</f>
        <v>127</v>
      </c>
      <c r="C130" s="62" t="s">
        <v>144</v>
      </c>
      <c r="D130" s="67">
        <v>42710</v>
      </c>
      <c r="E130" s="122" t="s">
        <v>25</v>
      </c>
      <c r="F130" s="64" t="s">
        <v>339</v>
      </c>
      <c r="G130" s="64" t="s">
        <v>340</v>
      </c>
      <c r="H130" s="64" t="s">
        <v>343</v>
      </c>
      <c r="I130" s="65" t="s">
        <v>341</v>
      </c>
      <c r="J130" s="66"/>
      <c r="K130" s="67"/>
      <c r="L130" s="65"/>
      <c r="M130" s="65"/>
      <c r="N130" s="107" t="s">
        <v>334</v>
      </c>
      <c r="O130" s="68"/>
      <c r="P130" s="69">
        <v>552669000</v>
      </c>
      <c r="Q130" s="104"/>
      <c r="R130" s="131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s="57" customFormat="1" ht="18.75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7"/>
        <v>128</v>
      </c>
      <c r="C131" s="62" t="s">
        <v>104</v>
      </c>
      <c r="D131" s="67">
        <v>42712</v>
      </c>
      <c r="E131" s="122" t="s">
        <v>23</v>
      </c>
      <c r="F131" s="64" t="s">
        <v>346</v>
      </c>
      <c r="G131" s="64" t="s">
        <v>348</v>
      </c>
      <c r="H131" s="64" t="s">
        <v>349</v>
      </c>
      <c r="I131" s="65" t="s">
        <v>350</v>
      </c>
      <c r="J131" s="66"/>
      <c r="K131" s="67"/>
      <c r="L131" s="65"/>
      <c r="M131" s="65"/>
      <c r="N131" s="64" t="s">
        <v>351</v>
      </c>
      <c r="O131" s="68"/>
      <c r="P131" s="69">
        <v>7533000</v>
      </c>
      <c r="Q131" s="104"/>
      <c r="R131" s="131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s="57" customFormat="1" ht="18.75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104</v>
      </c>
      <c r="D132" s="67">
        <v>42712</v>
      </c>
      <c r="E132" s="122" t="s">
        <v>24</v>
      </c>
      <c r="F132" s="64" t="s">
        <v>347</v>
      </c>
      <c r="G132" s="64" t="s">
        <v>352</v>
      </c>
      <c r="H132" s="64" t="s">
        <v>353</v>
      </c>
      <c r="I132" s="65" t="s">
        <v>350</v>
      </c>
      <c r="J132" s="66"/>
      <c r="K132" s="67"/>
      <c r="L132" s="65"/>
      <c r="M132" s="65"/>
      <c r="N132" s="64" t="s">
        <v>354</v>
      </c>
      <c r="O132" s="68"/>
      <c r="P132" s="69">
        <v>9005000</v>
      </c>
      <c r="Q132" s="104"/>
      <c r="R132" s="131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s="57" customFormat="1" ht="18.75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128</v>
      </c>
      <c r="D133" s="67">
        <v>42712</v>
      </c>
      <c r="E133" s="122" t="s">
        <v>25</v>
      </c>
      <c r="F133" s="107" t="s">
        <v>133</v>
      </c>
      <c r="G133" s="107" t="s">
        <v>134</v>
      </c>
      <c r="H133" s="107" t="s">
        <v>130</v>
      </c>
      <c r="I133" s="105" t="s">
        <v>10</v>
      </c>
      <c r="J133" s="66"/>
      <c r="K133" s="67"/>
      <c r="L133" s="65"/>
      <c r="M133" s="65"/>
      <c r="N133" s="107" t="s">
        <v>135</v>
      </c>
      <c r="O133" s="68"/>
      <c r="P133" s="69">
        <v>10000000</v>
      </c>
      <c r="Q133" s="104"/>
      <c r="R133" s="131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s="57" customFormat="1" ht="18.75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si="0"/>
        <v>131</v>
      </c>
      <c r="C134" s="62" t="s">
        <v>128</v>
      </c>
      <c r="D134" s="67">
        <v>42713</v>
      </c>
      <c r="E134" s="122" t="s">
        <v>23</v>
      </c>
      <c r="F134" s="64" t="s">
        <v>173</v>
      </c>
      <c r="G134" s="71" t="s">
        <v>174</v>
      </c>
      <c r="H134" s="64" t="s">
        <v>175</v>
      </c>
      <c r="I134" s="105" t="s">
        <v>10</v>
      </c>
      <c r="J134" s="66"/>
      <c r="K134" s="67"/>
      <c r="L134" s="65"/>
      <c r="M134" s="65"/>
      <c r="N134" s="64" t="s">
        <v>176</v>
      </c>
      <c r="O134" s="68"/>
      <c r="P134" s="69">
        <v>200000000</v>
      </c>
      <c r="Q134" s="104"/>
      <c r="R134" s="131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/>
      </c>
    </row>
    <row r="135" spans="1:18" s="57" customFormat="1" ht="18.75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0"/>
        <v>132</v>
      </c>
      <c r="C135" s="62" t="s">
        <v>128</v>
      </c>
      <c r="D135" s="67">
        <v>42713</v>
      </c>
      <c r="E135" s="122" t="s">
        <v>24</v>
      </c>
      <c r="F135" s="64" t="s">
        <v>314</v>
      </c>
      <c r="G135" s="64" t="s">
        <v>315</v>
      </c>
      <c r="H135" s="64" t="s">
        <v>316</v>
      </c>
      <c r="I135" s="62" t="s">
        <v>10</v>
      </c>
      <c r="J135" s="66"/>
      <c r="K135" s="67"/>
      <c r="L135" s="65"/>
      <c r="M135" s="65"/>
      <c r="N135" s="64" t="s">
        <v>317</v>
      </c>
      <c r="O135" s="68"/>
      <c r="P135" s="69">
        <v>50658716</v>
      </c>
      <c r="Q135" s="104"/>
      <c r="R135" s="131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/>
      </c>
    </row>
    <row r="136" spans="1:18" s="57" customFormat="1" ht="18.75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0"/>
        <v>133</v>
      </c>
      <c r="C136" s="62" t="s">
        <v>128</v>
      </c>
      <c r="D136" s="67">
        <v>42713</v>
      </c>
      <c r="E136" s="122" t="s">
        <v>25</v>
      </c>
      <c r="F136" s="64" t="s">
        <v>356</v>
      </c>
      <c r="G136" s="64" t="s">
        <v>357</v>
      </c>
      <c r="H136" s="64" t="s">
        <v>358</v>
      </c>
      <c r="I136" s="62" t="s">
        <v>10</v>
      </c>
      <c r="J136" s="66"/>
      <c r="K136" s="67"/>
      <c r="L136" s="65"/>
      <c r="M136" s="65"/>
      <c r="N136" s="64" t="s">
        <v>359</v>
      </c>
      <c r="O136" s="68"/>
      <c r="P136" s="69">
        <v>24884526</v>
      </c>
      <c r="Q136" s="104"/>
      <c r="R136" s="131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/>
      </c>
    </row>
    <row r="137" spans="1:18" s="57" customFormat="1" ht="18.75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40" si="8">IF(C137&lt;&gt;"",ROW()-3,"")</f>
        <v>134</v>
      </c>
      <c r="C137" s="62" t="s">
        <v>128</v>
      </c>
      <c r="D137" s="67">
        <v>42713</v>
      </c>
      <c r="E137" s="122" t="s">
        <v>26</v>
      </c>
      <c r="F137" s="64" t="s">
        <v>360</v>
      </c>
      <c r="G137" s="64" t="s">
        <v>361</v>
      </c>
      <c r="H137" s="64" t="s">
        <v>362</v>
      </c>
      <c r="I137" s="62" t="s">
        <v>10</v>
      </c>
      <c r="J137" s="66"/>
      <c r="K137" s="67"/>
      <c r="L137" s="65"/>
      <c r="M137" s="65"/>
      <c r="N137" s="64" t="s">
        <v>176</v>
      </c>
      <c r="O137" s="68"/>
      <c r="P137" s="69">
        <v>100000000</v>
      </c>
      <c r="Q137" s="104"/>
      <c r="R137" s="131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/>
      </c>
    </row>
    <row r="138" spans="1:18" s="57" customFormat="1" ht="18.75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8"/>
        <v>135</v>
      </c>
      <c r="C138" s="62" t="s">
        <v>128</v>
      </c>
      <c r="D138" s="67">
        <v>42713</v>
      </c>
      <c r="E138" s="122" t="s">
        <v>84</v>
      </c>
      <c r="F138" s="70" t="s">
        <v>4</v>
      </c>
      <c r="G138" s="134" t="s">
        <v>446</v>
      </c>
      <c r="H138" s="70" t="s">
        <v>6</v>
      </c>
      <c r="I138" s="62" t="s">
        <v>10</v>
      </c>
      <c r="J138" s="72"/>
      <c r="K138" s="63"/>
      <c r="L138" s="62"/>
      <c r="M138" s="62"/>
      <c r="N138" s="70" t="s">
        <v>363</v>
      </c>
      <c r="O138" s="68"/>
      <c r="P138" s="69">
        <v>15972638</v>
      </c>
      <c r="Q138" s="104"/>
      <c r="R138" s="131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/>
      </c>
    </row>
    <row r="139" spans="1:18" s="57" customFormat="1" ht="18.75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8"/>
        <v>136</v>
      </c>
      <c r="C139" s="62" t="s">
        <v>128</v>
      </c>
      <c r="D139" s="67">
        <v>42713</v>
      </c>
      <c r="E139" s="122" t="s">
        <v>85</v>
      </c>
      <c r="F139" s="64" t="s">
        <v>36</v>
      </c>
      <c r="G139" s="64" t="s">
        <v>32</v>
      </c>
      <c r="H139" s="64" t="s">
        <v>33</v>
      </c>
      <c r="I139" s="65" t="s">
        <v>35</v>
      </c>
      <c r="J139" s="66"/>
      <c r="K139" s="67"/>
      <c r="L139" s="65"/>
      <c r="M139" s="65"/>
      <c r="N139" s="64" t="s">
        <v>364</v>
      </c>
      <c r="O139" s="68"/>
      <c r="P139" s="69">
        <v>27868940</v>
      </c>
      <c r="Q139" s="104"/>
      <c r="R139" s="131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/>
      </c>
    </row>
    <row r="140" spans="1:18" s="57" customFormat="1" ht="18.75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/>
      </c>
      <c r="B140" s="62">
        <f t="shared" si="8"/>
        <v>137</v>
      </c>
      <c r="C140" s="62" t="s">
        <v>104</v>
      </c>
      <c r="D140" s="67">
        <v>42713</v>
      </c>
      <c r="E140" s="122" t="s">
        <v>171</v>
      </c>
      <c r="F140" s="64" t="s">
        <v>346</v>
      </c>
      <c r="G140" s="64" t="s">
        <v>348</v>
      </c>
      <c r="H140" s="64" t="s">
        <v>349</v>
      </c>
      <c r="I140" s="65" t="s">
        <v>350</v>
      </c>
      <c r="J140" s="66"/>
      <c r="K140" s="67"/>
      <c r="L140" s="65"/>
      <c r="M140" s="65"/>
      <c r="N140" s="64" t="s">
        <v>355</v>
      </c>
      <c r="O140" s="68"/>
      <c r="P140" s="69">
        <v>7533000</v>
      </c>
      <c r="Q140" s="104"/>
      <c r="R140" s="131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/>
      </c>
    </row>
    <row r="141" spans="1:18" s="57" customFormat="1" ht="18.75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ref="B141:B148" si="9">IF(C141&lt;&gt;"",ROW()-3,"")</f>
        <v>138</v>
      </c>
      <c r="C141" s="62" t="s">
        <v>128</v>
      </c>
      <c r="D141" s="67">
        <v>42713</v>
      </c>
      <c r="E141" s="122" t="s">
        <v>220</v>
      </c>
      <c r="F141" s="107" t="s">
        <v>153</v>
      </c>
      <c r="G141" s="107" t="s">
        <v>154</v>
      </c>
      <c r="H141" s="107" t="s">
        <v>155</v>
      </c>
      <c r="I141" s="110" t="s">
        <v>10</v>
      </c>
      <c r="J141" s="108"/>
      <c r="K141" s="109"/>
      <c r="L141" s="110"/>
      <c r="M141" s="110"/>
      <c r="N141" s="107" t="s">
        <v>156</v>
      </c>
      <c r="O141" s="111"/>
      <c r="P141" s="69">
        <v>50000000</v>
      </c>
      <c r="Q141" s="104"/>
      <c r="R141" s="131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/>
      </c>
    </row>
    <row r="142" spans="1:18" s="57" customFormat="1" ht="18.75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144</v>
      </c>
      <c r="D142" s="67">
        <v>42717</v>
      </c>
      <c r="E142" s="122" t="s">
        <v>23</v>
      </c>
      <c r="F142" s="107" t="s">
        <v>132</v>
      </c>
      <c r="G142" s="107" t="s">
        <v>261</v>
      </c>
      <c r="H142" s="107" t="s">
        <v>130</v>
      </c>
      <c r="I142" s="105" t="s">
        <v>10</v>
      </c>
      <c r="J142" s="66"/>
      <c r="K142" s="67"/>
      <c r="L142" s="65"/>
      <c r="M142" s="65"/>
      <c r="N142" s="64" t="s">
        <v>170</v>
      </c>
      <c r="O142" s="68">
        <v>71000</v>
      </c>
      <c r="P142" s="69"/>
      <c r="Q142" s="104"/>
      <c r="R142" s="131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s="57" customFormat="1" ht="18.75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>
        <f t="shared" si="9"/>
        <v>140</v>
      </c>
      <c r="C143" s="62" t="s">
        <v>144</v>
      </c>
      <c r="D143" s="67">
        <v>42718</v>
      </c>
      <c r="E143" s="122" t="s">
        <v>23</v>
      </c>
      <c r="F143" s="64" t="s">
        <v>330</v>
      </c>
      <c r="G143" s="64" t="s">
        <v>331</v>
      </c>
      <c r="H143" s="64" t="s">
        <v>332</v>
      </c>
      <c r="I143" s="65" t="s">
        <v>333</v>
      </c>
      <c r="J143" s="66"/>
      <c r="K143" s="67"/>
      <c r="L143" s="65"/>
      <c r="M143" s="65"/>
      <c r="N143" s="64" t="s">
        <v>334</v>
      </c>
      <c r="O143" s="68"/>
      <c r="P143" s="69">
        <v>1443000000</v>
      </c>
      <c r="Q143" s="104"/>
      <c r="R143" s="131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/>
      </c>
    </row>
    <row r="144" spans="1:18" s="57" customFormat="1" ht="18.75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9"/>
        <v>141</v>
      </c>
      <c r="C144" s="62" t="s">
        <v>144</v>
      </c>
      <c r="D144" s="67">
        <v>42718</v>
      </c>
      <c r="E144" s="122" t="s">
        <v>24</v>
      </c>
      <c r="F144" s="64" t="s">
        <v>337</v>
      </c>
      <c r="G144" s="64" t="s">
        <v>338</v>
      </c>
      <c r="H144" s="64" t="s">
        <v>332</v>
      </c>
      <c r="I144" s="65" t="s">
        <v>333</v>
      </c>
      <c r="J144" s="66"/>
      <c r="K144" s="67"/>
      <c r="L144" s="65"/>
      <c r="M144" s="65"/>
      <c r="N144" s="107" t="s">
        <v>334</v>
      </c>
      <c r="O144" s="68"/>
      <c r="P144" s="69">
        <v>974415000</v>
      </c>
      <c r="Q144" s="104"/>
      <c r="R144" s="131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/>
      </c>
    </row>
    <row r="145" spans="1:18" s="57" customFormat="1" ht="18.75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9"/>
        <v>142</v>
      </c>
      <c r="C145" s="62" t="s">
        <v>144</v>
      </c>
      <c r="D145" s="67">
        <v>42718</v>
      </c>
      <c r="E145" s="122" t="s">
        <v>25</v>
      </c>
      <c r="F145" s="64" t="s">
        <v>314</v>
      </c>
      <c r="G145" s="64" t="s">
        <v>315</v>
      </c>
      <c r="H145" s="64" t="s">
        <v>316</v>
      </c>
      <c r="I145" s="62" t="s">
        <v>10</v>
      </c>
      <c r="J145" s="66"/>
      <c r="K145" s="67"/>
      <c r="L145" s="65"/>
      <c r="M145" s="65"/>
      <c r="N145" s="64" t="s">
        <v>317</v>
      </c>
      <c r="O145" s="68"/>
      <c r="P145" s="69">
        <v>26948372</v>
      </c>
      <c r="Q145" s="104"/>
      <c r="R145" s="131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/>
      </c>
    </row>
    <row r="146" spans="1:18" s="57" customFormat="1" ht="18.75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>
        <f t="shared" si="9"/>
        <v>143</v>
      </c>
      <c r="C146" s="62" t="s">
        <v>144</v>
      </c>
      <c r="D146" s="67">
        <v>42718</v>
      </c>
      <c r="E146" s="122" t="s">
        <v>26</v>
      </c>
      <c r="F146" s="64" t="s">
        <v>356</v>
      </c>
      <c r="G146" s="64" t="s">
        <v>357</v>
      </c>
      <c r="H146" s="64" t="s">
        <v>358</v>
      </c>
      <c r="I146" s="62" t="s">
        <v>10</v>
      </c>
      <c r="J146" s="66"/>
      <c r="K146" s="67"/>
      <c r="L146" s="65"/>
      <c r="M146" s="65"/>
      <c r="N146" s="64" t="s">
        <v>359</v>
      </c>
      <c r="O146" s="68"/>
      <c r="P146" s="69">
        <v>24884526</v>
      </c>
      <c r="Q146" s="104"/>
      <c r="R146" s="131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s="57" customFormat="1" ht="18.75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>
        <f t="shared" si="9"/>
        <v>144</v>
      </c>
      <c r="C147" s="62" t="s">
        <v>144</v>
      </c>
      <c r="D147" s="67">
        <v>42741</v>
      </c>
      <c r="E147" s="122" t="s">
        <v>23</v>
      </c>
      <c r="F147" s="107" t="s">
        <v>132</v>
      </c>
      <c r="G147" s="107" t="s">
        <v>261</v>
      </c>
      <c r="H147" s="107" t="s">
        <v>130</v>
      </c>
      <c r="I147" s="105" t="s">
        <v>10</v>
      </c>
      <c r="J147" s="66"/>
      <c r="K147" s="67"/>
      <c r="L147" s="65"/>
      <c r="M147" s="65"/>
      <c r="N147" s="64" t="s">
        <v>170</v>
      </c>
      <c r="O147" s="68">
        <v>43500</v>
      </c>
      <c r="P147" s="69"/>
      <c r="Q147" s="104"/>
      <c r="R147" s="131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s="57" customFormat="1" ht="18.75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>
        <f t="shared" si="9"/>
        <v>145</v>
      </c>
      <c r="C148" s="62" t="s">
        <v>144</v>
      </c>
      <c r="D148" s="67">
        <v>42746</v>
      </c>
      <c r="E148" s="122" t="s">
        <v>23</v>
      </c>
      <c r="F148" s="107" t="s">
        <v>133</v>
      </c>
      <c r="G148" s="107" t="s">
        <v>134</v>
      </c>
      <c r="H148" s="107" t="s">
        <v>130</v>
      </c>
      <c r="I148" s="105" t="s">
        <v>10</v>
      </c>
      <c r="J148" s="66"/>
      <c r="K148" s="67"/>
      <c r="L148" s="65"/>
      <c r="M148" s="65"/>
      <c r="N148" s="107" t="s">
        <v>334</v>
      </c>
      <c r="O148" s="68"/>
      <c r="P148" s="69">
        <v>6650000000</v>
      </c>
      <c r="Q148" s="104"/>
      <c r="R148" s="131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s="57" customFormat="1" ht="18.75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>
        <f t="shared" si="0"/>
        <v>146</v>
      </c>
      <c r="C149" s="62" t="s">
        <v>144</v>
      </c>
      <c r="D149" s="67">
        <v>42774</v>
      </c>
      <c r="E149" s="122" t="s">
        <v>23</v>
      </c>
      <c r="F149" s="107" t="s">
        <v>132</v>
      </c>
      <c r="G149" s="107" t="s">
        <v>261</v>
      </c>
      <c r="H149" s="107" t="s">
        <v>130</v>
      </c>
      <c r="I149" s="105" t="s">
        <v>10</v>
      </c>
      <c r="J149" s="66"/>
      <c r="K149" s="67"/>
      <c r="L149" s="65"/>
      <c r="M149" s="65"/>
      <c r="N149" s="64" t="s">
        <v>170</v>
      </c>
      <c r="O149" s="68">
        <v>53000</v>
      </c>
      <c r="P149" s="69"/>
      <c r="Q149" s="104"/>
      <c r="R149" s="131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s="57" customFormat="1" ht="18.75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>
        <f t="shared" si="0"/>
        <v>147</v>
      </c>
      <c r="C150" s="62" t="s">
        <v>144</v>
      </c>
      <c r="D150" s="67">
        <v>42779</v>
      </c>
      <c r="E150" s="122" t="s">
        <v>24</v>
      </c>
      <c r="F150" s="107" t="s">
        <v>133</v>
      </c>
      <c r="G150" s="107" t="s">
        <v>134</v>
      </c>
      <c r="H150" s="107" t="s">
        <v>130</v>
      </c>
      <c r="I150" s="105" t="s">
        <v>10</v>
      </c>
      <c r="J150" s="66"/>
      <c r="K150" s="67"/>
      <c r="L150" s="65"/>
      <c r="M150" s="65"/>
      <c r="N150" s="107" t="s">
        <v>334</v>
      </c>
      <c r="O150" s="68"/>
      <c r="P150" s="69">
        <v>6280000000</v>
      </c>
      <c r="Q150" s="104"/>
      <c r="R150" s="131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s="57" customFormat="1" ht="18.75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>
        <f t="shared" si="0"/>
        <v>148</v>
      </c>
      <c r="C151" s="62" t="s">
        <v>144</v>
      </c>
      <c r="D151" s="67">
        <v>42845</v>
      </c>
      <c r="E151" s="122" t="s">
        <v>23</v>
      </c>
      <c r="F151" s="64" t="s">
        <v>337</v>
      </c>
      <c r="G151" s="64" t="s">
        <v>338</v>
      </c>
      <c r="H151" s="64" t="s">
        <v>332</v>
      </c>
      <c r="I151" s="65" t="s">
        <v>333</v>
      </c>
      <c r="J151" s="66"/>
      <c r="K151" s="67"/>
      <c r="L151" s="65"/>
      <c r="M151" s="65"/>
      <c r="N151" s="107" t="s">
        <v>334</v>
      </c>
      <c r="O151" s="68"/>
      <c r="P151" s="69">
        <v>1419444000</v>
      </c>
      <c r="Q151" s="104"/>
      <c r="R151" s="131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s="57" customFormat="1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>
        <f t="shared" si="0"/>
        <v>149</v>
      </c>
      <c r="C152" s="62" t="s">
        <v>144</v>
      </c>
      <c r="D152" s="67">
        <v>42845</v>
      </c>
      <c r="E152" s="122" t="s">
        <v>24</v>
      </c>
      <c r="F152" s="64" t="s">
        <v>330</v>
      </c>
      <c r="G152" s="64" t="s">
        <v>365</v>
      </c>
      <c r="H152" s="64" t="s">
        <v>332</v>
      </c>
      <c r="I152" s="65" t="s">
        <v>333</v>
      </c>
      <c r="J152" s="66"/>
      <c r="K152" s="67"/>
      <c r="L152" s="65"/>
      <c r="M152" s="65"/>
      <c r="N152" s="64" t="s">
        <v>334</v>
      </c>
      <c r="O152" s="68"/>
      <c r="P152" s="69">
        <v>1653600000</v>
      </c>
      <c r="Q152" s="104"/>
      <c r="R152" s="131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s="57" customFormat="1" ht="18.75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>
        <f t="shared" si="0"/>
        <v>150</v>
      </c>
      <c r="C153" s="62" t="s">
        <v>144</v>
      </c>
      <c r="D153" s="67">
        <v>42851</v>
      </c>
      <c r="E153" s="122" t="s">
        <v>23</v>
      </c>
      <c r="F153" s="64" t="s">
        <v>337</v>
      </c>
      <c r="G153" s="64" t="s">
        <v>338</v>
      </c>
      <c r="H153" s="64" t="s">
        <v>332</v>
      </c>
      <c r="I153" s="65" t="s">
        <v>333</v>
      </c>
      <c r="J153" s="66"/>
      <c r="K153" s="67"/>
      <c r="L153" s="65"/>
      <c r="M153" s="65"/>
      <c r="N153" s="107" t="s">
        <v>334</v>
      </c>
      <c r="O153" s="68"/>
      <c r="P153" s="69">
        <v>2186691000</v>
      </c>
      <c r="Q153" s="104"/>
      <c r="R153" s="131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s="57" customFormat="1" ht="18.75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>
        <f t="shared" si="0"/>
        <v>151</v>
      </c>
      <c r="C154" s="62" t="s">
        <v>144</v>
      </c>
      <c r="D154" s="67">
        <v>42874</v>
      </c>
      <c r="E154" s="122" t="s">
        <v>23</v>
      </c>
      <c r="F154" s="107" t="s">
        <v>133</v>
      </c>
      <c r="G154" s="107" t="s">
        <v>134</v>
      </c>
      <c r="H154" s="107" t="s">
        <v>130</v>
      </c>
      <c r="I154" s="105" t="s">
        <v>10</v>
      </c>
      <c r="J154" s="66"/>
      <c r="K154" s="67"/>
      <c r="L154" s="65"/>
      <c r="M154" s="65"/>
      <c r="N154" s="107" t="s">
        <v>334</v>
      </c>
      <c r="O154" s="68"/>
      <c r="P154" s="69">
        <v>4200000000</v>
      </c>
      <c r="Q154" s="104"/>
      <c r="R154" s="131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s="57" customFormat="1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>
        <f t="shared" si="0"/>
        <v>152</v>
      </c>
      <c r="C155" s="62" t="s">
        <v>144</v>
      </c>
      <c r="D155" s="67">
        <v>42892</v>
      </c>
      <c r="E155" s="122" t="s">
        <v>23</v>
      </c>
      <c r="F155" s="107" t="s">
        <v>133</v>
      </c>
      <c r="G155" s="107" t="s">
        <v>134</v>
      </c>
      <c r="H155" s="107" t="s">
        <v>130</v>
      </c>
      <c r="I155" s="105" t="s">
        <v>10</v>
      </c>
      <c r="J155" s="66"/>
      <c r="K155" s="67"/>
      <c r="L155" s="65"/>
      <c r="M155" s="65"/>
      <c r="N155" s="107" t="s">
        <v>334</v>
      </c>
      <c r="O155" s="68"/>
      <c r="P155" s="69">
        <v>6780000000</v>
      </c>
      <c r="Q155" s="104"/>
      <c r="R155" s="131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s="57" customFormat="1" ht="18.75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>
        <f t="shared" ref="B156:B283" si="10">IF(C156&lt;&gt;"",ROW()-3,"")</f>
        <v>153</v>
      </c>
      <c r="C156" s="62" t="s">
        <v>144</v>
      </c>
      <c r="D156" s="67">
        <v>42900</v>
      </c>
      <c r="E156" s="122" t="s">
        <v>23</v>
      </c>
      <c r="F156" s="64" t="s">
        <v>366</v>
      </c>
      <c r="G156" s="71" t="s">
        <v>367</v>
      </c>
      <c r="H156" s="64" t="s">
        <v>368</v>
      </c>
      <c r="I156" s="65" t="s">
        <v>35</v>
      </c>
      <c r="J156" s="66"/>
      <c r="K156" s="67"/>
      <c r="L156" s="65"/>
      <c r="M156" s="65"/>
      <c r="N156" s="64" t="s">
        <v>369</v>
      </c>
      <c r="O156" s="68"/>
      <c r="P156" s="69">
        <v>33269610</v>
      </c>
      <c r="Q156" s="104"/>
      <c r="R156" s="131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s="57" customFormat="1" ht="18.75" customHeight="1">
      <c r="A157" s="55" t="str">
        <f>IF(AND(C157="pv",E157='UNC - PV'!$S$2,D157='UNC - PV'!$Q$2),"x",IF(AND(LEFT(C157,3)="eib",E157='UNC - EIB'!$V$2,D157='UNC - EIB'!$T$2),"x1",IF(AND(C157="pv",E157='LC - PV'!$R$2,D157='LC - PV'!$P$2),"x2",IF(AND(LEFT(C157,3)="eib",E157='LC - EIB'!$U$2,D157='LC - EIB'!$S$2),"x3",""))))</f>
        <v/>
      </c>
      <c r="B157" s="62">
        <f t="shared" si="10"/>
        <v>154</v>
      </c>
      <c r="C157" s="62" t="s">
        <v>144</v>
      </c>
      <c r="D157" s="67">
        <v>42907</v>
      </c>
      <c r="E157" s="122" t="s">
        <v>23</v>
      </c>
      <c r="F157" s="107" t="s">
        <v>133</v>
      </c>
      <c r="G157" s="107" t="s">
        <v>134</v>
      </c>
      <c r="H157" s="107" t="s">
        <v>130</v>
      </c>
      <c r="I157" s="105" t="s">
        <v>10</v>
      </c>
      <c r="J157" s="66"/>
      <c r="K157" s="67"/>
      <c r="L157" s="65"/>
      <c r="M157" s="65"/>
      <c r="N157" s="107" t="s">
        <v>334</v>
      </c>
      <c r="O157" s="68"/>
      <c r="P157" s="69">
        <v>7450000000</v>
      </c>
      <c r="Q157" s="104"/>
      <c r="R157" s="131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  <row r="158" spans="1:18" s="57" customFormat="1" ht="18.75" customHeight="1">
      <c r="A158" s="55" t="str">
        <f>IF(AND(C158="pv",E158='UNC - PV'!$S$2,D158='UNC - PV'!$Q$2),"x",IF(AND(LEFT(C158,3)="eib",E158='UNC - EIB'!$V$2,D158='UNC - EIB'!$T$2),"x1",IF(AND(C158="pv",E158='LC - PV'!$R$2,D158='LC - PV'!$P$2),"x2",IF(AND(LEFT(C158,3)="eib",E158='LC - EIB'!$U$2,D158='LC - EIB'!$S$2),"x3",""))))</f>
        <v/>
      </c>
      <c r="B158" s="62">
        <f t="shared" si="10"/>
        <v>155</v>
      </c>
      <c r="C158" s="62" t="s">
        <v>144</v>
      </c>
      <c r="D158" s="67">
        <v>42914</v>
      </c>
      <c r="E158" s="65" t="s">
        <v>23</v>
      </c>
      <c r="F158" s="64" t="s">
        <v>370</v>
      </c>
      <c r="G158" s="71" t="s">
        <v>452</v>
      </c>
      <c r="H158" s="64" t="s">
        <v>372</v>
      </c>
      <c r="I158" s="105" t="s">
        <v>10</v>
      </c>
      <c r="J158" s="66"/>
      <c r="K158" s="67"/>
      <c r="L158" s="65"/>
      <c r="M158" s="65"/>
      <c r="N158" s="64" t="s">
        <v>373</v>
      </c>
      <c r="O158" s="68"/>
      <c r="P158" s="69">
        <v>230000000</v>
      </c>
      <c r="Q158" s="104"/>
      <c r="R158" s="131" t="str">
        <f>IF(AND(C158="pv",D158='UNC - PV'!$Q$2,LEFT(E158,1)="u",'UNC - PV'!$O$2="vnđ",TH!P158&lt;&gt;""),"p",IF(AND(C158="pv",D158='UNC - PV'!$Q$2,LEFT(E158,1)="u",'UNC - PV'!$O$2="usd",TH!O158&lt;&gt;""),"p1",IF(AND(C158="pv",D158='LC - PV'!$P$2,LEFT(E158,1)="l"),"p2",IF(AND(LEFT(C158,3)="EIB",D158='UNC - EIB'!$T$2,LEFT(E158,1)="u",'UNC - EIB'!$R$2="vnđ",TH!P158&lt;&gt;""),"e",IF(AND(LEFT(C158,3)="EIB",D158='UNC - EIB'!$T$2,LEFT(E158,1)="U",'UNC - EIB'!$R$2="usd",TH!O158&lt;&gt;""),"e1",IF(AND(LEFT(C158,3)="EIB",D158='LC - EIB'!$S$2,LEFT(E158,1)="l"),"e2",""))))))</f>
        <v/>
      </c>
    </row>
    <row r="159" spans="1:18" s="57" customFormat="1" ht="18.75" customHeight="1">
      <c r="A159" s="55" t="str">
        <f>IF(AND(C159="pv",E159='UNC - PV'!$S$2,D159='UNC - PV'!$Q$2),"x",IF(AND(LEFT(C159,3)="eib",E159='UNC - EIB'!$V$2,D159='UNC - EIB'!$T$2),"x1",IF(AND(C159="pv",E159='LC - PV'!$R$2,D159='LC - PV'!$P$2),"x2",IF(AND(LEFT(C159,3)="eib",E159='LC - EIB'!$U$2,D159='LC - EIB'!$S$2),"x3",""))))</f>
        <v/>
      </c>
      <c r="B159" s="62">
        <f t="shared" si="10"/>
        <v>156</v>
      </c>
      <c r="C159" s="62" t="s">
        <v>144</v>
      </c>
      <c r="D159" s="67">
        <v>42914</v>
      </c>
      <c r="E159" s="65" t="s">
        <v>24</v>
      </c>
      <c r="F159" s="64" t="s">
        <v>173</v>
      </c>
      <c r="G159" s="71" t="s">
        <v>174</v>
      </c>
      <c r="H159" s="64" t="s">
        <v>175</v>
      </c>
      <c r="I159" s="105" t="s">
        <v>10</v>
      </c>
      <c r="J159" s="66"/>
      <c r="K159" s="67"/>
      <c r="L159" s="65"/>
      <c r="M159" s="65"/>
      <c r="N159" s="64" t="s">
        <v>176</v>
      </c>
      <c r="O159" s="68"/>
      <c r="P159" s="69">
        <v>177413940</v>
      </c>
      <c r="Q159" s="104"/>
      <c r="R159" s="131" t="str">
        <f>IF(AND(C159="pv",D159='UNC - PV'!$Q$2,LEFT(E159,1)="u",'UNC - PV'!$O$2="vnđ",TH!P159&lt;&gt;""),"p",IF(AND(C159="pv",D159='UNC - PV'!$Q$2,LEFT(E159,1)="u",'UNC - PV'!$O$2="usd",TH!O159&lt;&gt;""),"p1",IF(AND(C159="pv",D159='LC - PV'!$P$2,LEFT(E159,1)="l"),"p2",IF(AND(LEFT(C159,3)="EIB",D159='UNC - EIB'!$T$2,LEFT(E159,1)="u",'UNC - EIB'!$R$2="vnđ",TH!P159&lt;&gt;""),"e",IF(AND(LEFT(C159,3)="EIB",D159='UNC - EIB'!$T$2,LEFT(E159,1)="U",'UNC - EIB'!$R$2="usd",TH!O159&lt;&gt;""),"e1",IF(AND(LEFT(C159,3)="EIB",D159='LC - EIB'!$S$2,LEFT(E159,1)="l"),"e2",""))))))</f>
        <v/>
      </c>
    </row>
    <row r="160" spans="1:18" s="57" customFormat="1" ht="18.75" customHeight="1">
      <c r="A160" s="55" t="str">
        <f>IF(AND(C160="pv",E160='UNC - PV'!$S$2,D160='UNC - PV'!$Q$2),"x",IF(AND(LEFT(C160,3)="eib",E160='UNC - EIB'!$V$2,D160='UNC - EIB'!$T$2),"x1",IF(AND(C160="pv",E160='LC - PV'!$R$2,D160='LC - PV'!$P$2),"x2",IF(AND(LEFT(C160,3)="eib",E160='LC - EIB'!$U$2,D160='LC - EIB'!$S$2),"x3",""))))</f>
        <v/>
      </c>
      <c r="B160" s="62">
        <f t="shared" si="10"/>
        <v>157</v>
      </c>
      <c r="C160" s="62" t="s">
        <v>144</v>
      </c>
      <c r="D160" s="67">
        <v>42914</v>
      </c>
      <c r="E160" s="65" t="s">
        <v>25</v>
      </c>
      <c r="F160" s="64" t="s">
        <v>374</v>
      </c>
      <c r="G160" s="64" t="s">
        <v>375</v>
      </c>
      <c r="H160" s="64" t="s">
        <v>376</v>
      </c>
      <c r="I160" s="105" t="s">
        <v>10</v>
      </c>
      <c r="J160" s="66"/>
      <c r="K160" s="67"/>
      <c r="L160" s="65"/>
      <c r="M160" s="65"/>
      <c r="N160" s="64" t="s">
        <v>377</v>
      </c>
      <c r="O160" s="68"/>
      <c r="P160" s="69">
        <v>20293420</v>
      </c>
      <c r="Q160" s="104"/>
      <c r="R160" s="131" t="str">
        <f>IF(AND(C160="pv",D160='UNC - PV'!$Q$2,LEFT(E160,1)="u",'UNC - PV'!$O$2="vnđ",TH!P160&lt;&gt;""),"p",IF(AND(C160="pv",D160='UNC - PV'!$Q$2,LEFT(E160,1)="u",'UNC - PV'!$O$2="usd",TH!O160&lt;&gt;""),"p1",IF(AND(C160="pv",D160='LC - PV'!$P$2,LEFT(E160,1)="l"),"p2",IF(AND(LEFT(C160,3)="EIB",D160='UNC - EIB'!$T$2,LEFT(E160,1)="u",'UNC - EIB'!$R$2="vnđ",TH!P160&lt;&gt;""),"e",IF(AND(LEFT(C160,3)="EIB",D160='UNC - EIB'!$T$2,LEFT(E160,1)="U",'UNC - EIB'!$R$2="usd",TH!O160&lt;&gt;""),"e1",IF(AND(LEFT(C160,3)="EIB",D160='LC - EIB'!$S$2,LEFT(E160,1)="l"),"e2",""))))))</f>
        <v/>
      </c>
    </row>
    <row r="161" spans="1:18" s="57" customFormat="1" ht="18.75" customHeight="1">
      <c r="A161" s="55" t="str">
        <f>IF(AND(C161="pv",E161='UNC - PV'!$S$2,D161='UNC - PV'!$Q$2),"x",IF(AND(LEFT(C161,3)="eib",E161='UNC - EIB'!$V$2,D161='UNC - EIB'!$T$2),"x1",IF(AND(C161="pv",E161='LC - PV'!$R$2,D161='LC - PV'!$P$2),"x2",IF(AND(LEFT(C161,3)="eib",E161='LC - EIB'!$U$2,D161='LC - EIB'!$S$2),"x3",""))))</f>
        <v/>
      </c>
      <c r="B161" s="62">
        <f t="shared" si="10"/>
        <v>158</v>
      </c>
      <c r="C161" s="62" t="s">
        <v>144</v>
      </c>
      <c r="D161" s="67">
        <v>42915</v>
      </c>
      <c r="E161" s="65" t="s">
        <v>23</v>
      </c>
      <c r="F161" s="107" t="s">
        <v>132</v>
      </c>
      <c r="G161" s="107" t="s">
        <v>261</v>
      </c>
      <c r="H161" s="107" t="s">
        <v>130</v>
      </c>
      <c r="I161" s="105" t="s">
        <v>10</v>
      </c>
      <c r="J161" s="66"/>
      <c r="K161" s="67"/>
      <c r="L161" s="65"/>
      <c r="M161" s="65"/>
      <c r="N161" s="64" t="s">
        <v>170</v>
      </c>
      <c r="O161" s="68">
        <v>243800</v>
      </c>
      <c r="P161" s="69"/>
      <c r="Q161" s="104"/>
      <c r="R161" s="131" t="str">
        <f>IF(AND(C161="pv",D161='UNC - PV'!$Q$2,LEFT(E161,1)="u",'UNC - PV'!$O$2="vnđ",TH!P161&lt;&gt;""),"p",IF(AND(C161="pv",D161='UNC - PV'!$Q$2,LEFT(E161,1)="u",'UNC - PV'!$O$2="usd",TH!O161&lt;&gt;""),"p1",IF(AND(C161="pv",D161='LC - PV'!$P$2,LEFT(E161,1)="l"),"p2",IF(AND(LEFT(C161,3)="EIB",D161='UNC - EIB'!$T$2,LEFT(E161,1)="u",'UNC - EIB'!$R$2="vnđ",TH!P161&lt;&gt;""),"e",IF(AND(LEFT(C161,3)="EIB",D161='UNC - EIB'!$T$2,LEFT(E161,1)="U",'UNC - EIB'!$R$2="usd",TH!O161&lt;&gt;""),"e1",IF(AND(LEFT(C161,3)="EIB",D161='LC - EIB'!$S$2,LEFT(E161,1)="l"),"e2",""))))))</f>
        <v/>
      </c>
    </row>
    <row r="162" spans="1:18" s="57" customFormat="1" ht="18.75" customHeight="1">
      <c r="A162" s="55" t="str">
        <f>IF(AND(C162="pv",E162='UNC - PV'!$S$2,D162='UNC - PV'!$Q$2),"x",IF(AND(LEFT(C162,3)="eib",E162='UNC - EIB'!$V$2,D162='UNC - EIB'!$T$2),"x1",IF(AND(C162="pv",E162='LC - PV'!$R$2,D162='LC - PV'!$P$2),"x2",IF(AND(LEFT(C162,3)="eib",E162='LC - EIB'!$U$2,D162='LC - EIB'!$S$2),"x3",""))))</f>
        <v/>
      </c>
      <c r="B162" s="62">
        <f t="shared" si="10"/>
        <v>159</v>
      </c>
      <c r="C162" s="62" t="s">
        <v>144</v>
      </c>
      <c r="D162" s="67">
        <v>42922</v>
      </c>
      <c r="E162" s="65" t="s">
        <v>23</v>
      </c>
      <c r="F162" s="64" t="s">
        <v>378</v>
      </c>
      <c r="G162" s="71" t="s">
        <v>379</v>
      </c>
      <c r="H162" s="64" t="s">
        <v>380</v>
      </c>
      <c r="I162" s="105" t="s">
        <v>10</v>
      </c>
      <c r="J162" s="66"/>
      <c r="K162" s="67"/>
      <c r="L162" s="65"/>
      <c r="M162" s="65"/>
      <c r="N162" s="64" t="s">
        <v>359</v>
      </c>
      <c r="O162" s="68"/>
      <c r="P162" s="69">
        <v>100000000</v>
      </c>
      <c r="Q162" s="104"/>
      <c r="R162" s="131" t="str">
        <f>IF(AND(C162="pv",D162='UNC - PV'!$Q$2,LEFT(E162,1)="u",'UNC - PV'!$O$2="vnđ",TH!P162&lt;&gt;""),"p",IF(AND(C162="pv",D162='UNC - PV'!$Q$2,LEFT(E162,1)="u",'UNC - PV'!$O$2="usd",TH!O162&lt;&gt;""),"p1",IF(AND(C162="pv",D162='LC - PV'!$P$2,LEFT(E162,1)="l"),"p2",IF(AND(LEFT(C162,3)="EIB",D162='UNC - EIB'!$T$2,LEFT(E162,1)="u",'UNC - EIB'!$R$2="vnđ",TH!P162&lt;&gt;""),"e",IF(AND(LEFT(C162,3)="EIB",D162='UNC - EIB'!$T$2,LEFT(E162,1)="U",'UNC - EIB'!$R$2="usd",TH!O162&lt;&gt;""),"e1",IF(AND(LEFT(C162,3)="EIB",D162='LC - EIB'!$S$2,LEFT(E162,1)="l"),"e2",""))))))</f>
        <v/>
      </c>
    </row>
    <row r="163" spans="1:18" s="57" customFormat="1" ht="18.75" customHeight="1">
      <c r="A163" s="55" t="str">
        <f>IF(AND(C163="pv",E163='UNC - PV'!$S$2,D163='UNC - PV'!$Q$2),"x",IF(AND(LEFT(C163,3)="eib",E163='UNC - EIB'!$V$2,D163='UNC - EIB'!$T$2),"x1",IF(AND(C163="pv",E163='LC - PV'!$R$2,D163='LC - PV'!$P$2),"x2",IF(AND(LEFT(C163,3)="eib",E163='LC - EIB'!$U$2,D163='LC - EIB'!$S$2),"x3",""))))</f>
        <v/>
      </c>
      <c r="B163" s="62">
        <f t="shared" si="10"/>
        <v>160</v>
      </c>
      <c r="C163" s="62" t="s">
        <v>144</v>
      </c>
      <c r="D163" s="67">
        <v>42922</v>
      </c>
      <c r="E163" s="65" t="s">
        <v>24</v>
      </c>
      <c r="F163" s="64" t="s">
        <v>381</v>
      </c>
      <c r="G163" s="64" t="s">
        <v>382</v>
      </c>
      <c r="H163" s="64" t="s">
        <v>383</v>
      </c>
      <c r="I163" s="65" t="s">
        <v>35</v>
      </c>
      <c r="J163" s="66"/>
      <c r="K163" s="67"/>
      <c r="L163" s="65"/>
      <c r="M163" s="65"/>
      <c r="N163" s="64" t="s">
        <v>384</v>
      </c>
      <c r="O163" s="68"/>
      <c r="P163" s="69">
        <v>30029522</v>
      </c>
      <c r="Q163" s="104"/>
      <c r="R163" s="131" t="str">
        <f>IF(AND(C163="pv",D163='UNC - PV'!$Q$2,LEFT(E163,1)="u",'UNC - PV'!$O$2="vnđ",TH!P163&lt;&gt;""),"p",IF(AND(C163="pv",D163='UNC - PV'!$Q$2,LEFT(E163,1)="u",'UNC - PV'!$O$2="usd",TH!O163&lt;&gt;""),"p1",IF(AND(C163="pv",D163='LC - PV'!$P$2,LEFT(E163,1)="l"),"p2",IF(AND(LEFT(C163,3)="EIB",D163='UNC - EIB'!$T$2,LEFT(E163,1)="u",'UNC - EIB'!$R$2="vnđ",TH!P163&lt;&gt;""),"e",IF(AND(LEFT(C163,3)="EIB",D163='UNC - EIB'!$T$2,LEFT(E163,1)="U",'UNC - EIB'!$R$2="usd",TH!O163&lt;&gt;""),"e1",IF(AND(LEFT(C163,3)="EIB",D163='LC - EIB'!$S$2,LEFT(E163,1)="l"),"e2",""))))))</f>
        <v/>
      </c>
    </row>
    <row r="164" spans="1:18" s="57" customFormat="1" ht="18.75" customHeight="1">
      <c r="A164" s="55" t="str">
        <f>IF(AND(C164="pv",E164='UNC - PV'!$S$2,D164='UNC - PV'!$Q$2),"x",IF(AND(LEFT(C164,3)="eib",E164='UNC - EIB'!$V$2,D164='UNC - EIB'!$T$2),"x1",IF(AND(C164="pv",E164='LC - PV'!$R$2,D164='LC - PV'!$P$2),"x2",IF(AND(LEFT(C164,3)="eib",E164='LC - EIB'!$U$2,D164='LC - EIB'!$S$2),"x3",""))))</f>
        <v/>
      </c>
      <c r="B164" s="62">
        <f t="shared" si="10"/>
        <v>161</v>
      </c>
      <c r="C164" s="62" t="s">
        <v>144</v>
      </c>
      <c r="D164" s="67">
        <v>42922</v>
      </c>
      <c r="E164" s="65" t="s">
        <v>25</v>
      </c>
      <c r="F164" s="64" t="s">
        <v>330</v>
      </c>
      <c r="G164" s="64" t="s">
        <v>365</v>
      </c>
      <c r="H164" s="64" t="s">
        <v>332</v>
      </c>
      <c r="I164" s="65" t="s">
        <v>333</v>
      </c>
      <c r="J164" s="66"/>
      <c r="K164" s="67"/>
      <c r="L164" s="65"/>
      <c r="M164" s="65"/>
      <c r="N164" s="64" t="s">
        <v>334</v>
      </c>
      <c r="O164" s="68"/>
      <c r="P164" s="69">
        <v>2784145000</v>
      </c>
      <c r="Q164" s="104"/>
      <c r="R164" s="131" t="str">
        <f>IF(AND(C164="pv",D164='UNC - PV'!$Q$2,LEFT(E164,1)="u",'UNC - PV'!$O$2="vnđ",TH!P164&lt;&gt;""),"p",IF(AND(C164="pv",D164='UNC - PV'!$Q$2,LEFT(E164,1)="u",'UNC - PV'!$O$2="usd",TH!O164&lt;&gt;""),"p1",IF(AND(C164="pv",D164='LC - PV'!$P$2,LEFT(E164,1)="l"),"p2",IF(AND(LEFT(C164,3)="EIB",D164='UNC - EIB'!$T$2,LEFT(E164,1)="u",'UNC - EIB'!$R$2="vnđ",TH!P164&lt;&gt;""),"e",IF(AND(LEFT(C164,3)="EIB",D164='UNC - EIB'!$T$2,LEFT(E164,1)="U",'UNC - EIB'!$R$2="usd",TH!O164&lt;&gt;""),"e1",IF(AND(LEFT(C164,3)="EIB",D164='LC - EIB'!$S$2,LEFT(E164,1)="l"),"e2",""))))))</f>
        <v/>
      </c>
    </row>
    <row r="165" spans="1:18" s="57" customFormat="1" ht="18.75" customHeight="1">
      <c r="A165" s="55" t="str">
        <f>IF(AND(C165="pv",E165='UNC - PV'!$S$2,D165='UNC - PV'!$Q$2),"x",IF(AND(LEFT(C165,3)="eib",E165='UNC - EIB'!$V$2,D165='UNC - EIB'!$T$2),"x1",IF(AND(C165="pv",E165='LC - PV'!$R$2,D165='LC - PV'!$P$2),"x2",IF(AND(LEFT(C165,3)="eib",E165='LC - EIB'!$U$2,D165='LC - EIB'!$S$2),"x3",""))))</f>
        <v/>
      </c>
      <c r="B165" s="62">
        <f t="shared" si="10"/>
        <v>162</v>
      </c>
      <c r="C165" s="62" t="s">
        <v>144</v>
      </c>
      <c r="D165" s="67">
        <v>42922</v>
      </c>
      <c r="E165" s="65" t="s">
        <v>26</v>
      </c>
      <c r="F165" s="64" t="s">
        <v>337</v>
      </c>
      <c r="G165" s="64" t="s">
        <v>338</v>
      </c>
      <c r="H165" s="64" t="s">
        <v>332</v>
      </c>
      <c r="I165" s="65" t="s">
        <v>333</v>
      </c>
      <c r="J165" s="66"/>
      <c r="K165" s="67"/>
      <c r="L165" s="65"/>
      <c r="M165" s="65"/>
      <c r="N165" s="107" t="s">
        <v>334</v>
      </c>
      <c r="O165" s="68"/>
      <c r="P165" s="69">
        <v>1727752000</v>
      </c>
      <c r="Q165" s="104"/>
      <c r="R165" s="131" t="str">
        <f>IF(AND(C165="pv",D165='UNC - PV'!$Q$2,LEFT(E165,1)="u",'UNC - PV'!$O$2="vnđ",TH!P165&lt;&gt;""),"p",IF(AND(C165="pv",D165='UNC - PV'!$Q$2,LEFT(E165,1)="u",'UNC - PV'!$O$2="usd",TH!O165&lt;&gt;""),"p1",IF(AND(C165="pv",D165='LC - PV'!$P$2,LEFT(E165,1)="l"),"p2",IF(AND(LEFT(C165,3)="EIB",D165='UNC - EIB'!$T$2,LEFT(E165,1)="u",'UNC - EIB'!$R$2="vnđ",TH!P165&lt;&gt;""),"e",IF(AND(LEFT(C165,3)="EIB",D165='UNC - EIB'!$T$2,LEFT(E165,1)="U",'UNC - EIB'!$R$2="usd",TH!O165&lt;&gt;""),"e1",IF(AND(LEFT(C165,3)="EIB",D165='LC - EIB'!$S$2,LEFT(E165,1)="l"),"e2",""))))))</f>
        <v/>
      </c>
    </row>
    <row r="166" spans="1:18" s="57" customFormat="1" ht="18.75" customHeight="1">
      <c r="A166" s="55" t="str">
        <f>IF(AND(C166="pv",E166='UNC - PV'!$S$2,D166='UNC - PV'!$Q$2),"x",IF(AND(LEFT(C166,3)="eib",E166='UNC - EIB'!$V$2,D166='UNC - EIB'!$T$2),"x1",IF(AND(C166="pv",E166='LC - PV'!$R$2,D166='LC - PV'!$P$2),"x2",IF(AND(LEFT(C166,3)="eib",E166='LC - EIB'!$U$2,D166='LC - EIB'!$S$2),"x3",""))))</f>
        <v/>
      </c>
      <c r="B166" s="62">
        <f t="shared" ref="B166:B171" si="11">IF(C166&lt;&gt;"",ROW()-3,"")</f>
        <v>163</v>
      </c>
      <c r="C166" s="62" t="s">
        <v>144</v>
      </c>
      <c r="D166" s="67">
        <v>42923</v>
      </c>
      <c r="E166" s="65" t="s">
        <v>23</v>
      </c>
      <c r="F166" s="107" t="s">
        <v>133</v>
      </c>
      <c r="G166" s="107" t="s">
        <v>134</v>
      </c>
      <c r="H166" s="107" t="s">
        <v>130</v>
      </c>
      <c r="I166" s="105" t="s">
        <v>10</v>
      </c>
      <c r="J166" s="66"/>
      <c r="K166" s="67"/>
      <c r="L166" s="65"/>
      <c r="M166" s="65"/>
      <c r="N166" s="107" t="s">
        <v>334</v>
      </c>
      <c r="O166" s="68"/>
      <c r="P166" s="69">
        <v>9500000000</v>
      </c>
      <c r="Q166" s="104"/>
      <c r="R166" s="131" t="str">
        <f>IF(AND(C166="pv",D166='UNC - PV'!$Q$2,LEFT(E166,1)="u",'UNC - PV'!$O$2="vnđ",TH!P166&lt;&gt;""),"p",IF(AND(C166="pv",D166='UNC - PV'!$Q$2,LEFT(E166,1)="u",'UNC - PV'!$O$2="usd",TH!O166&lt;&gt;""),"p1",IF(AND(C166="pv",D166='LC - PV'!$P$2,LEFT(E166,1)="l"),"p2",IF(AND(LEFT(C166,3)="EIB",D166='UNC - EIB'!$T$2,LEFT(E166,1)="u",'UNC - EIB'!$R$2="vnđ",TH!P166&lt;&gt;""),"e",IF(AND(LEFT(C166,3)="EIB",D166='UNC - EIB'!$T$2,LEFT(E166,1)="U",'UNC - EIB'!$R$2="usd",TH!O166&lt;&gt;""),"e1",IF(AND(LEFT(C166,3)="EIB",D166='LC - EIB'!$S$2,LEFT(E166,1)="l"),"e2",""))))))</f>
        <v/>
      </c>
    </row>
    <row r="167" spans="1:18" s="57" customFormat="1" ht="18.75" customHeight="1">
      <c r="A167" s="55" t="str">
        <f>IF(AND(C167="pv",E167='UNC - PV'!$S$2,D167='UNC - PV'!$Q$2),"x",IF(AND(LEFT(C167,3)="eib",E167='UNC - EIB'!$V$2,D167='UNC - EIB'!$T$2),"x1",IF(AND(C167="pv",E167='LC - PV'!$R$2,D167='LC - PV'!$P$2),"x2",IF(AND(LEFT(C167,3)="eib",E167='LC - EIB'!$U$2,D167='LC - EIB'!$S$2),"x3",""))))</f>
        <v/>
      </c>
      <c r="B167" s="62">
        <f t="shared" si="11"/>
        <v>164</v>
      </c>
      <c r="C167" s="62" t="s">
        <v>144</v>
      </c>
      <c r="D167" s="67">
        <v>42926</v>
      </c>
      <c r="E167" s="65" t="s">
        <v>23</v>
      </c>
      <c r="F167" s="64" t="s">
        <v>330</v>
      </c>
      <c r="G167" s="64" t="s">
        <v>365</v>
      </c>
      <c r="H167" s="64" t="s">
        <v>332</v>
      </c>
      <c r="I167" s="65" t="s">
        <v>333</v>
      </c>
      <c r="J167" s="66"/>
      <c r="K167" s="67"/>
      <c r="L167" s="65"/>
      <c r="M167" s="65"/>
      <c r="N167" s="64" t="s">
        <v>334</v>
      </c>
      <c r="O167" s="68"/>
      <c r="P167" s="69">
        <v>1138547500</v>
      </c>
      <c r="Q167" s="104"/>
      <c r="R167" s="131" t="str">
        <f>IF(AND(C167="pv",D167='UNC - PV'!$Q$2,LEFT(E167,1)="u",'UNC - PV'!$O$2="vnđ",TH!P167&lt;&gt;""),"p",IF(AND(C167="pv",D167='UNC - PV'!$Q$2,LEFT(E167,1)="u",'UNC - PV'!$O$2="usd",TH!O167&lt;&gt;""),"p1",IF(AND(C167="pv",D167='LC - PV'!$P$2,LEFT(E167,1)="l"),"p2",IF(AND(LEFT(C167,3)="EIB",D167='UNC - EIB'!$T$2,LEFT(E167,1)="u",'UNC - EIB'!$R$2="vnđ",TH!P167&lt;&gt;""),"e",IF(AND(LEFT(C167,3)="EIB",D167='UNC - EIB'!$T$2,LEFT(E167,1)="U",'UNC - EIB'!$R$2="usd",TH!O167&lt;&gt;""),"e1",IF(AND(LEFT(C167,3)="EIB",D167='LC - EIB'!$S$2,LEFT(E167,1)="l"),"e2",""))))))</f>
        <v/>
      </c>
    </row>
    <row r="168" spans="1:18" s="57" customFormat="1" ht="18.75" customHeight="1">
      <c r="A168" s="55" t="str">
        <f>IF(AND(C168="pv",E168='UNC - PV'!$S$2,D168='UNC - PV'!$Q$2),"x",IF(AND(LEFT(C168,3)="eib",E168='UNC - EIB'!$V$2,D168='UNC - EIB'!$T$2),"x1",IF(AND(C168="pv",E168='LC - PV'!$R$2,D168='LC - PV'!$P$2),"x2",IF(AND(LEFT(C168,3)="eib",E168='LC - EIB'!$U$2,D168='LC - EIB'!$S$2),"x3",""))))</f>
        <v/>
      </c>
      <c r="B168" s="62">
        <f t="shared" si="11"/>
        <v>165</v>
      </c>
      <c r="C168" s="62" t="s">
        <v>144</v>
      </c>
      <c r="D168" s="67">
        <v>42926</v>
      </c>
      <c r="E168" s="65" t="s">
        <v>24</v>
      </c>
      <c r="F168" s="64" t="s">
        <v>337</v>
      </c>
      <c r="G168" s="64" t="s">
        <v>338</v>
      </c>
      <c r="H168" s="64" t="s">
        <v>332</v>
      </c>
      <c r="I168" s="65" t="s">
        <v>333</v>
      </c>
      <c r="J168" s="66"/>
      <c r="K168" s="67"/>
      <c r="L168" s="65"/>
      <c r="M168" s="65"/>
      <c r="N168" s="107" t="s">
        <v>334</v>
      </c>
      <c r="O168" s="68"/>
      <c r="P168" s="69">
        <v>1504776000</v>
      </c>
      <c r="Q168" s="104"/>
      <c r="R168" s="131" t="str">
        <f>IF(AND(C168="pv",D168='UNC - PV'!$Q$2,LEFT(E168,1)="u",'UNC - PV'!$O$2="vnđ",TH!P168&lt;&gt;""),"p",IF(AND(C168="pv",D168='UNC - PV'!$Q$2,LEFT(E168,1)="u",'UNC - PV'!$O$2="usd",TH!O168&lt;&gt;""),"p1",IF(AND(C168="pv",D168='LC - PV'!$P$2,LEFT(E168,1)="l"),"p2",IF(AND(LEFT(C168,3)="EIB",D168='UNC - EIB'!$T$2,LEFT(E168,1)="u",'UNC - EIB'!$R$2="vnđ",TH!P168&lt;&gt;""),"e",IF(AND(LEFT(C168,3)="EIB",D168='UNC - EIB'!$T$2,LEFT(E168,1)="U",'UNC - EIB'!$R$2="usd",TH!O168&lt;&gt;""),"e1",IF(AND(LEFT(C168,3)="EIB",D168='LC - EIB'!$S$2,LEFT(E168,1)="l"),"e2",""))))))</f>
        <v/>
      </c>
    </row>
    <row r="169" spans="1:18" s="57" customFormat="1" ht="18.75" customHeight="1">
      <c r="A169" s="55" t="str">
        <f>IF(AND(C169="pv",E169='UNC - PV'!$S$2,D169='UNC - PV'!$Q$2),"x",IF(AND(LEFT(C169,3)="eib",E169='UNC - EIB'!$V$2,D169='UNC - EIB'!$T$2),"x1",IF(AND(C169="pv",E169='LC - PV'!$R$2,D169='LC - PV'!$P$2),"x2",IF(AND(LEFT(C169,3)="eib",E169='LC - EIB'!$U$2,D169='LC - EIB'!$S$2),"x3",""))))</f>
        <v/>
      </c>
      <c r="B169" s="62">
        <f t="shared" si="11"/>
        <v>166</v>
      </c>
      <c r="C169" s="62" t="s">
        <v>144</v>
      </c>
      <c r="D169" s="67">
        <v>42926</v>
      </c>
      <c r="E169" s="65" t="s">
        <v>25</v>
      </c>
      <c r="F169" s="64" t="s">
        <v>189</v>
      </c>
      <c r="G169" s="71" t="s">
        <v>385</v>
      </c>
      <c r="H169" s="64" t="s">
        <v>190</v>
      </c>
      <c r="I169" s="105" t="s">
        <v>10</v>
      </c>
      <c r="J169" s="66"/>
      <c r="K169" s="67"/>
      <c r="L169" s="65"/>
      <c r="M169" s="65"/>
      <c r="N169" s="64" t="s">
        <v>191</v>
      </c>
      <c r="O169" s="68"/>
      <c r="P169" s="69">
        <v>23500000</v>
      </c>
      <c r="Q169" s="104"/>
      <c r="R169" s="131" t="str">
        <f>IF(AND(C169="pv",D169='UNC - PV'!$Q$2,LEFT(E169,1)="u",'UNC - PV'!$O$2="vnđ",TH!P169&lt;&gt;""),"p",IF(AND(C169="pv",D169='UNC - PV'!$Q$2,LEFT(E169,1)="u",'UNC - PV'!$O$2="usd",TH!O169&lt;&gt;""),"p1",IF(AND(C169="pv",D169='LC - PV'!$P$2,LEFT(E169,1)="l"),"p2",IF(AND(LEFT(C169,3)="EIB",D169='UNC - EIB'!$T$2,LEFT(E169,1)="u",'UNC - EIB'!$R$2="vnđ",TH!P169&lt;&gt;""),"e",IF(AND(LEFT(C169,3)="EIB",D169='UNC - EIB'!$T$2,LEFT(E169,1)="U",'UNC - EIB'!$R$2="usd",TH!O169&lt;&gt;""),"e1",IF(AND(LEFT(C169,3)="EIB",D169='LC - EIB'!$S$2,LEFT(E169,1)="l"),"e2",""))))))</f>
        <v/>
      </c>
    </row>
    <row r="170" spans="1:18" s="57" customFormat="1" ht="18.75" customHeight="1">
      <c r="A170" s="55" t="str">
        <f>IF(AND(C170="pv",E170='UNC - PV'!$S$2,D170='UNC - PV'!$Q$2),"x",IF(AND(LEFT(C170,3)="eib",E170='UNC - EIB'!$V$2,D170='UNC - EIB'!$T$2),"x1",IF(AND(C170="pv",E170='LC - PV'!$R$2,D170='LC - PV'!$P$2),"x2",IF(AND(LEFT(C170,3)="eib",E170='LC - EIB'!$U$2,D170='LC - EIB'!$S$2),"x3",""))))</f>
        <v/>
      </c>
      <c r="B170" s="62">
        <f t="shared" si="11"/>
        <v>167</v>
      </c>
      <c r="C170" s="62" t="s">
        <v>144</v>
      </c>
      <c r="D170" s="67">
        <v>42926</v>
      </c>
      <c r="E170" s="65" t="s">
        <v>26</v>
      </c>
      <c r="F170" s="64" t="s">
        <v>366</v>
      </c>
      <c r="G170" s="71" t="s">
        <v>367</v>
      </c>
      <c r="H170" s="64" t="s">
        <v>368</v>
      </c>
      <c r="I170" s="65" t="s">
        <v>35</v>
      </c>
      <c r="J170" s="66"/>
      <c r="K170" s="67"/>
      <c r="L170" s="65"/>
      <c r="M170" s="65"/>
      <c r="N170" s="64" t="s">
        <v>386</v>
      </c>
      <c r="O170" s="68"/>
      <c r="P170" s="69">
        <v>31581550</v>
      </c>
      <c r="Q170" s="104"/>
      <c r="R170" s="131" t="str">
        <f>IF(AND(C170="pv",D170='UNC - PV'!$Q$2,LEFT(E170,1)="u",'UNC - PV'!$O$2="vnđ",TH!P170&lt;&gt;""),"p",IF(AND(C170="pv",D170='UNC - PV'!$Q$2,LEFT(E170,1)="u",'UNC - PV'!$O$2="usd",TH!O170&lt;&gt;""),"p1",IF(AND(C170="pv",D170='LC - PV'!$P$2,LEFT(E170,1)="l"),"p2",IF(AND(LEFT(C170,3)="EIB",D170='UNC - EIB'!$T$2,LEFT(E170,1)="u",'UNC - EIB'!$R$2="vnđ",TH!P170&lt;&gt;""),"e",IF(AND(LEFT(C170,3)="EIB",D170='UNC - EIB'!$T$2,LEFT(E170,1)="U",'UNC - EIB'!$R$2="usd",TH!O170&lt;&gt;""),"e1",IF(AND(LEFT(C170,3)="EIB",D170='LC - EIB'!$S$2,LEFT(E170,1)="l"),"e2",""))))))</f>
        <v/>
      </c>
    </row>
    <row r="171" spans="1:18" s="57" customFormat="1" ht="18.75" customHeight="1">
      <c r="A171" s="55" t="str">
        <f>IF(AND(C171="pv",E171='UNC - PV'!$S$2,D171='UNC - PV'!$Q$2),"x",IF(AND(LEFT(C171,3)="eib",E171='UNC - EIB'!$V$2,D171='UNC - EIB'!$T$2),"x1",IF(AND(C171="pv",E171='LC - PV'!$R$2,D171='LC - PV'!$P$2),"x2",IF(AND(LEFT(C171,3)="eib",E171='LC - EIB'!$U$2,D171='LC - EIB'!$S$2),"x3",""))))</f>
        <v/>
      </c>
      <c r="B171" s="62">
        <f t="shared" si="11"/>
        <v>168</v>
      </c>
      <c r="C171" s="62" t="s">
        <v>144</v>
      </c>
      <c r="D171" s="67">
        <v>42926</v>
      </c>
      <c r="E171" s="65" t="s">
        <v>84</v>
      </c>
      <c r="F171" s="64" t="s">
        <v>387</v>
      </c>
      <c r="G171" s="64" t="s">
        <v>388</v>
      </c>
      <c r="H171" s="64" t="s">
        <v>389</v>
      </c>
      <c r="I171" s="65" t="s">
        <v>390</v>
      </c>
      <c r="J171" s="66"/>
      <c r="K171" s="67"/>
      <c r="L171" s="65"/>
      <c r="M171" s="65"/>
      <c r="N171" s="64" t="s">
        <v>391</v>
      </c>
      <c r="O171" s="68"/>
      <c r="P171" s="69">
        <v>19659400</v>
      </c>
      <c r="Q171" s="104"/>
      <c r="R171" s="131" t="str">
        <f>IF(AND(C171="pv",D171='UNC - PV'!$Q$2,LEFT(E171,1)="u",'UNC - PV'!$O$2="vnđ",TH!P171&lt;&gt;""),"p",IF(AND(C171="pv",D171='UNC - PV'!$Q$2,LEFT(E171,1)="u",'UNC - PV'!$O$2="usd",TH!O171&lt;&gt;""),"p1",IF(AND(C171="pv",D171='LC - PV'!$P$2,LEFT(E171,1)="l"),"p2",IF(AND(LEFT(C171,3)="EIB",D171='UNC - EIB'!$T$2,LEFT(E171,1)="u",'UNC - EIB'!$R$2="vnđ",TH!P171&lt;&gt;""),"e",IF(AND(LEFT(C171,3)="EIB",D171='UNC - EIB'!$T$2,LEFT(E171,1)="U",'UNC - EIB'!$R$2="usd",TH!O171&lt;&gt;""),"e1",IF(AND(LEFT(C171,3)="EIB",D171='LC - EIB'!$S$2,LEFT(E171,1)="l"),"e2",""))))))</f>
        <v/>
      </c>
    </row>
    <row r="172" spans="1:18" s="57" customFormat="1" ht="18.75" customHeight="1">
      <c r="A172" s="55" t="str">
        <f>IF(AND(C172="pv",E172='UNC - PV'!$S$2,D172='UNC - PV'!$Q$2),"x",IF(AND(LEFT(C172,3)="eib",E172='UNC - EIB'!$V$2,D172='UNC - EIB'!$T$2),"x1",IF(AND(C172="pv",E172='LC - PV'!$R$2,D172='LC - PV'!$P$2),"x2",IF(AND(LEFT(C172,3)="eib",E172='LC - EIB'!$U$2,D172='LC - EIB'!$S$2),"x3",""))))</f>
        <v/>
      </c>
      <c r="B172" s="62">
        <f t="shared" ref="B172:B252" si="12">IF(C172&lt;&gt;"",ROW()-3,"")</f>
        <v>169</v>
      </c>
      <c r="C172" s="62" t="s">
        <v>144</v>
      </c>
      <c r="D172" s="67">
        <v>42930</v>
      </c>
      <c r="E172" s="65" t="s">
        <v>23</v>
      </c>
      <c r="F172" s="64" t="s">
        <v>330</v>
      </c>
      <c r="G172" s="64" t="s">
        <v>365</v>
      </c>
      <c r="H172" s="64" t="s">
        <v>332</v>
      </c>
      <c r="I172" s="65" t="s">
        <v>333</v>
      </c>
      <c r="J172" s="66"/>
      <c r="K172" s="67"/>
      <c r="L172" s="65"/>
      <c r="M172" s="65"/>
      <c r="N172" s="64" t="s">
        <v>334</v>
      </c>
      <c r="O172" s="68"/>
      <c r="P172" s="69">
        <v>1632402500</v>
      </c>
      <c r="Q172" s="104"/>
      <c r="R172" s="131" t="str">
        <f>IF(AND(C172="pv",D172='UNC - PV'!$Q$2,LEFT(E172,1)="u",'UNC - PV'!$O$2="vnđ",TH!P172&lt;&gt;""),"p",IF(AND(C172="pv",D172='UNC - PV'!$Q$2,LEFT(E172,1)="u",'UNC - PV'!$O$2="usd",TH!O172&lt;&gt;""),"p1",IF(AND(C172="pv",D172='LC - PV'!$P$2,LEFT(E172,1)="l"),"p2",IF(AND(LEFT(C172,3)="EIB",D172='UNC - EIB'!$T$2,LEFT(E172,1)="u",'UNC - EIB'!$R$2="vnđ",TH!P172&lt;&gt;""),"e",IF(AND(LEFT(C172,3)="EIB",D172='UNC - EIB'!$T$2,LEFT(E172,1)="U",'UNC - EIB'!$R$2="usd",TH!O172&lt;&gt;""),"e1",IF(AND(LEFT(C172,3)="EIB",D172='LC - EIB'!$S$2,LEFT(E172,1)="l"),"e2",""))))))</f>
        <v/>
      </c>
    </row>
    <row r="173" spans="1:18" s="57" customFormat="1" ht="18.75" customHeight="1">
      <c r="A173" s="55" t="str">
        <f>IF(AND(C173="pv",E173='UNC - PV'!$S$2,D173='UNC - PV'!$Q$2),"x",IF(AND(LEFT(C173,3)="eib",E173='UNC - EIB'!$V$2,D173='UNC - EIB'!$T$2),"x1",IF(AND(C173="pv",E173='LC - PV'!$R$2,D173='LC - PV'!$P$2),"x2",IF(AND(LEFT(C173,3)="eib",E173='LC - EIB'!$U$2,D173='LC - EIB'!$S$2),"x3",""))))</f>
        <v/>
      </c>
      <c r="B173" s="62">
        <f t="shared" si="12"/>
        <v>170</v>
      </c>
      <c r="C173" s="62" t="s">
        <v>144</v>
      </c>
      <c r="D173" s="67">
        <v>42930</v>
      </c>
      <c r="E173" s="65" t="s">
        <v>24</v>
      </c>
      <c r="F173" s="64" t="s">
        <v>337</v>
      </c>
      <c r="G173" s="64" t="s">
        <v>338</v>
      </c>
      <c r="H173" s="64" t="s">
        <v>332</v>
      </c>
      <c r="I173" s="65" t="s">
        <v>333</v>
      </c>
      <c r="J173" s="66"/>
      <c r="K173" s="67"/>
      <c r="L173" s="65"/>
      <c r="M173" s="65"/>
      <c r="N173" s="107" t="s">
        <v>334</v>
      </c>
      <c r="O173" s="68"/>
      <c r="P173" s="69">
        <v>1378689000</v>
      </c>
      <c r="Q173" s="104"/>
      <c r="R173" s="131" t="str">
        <f>IF(AND(C173="pv",D173='UNC - PV'!$Q$2,LEFT(E173,1)="u",'UNC - PV'!$O$2="vnđ",TH!P173&lt;&gt;""),"p",IF(AND(C173="pv",D173='UNC - PV'!$Q$2,LEFT(E173,1)="u",'UNC - PV'!$O$2="usd",TH!O173&lt;&gt;""),"p1",IF(AND(C173="pv",D173='LC - PV'!$P$2,LEFT(E173,1)="l"),"p2",IF(AND(LEFT(C173,3)="EIB",D173='UNC - EIB'!$T$2,LEFT(E173,1)="u",'UNC - EIB'!$R$2="vnđ",TH!P173&lt;&gt;""),"e",IF(AND(LEFT(C173,3)="EIB",D173='UNC - EIB'!$T$2,LEFT(E173,1)="U",'UNC - EIB'!$R$2="usd",TH!O173&lt;&gt;""),"e1",IF(AND(LEFT(C173,3)="EIB",D173='LC - EIB'!$S$2,LEFT(E173,1)="l"),"e2",""))))))</f>
        <v/>
      </c>
    </row>
    <row r="174" spans="1:18" s="57" customFormat="1" ht="18.75" customHeight="1">
      <c r="A174" s="55" t="str">
        <f>IF(AND(C174="pv",E174='UNC - PV'!$S$2,D174='UNC - PV'!$Q$2),"x",IF(AND(LEFT(C174,3)="eib",E174='UNC - EIB'!$V$2,D174='UNC - EIB'!$T$2),"x1",IF(AND(C174="pv",E174='LC - PV'!$R$2,D174='LC - PV'!$P$2),"x2",IF(AND(LEFT(C174,3)="eib",E174='LC - EIB'!$U$2,D174='LC - EIB'!$S$2),"x3",""))))</f>
        <v/>
      </c>
      <c r="B174" s="62">
        <f t="shared" si="12"/>
        <v>171</v>
      </c>
      <c r="C174" s="62" t="s">
        <v>144</v>
      </c>
      <c r="D174" s="67">
        <v>42933</v>
      </c>
      <c r="E174" s="65" t="s">
        <v>23</v>
      </c>
      <c r="F174" s="107" t="s">
        <v>133</v>
      </c>
      <c r="G174" s="107" t="s">
        <v>134</v>
      </c>
      <c r="H174" s="107" t="s">
        <v>130</v>
      </c>
      <c r="I174" s="105" t="s">
        <v>10</v>
      </c>
      <c r="J174" s="66"/>
      <c r="K174" s="67"/>
      <c r="L174" s="65"/>
      <c r="M174" s="65"/>
      <c r="N174" s="107" t="s">
        <v>334</v>
      </c>
      <c r="O174" s="68"/>
      <c r="P174" s="69">
        <v>9200000000</v>
      </c>
      <c r="Q174" s="104"/>
      <c r="R174" s="131" t="str">
        <f>IF(AND(C174="pv",D174='UNC - PV'!$Q$2,LEFT(E174,1)="u",'UNC - PV'!$O$2="vnđ",TH!P174&lt;&gt;""),"p",IF(AND(C174="pv",D174='UNC - PV'!$Q$2,LEFT(E174,1)="u",'UNC - PV'!$O$2="usd",TH!O174&lt;&gt;""),"p1",IF(AND(C174="pv",D174='LC - PV'!$P$2,LEFT(E174,1)="l"),"p2",IF(AND(LEFT(C174,3)="EIB",D174='UNC - EIB'!$T$2,LEFT(E174,1)="u",'UNC - EIB'!$R$2="vnđ",TH!P174&lt;&gt;""),"e",IF(AND(LEFT(C174,3)="EIB",D174='UNC - EIB'!$T$2,LEFT(E174,1)="U",'UNC - EIB'!$R$2="usd",TH!O174&lt;&gt;""),"e1",IF(AND(LEFT(C174,3)="EIB",D174='LC - EIB'!$S$2,LEFT(E174,1)="l"),"e2",""))))))</f>
        <v/>
      </c>
    </row>
    <row r="175" spans="1:18" s="57" customFormat="1" ht="18.75" customHeight="1">
      <c r="A175" s="55" t="str">
        <f>IF(AND(C175="pv",E175='UNC - PV'!$S$2,D175='UNC - PV'!$Q$2),"x",IF(AND(LEFT(C175,3)="eib",E175='UNC - EIB'!$V$2,D175='UNC - EIB'!$T$2),"x1",IF(AND(C175="pv",E175='LC - PV'!$R$2,D175='LC - PV'!$P$2),"x2",IF(AND(LEFT(C175,3)="eib",E175='LC - EIB'!$U$2,D175='LC - EIB'!$S$2),"x3",""))))</f>
        <v/>
      </c>
      <c r="B175" s="62">
        <f t="shared" si="12"/>
        <v>172</v>
      </c>
      <c r="C175" s="62" t="s">
        <v>144</v>
      </c>
      <c r="D175" s="67">
        <v>42933</v>
      </c>
      <c r="E175" s="65" t="s">
        <v>24</v>
      </c>
      <c r="F175" s="64" t="s">
        <v>370</v>
      </c>
      <c r="G175" s="64" t="s">
        <v>371</v>
      </c>
      <c r="H175" s="64" t="s">
        <v>372</v>
      </c>
      <c r="I175" s="105" t="s">
        <v>10</v>
      </c>
      <c r="J175" s="66"/>
      <c r="K175" s="67"/>
      <c r="L175" s="65"/>
      <c r="M175" s="65"/>
      <c r="N175" s="64" t="s">
        <v>373</v>
      </c>
      <c r="O175" s="68"/>
      <c r="P175" s="69">
        <v>300000000</v>
      </c>
      <c r="Q175" s="104"/>
      <c r="R175" s="131" t="str">
        <f>IF(AND(C175="pv",D175='UNC - PV'!$Q$2,LEFT(E175,1)="u",'UNC - PV'!$O$2="vnđ",TH!P175&lt;&gt;""),"p",IF(AND(C175="pv",D175='UNC - PV'!$Q$2,LEFT(E175,1)="u",'UNC - PV'!$O$2="usd",TH!O175&lt;&gt;""),"p1",IF(AND(C175="pv",D175='LC - PV'!$P$2,LEFT(E175,1)="l"),"p2",IF(AND(LEFT(C175,3)="EIB",D175='UNC - EIB'!$T$2,LEFT(E175,1)="u",'UNC - EIB'!$R$2="vnđ",TH!P175&lt;&gt;""),"e",IF(AND(LEFT(C175,3)="EIB",D175='UNC - EIB'!$T$2,LEFT(E175,1)="U",'UNC - EIB'!$R$2="usd",TH!O175&lt;&gt;""),"e1",IF(AND(LEFT(C175,3)="EIB",D175='LC - EIB'!$S$2,LEFT(E175,1)="l"),"e2",""))))))</f>
        <v/>
      </c>
    </row>
    <row r="176" spans="1:18" s="165" customFormat="1" ht="18.75" customHeight="1">
      <c r="A176" s="153" t="str">
        <f>IF(AND(C176="pv",E176='UNC - PV'!$S$2,D176='UNC - PV'!$Q$2),"x",IF(AND(LEFT(C176,3)="eib",E176='UNC - EIB'!$V$2,D176='UNC - EIB'!$T$2),"x1",IF(AND(C176="pv",E176='LC - PV'!$R$2,D176='LC - PV'!$P$2),"x2",IF(AND(LEFT(C176,3)="eib",E176='LC - EIB'!$U$2,D176='LC - EIB'!$S$2),"x3",""))))</f>
        <v/>
      </c>
      <c r="B176" s="154">
        <f t="shared" si="12"/>
        <v>173</v>
      </c>
      <c r="C176" s="154" t="s">
        <v>144</v>
      </c>
      <c r="D176" s="155">
        <v>42933</v>
      </c>
      <c r="E176" s="156" t="s">
        <v>25</v>
      </c>
      <c r="F176" s="167" t="s">
        <v>442</v>
      </c>
      <c r="G176" s="168" t="s">
        <v>409</v>
      </c>
      <c r="H176" s="167" t="s">
        <v>179</v>
      </c>
      <c r="I176" s="169" t="s">
        <v>10</v>
      </c>
      <c r="J176" s="170"/>
      <c r="K176" s="155"/>
      <c r="L176" s="156"/>
      <c r="M176" s="156"/>
      <c r="N176" s="167" t="s">
        <v>443</v>
      </c>
      <c r="O176" s="161"/>
      <c r="P176" s="162">
        <v>3065000</v>
      </c>
      <c r="Q176" s="163"/>
      <c r="R176" s="164" t="str">
        <f>IF(AND(C176="pv",D176='UNC - PV'!$Q$2,LEFT(E176,1)="u",'UNC - PV'!$O$2="vnđ",TH!P176&lt;&gt;""),"p",IF(AND(C176="pv",D176='UNC - PV'!$Q$2,LEFT(E176,1)="u",'UNC - PV'!$O$2="usd",TH!O176&lt;&gt;""),"p1",IF(AND(C176="pv",D176='LC - PV'!$P$2,LEFT(E176,1)="l"),"p2",IF(AND(LEFT(C176,3)="EIB",D176='UNC - EIB'!$T$2,LEFT(E176,1)="u",'UNC - EIB'!$R$2="vnđ",TH!P176&lt;&gt;""),"e",IF(AND(LEFT(C176,3)="EIB",D176='UNC - EIB'!$T$2,LEFT(E176,1)="U",'UNC - EIB'!$R$2="usd",TH!O176&lt;&gt;""),"e1",IF(AND(LEFT(C176,3)="EIB",D176='LC - EIB'!$S$2,LEFT(E176,1)="l"),"e2",""))))))</f>
        <v/>
      </c>
    </row>
    <row r="177" spans="1:18" s="165" customFormat="1" ht="18.75" customHeight="1">
      <c r="A177" s="153" t="str">
        <f>IF(AND(C177="pv",E177='UNC - PV'!$S$2,D177='UNC - PV'!$Q$2),"x",IF(AND(LEFT(C177,3)="eib",E177='UNC - EIB'!$V$2,D177='UNC - EIB'!$T$2),"x1",IF(AND(C177="pv",E177='LC - PV'!$R$2,D177='LC - PV'!$P$2),"x2",IF(AND(LEFT(C177,3)="eib",E177='LC - EIB'!$U$2,D177='LC - EIB'!$S$2),"x3",""))))</f>
        <v/>
      </c>
      <c r="B177" s="154">
        <f t="shared" si="12"/>
        <v>174</v>
      </c>
      <c r="C177" s="154" t="s">
        <v>144</v>
      </c>
      <c r="D177" s="155">
        <v>42933</v>
      </c>
      <c r="E177" s="156" t="s">
        <v>26</v>
      </c>
      <c r="F177" s="167" t="s">
        <v>177</v>
      </c>
      <c r="G177" s="168" t="s">
        <v>410</v>
      </c>
      <c r="H177" s="167" t="s">
        <v>181</v>
      </c>
      <c r="I177" s="169" t="s">
        <v>10</v>
      </c>
      <c r="J177" s="170"/>
      <c r="K177" s="155"/>
      <c r="L177" s="156"/>
      <c r="M177" s="156"/>
      <c r="N177" s="167" t="s">
        <v>392</v>
      </c>
      <c r="O177" s="161"/>
      <c r="P177" s="162">
        <v>700000</v>
      </c>
      <c r="Q177" s="163"/>
      <c r="R177" s="164" t="str">
        <f>IF(AND(C177="pv",D177='UNC - PV'!$Q$2,LEFT(E177,1)="u",'UNC - PV'!$O$2="vnđ",TH!P177&lt;&gt;""),"p",IF(AND(C177="pv",D177='UNC - PV'!$Q$2,LEFT(E177,1)="u",'UNC - PV'!$O$2="usd",TH!O177&lt;&gt;""),"p1",IF(AND(C177="pv",D177='LC - PV'!$P$2,LEFT(E177,1)="l"),"p2",IF(AND(LEFT(C177,3)="EIB",D177='UNC - EIB'!$T$2,LEFT(E177,1)="u",'UNC - EIB'!$R$2="vnđ",TH!P177&lt;&gt;""),"e",IF(AND(LEFT(C177,3)="EIB",D177='UNC - EIB'!$T$2,LEFT(E177,1)="U",'UNC - EIB'!$R$2="usd",TH!O177&lt;&gt;""),"e1",IF(AND(LEFT(C177,3)="EIB",D177='LC - EIB'!$S$2,LEFT(E177,1)="l"),"e2",""))))))</f>
        <v/>
      </c>
    </row>
    <row r="178" spans="1:18" s="57" customFormat="1" ht="18.75" customHeight="1">
      <c r="A178" s="55" t="str">
        <f>IF(AND(C178="pv",E178='UNC - PV'!$S$2,D178='UNC - PV'!$Q$2),"x",IF(AND(LEFT(C178,3)="eib",E178='UNC - EIB'!$V$2,D178='UNC - EIB'!$T$2),"x1",IF(AND(C178="pv",E178='LC - PV'!$R$2,D178='LC - PV'!$P$2),"x2",IF(AND(LEFT(C178,3)="eib",E178='LC - EIB'!$U$2,D178='LC - EIB'!$S$2),"x3",""))))</f>
        <v/>
      </c>
      <c r="B178" s="62">
        <f t="shared" si="12"/>
        <v>175</v>
      </c>
      <c r="C178" s="62" t="s">
        <v>144</v>
      </c>
      <c r="D178" s="67">
        <v>42935</v>
      </c>
      <c r="E178" s="65" t="s">
        <v>23</v>
      </c>
      <c r="F178" s="64" t="s">
        <v>330</v>
      </c>
      <c r="G178" s="64" t="s">
        <v>365</v>
      </c>
      <c r="H178" s="64" t="s">
        <v>332</v>
      </c>
      <c r="I178" s="65" t="s">
        <v>333</v>
      </c>
      <c r="J178" s="66"/>
      <c r="K178" s="67"/>
      <c r="L178" s="65"/>
      <c r="M178" s="65"/>
      <c r="N178" s="64" t="s">
        <v>334</v>
      </c>
      <c r="O178" s="68"/>
      <c r="P178" s="132">
        <v>1371604000</v>
      </c>
      <c r="Q178" s="104"/>
      <c r="R178" s="131" t="str">
        <f>IF(AND(C178="pv",D178='UNC - PV'!$Q$2,LEFT(E178,1)="u",'UNC - PV'!$O$2="vnđ",TH!P178&lt;&gt;""),"p",IF(AND(C178="pv",D178='UNC - PV'!$Q$2,LEFT(E178,1)="u",'UNC - PV'!$O$2="usd",TH!O178&lt;&gt;""),"p1",IF(AND(C178="pv",D178='LC - PV'!$P$2,LEFT(E178,1)="l"),"p2",IF(AND(LEFT(C178,3)="EIB",D178='UNC - EIB'!$T$2,LEFT(E178,1)="u",'UNC - EIB'!$R$2="vnđ",TH!P178&lt;&gt;""),"e",IF(AND(LEFT(C178,3)="EIB",D178='UNC - EIB'!$T$2,LEFT(E178,1)="U",'UNC - EIB'!$R$2="usd",TH!O178&lt;&gt;""),"e1",IF(AND(LEFT(C178,3)="EIB",D178='LC - EIB'!$S$2,LEFT(E178,1)="l"),"e2",""))))))</f>
        <v/>
      </c>
    </row>
    <row r="179" spans="1:18" s="57" customFormat="1" ht="18.75" customHeight="1">
      <c r="A179" s="55" t="str">
        <f>IF(AND(C179="pv",E179='UNC - PV'!$S$2,D179='UNC - PV'!$Q$2),"x",IF(AND(LEFT(C179,3)="eib",E179='UNC - EIB'!$V$2,D179='UNC - EIB'!$T$2),"x1",IF(AND(C179="pv",E179='LC - PV'!$R$2,D179='LC - PV'!$P$2),"x2",IF(AND(LEFT(C179,3)="eib",E179='LC - EIB'!$U$2,D179='LC - EIB'!$S$2),"x3",""))))</f>
        <v/>
      </c>
      <c r="B179" s="62">
        <f t="shared" si="12"/>
        <v>176</v>
      </c>
      <c r="C179" s="62" t="s">
        <v>144</v>
      </c>
      <c r="D179" s="67">
        <v>42935</v>
      </c>
      <c r="E179" s="65" t="s">
        <v>24</v>
      </c>
      <c r="F179" s="64" t="s">
        <v>337</v>
      </c>
      <c r="G179" s="64" t="s">
        <v>393</v>
      </c>
      <c r="H179" s="64" t="s">
        <v>394</v>
      </c>
      <c r="I179" s="65" t="s">
        <v>333</v>
      </c>
      <c r="J179" s="66"/>
      <c r="K179" s="67"/>
      <c r="L179" s="65"/>
      <c r="M179" s="65"/>
      <c r="N179" s="107" t="s">
        <v>334</v>
      </c>
      <c r="O179" s="68"/>
      <c r="P179" s="132">
        <v>2762520000</v>
      </c>
      <c r="Q179" s="104"/>
      <c r="R179" s="131" t="str">
        <f>IF(AND(C179="pv",D179='UNC - PV'!$Q$2,LEFT(E179,1)="u",'UNC - PV'!$O$2="vnđ",TH!P179&lt;&gt;""),"p",IF(AND(C179="pv",D179='UNC - PV'!$Q$2,LEFT(E179,1)="u",'UNC - PV'!$O$2="usd",TH!O179&lt;&gt;""),"p1",IF(AND(C179="pv",D179='LC - PV'!$P$2,LEFT(E179,1)="l"),"p2",IF(AND(LEFT(C179,3)="EIB",D179='UNC - EIB'!$T$2,LEFT(E179,1)="u",'UNC - EIB'!$R$2="vnđ",TH!P179&lt;&gt;""),"e",IF(AND(LEFT(C179,3)="EIB",D179='UNC - EIB'!$T$2,LEFT(E179,1)="U",'UNC - EIB'!$R$2="usd",TH!O179&lt;&gt;""),"e1",IF(AND(LEFT(C179,3)="EIB",D179='LC - EIB'!$S$2,LEFT(E179,1)="l"),"e2",""))))))</f>
        <v/>
      </c>
    </row>
    <row r="180" spans="1:18" s="57" customFormat="1" ht="18.75" customHeight="1">
      <c r="A180" s="55" t="str">
        <f>IF(AND(C180="pv",E180='UNC - PV'!$S$2,D180='UNC - PV'!$Q$2),"x",IF(AND(LEFT(C180,3)="eib",E180='UNC - EIB'!$V$2,D180='UNC - EIB'!$T$2),"x1",IF(AND(C180="pv",E180='LC - PV'!$R$2,D180='LC - PV'!$P$2),"x2",IF(AND(LEFT(C180,3)="eib",E180='LC - EIB'!$U$2,D180='LC - EIB'!$S$2),"x3",""))))</f>
        <v/>
      </c>
      <c r="B180" s="62">
        <f t="shared" si="12"/>
        <v>177</v>
      </c>
      <c r="C180" s="62" t="s">
        <v>144</v>
      </c>
      <c r="D180" s="67">
        <v>42942</v>
      </c>
      <c r="E180" s="65" t="s">
        <v>23</v>
      </c>
      <c r="F180" s="64" t="s">
        <v>330</v>
      </c>
      <c r="G180" s="64" t="s">
        <v>365</v>
      </c>
      <c r="H180" s="64" t="s">
        <v>332</v>
      </c>
      <c r="I180" s="65" t="s">
        <v>333</v>
      </c>
      <c r="J180" s="66"/>
      <c r="K180" s="67"/>
      <c r="L180" s="65"/>
      <c r="M180" s="65"/>
      <c r="N180" s="64" t="s">
        <v>334</v>
      </c>
      <c r="O180" s="68"/>
      <c r="P180" s="132">
        <v>2691117000</v>
      </c>
      <c r="Q180" s="104"/>
      <c r="R180" s="131" t="str">
        <f>IF(AND(C180="pv",D180='UNC - PV'!$Q$2,LEFT(E180,1)="u",'UNC - PV'!$O$2="vnđ",TH!P180&lt;&gt;""),"p",IF(AND(C180="pv",D180='UNC - PV'!$Q$2,LEFT(E180,1)="u",'UNC - PV'!$O$2="usd",TH!O180&lt;&gt;""),"p1",IF(AND(C180="pv",D180='LC - PV'!$P$2,LEFT(E180,1)="l"),"p2",IF(AND(LEFT(C180,3)="EIB",D180='UNC - EIB'!$T$2,LEFT(E180,1)="u",'UNC - EIB'!$R$2="vnđ",TH!P180&lt;&gt;""),"e",IF(AND(LEFT(C180,3)="EIB",D180='UNC - EIB'!$T$2,LEFT(E180,1)="U",'UNC - EIB'!$R$2="usd",TH!O180&lt;&gt;""),"e1",IF(AND(LEFT(C180,3)="EIB",D180='LC - EIB'!$S$2,LEFT(E180,1)="l"),"e2",""))))))</f>
        <v/>
      </c>
    </row>
    <row r="181" spans="1:18" s="57" customFormat="1" ht="18.75" customHeight="1">
      <c r="A181" s="55" t="str">
        <f>IF(AND(C181="pv",E181='UNC - PV'!$S$2,D181='UNC - PV'!$Q$2),"x",IF(AND(LEFT(C181,3)="eib",E181='UNC - EIB'!$V$2,D181='UNC - EIB'!$T$2),"x1",IF(AND(C181="pv",E181='LC - PV'!$R$2,D181='LC - PV'!$P$2),"x2",IF(AND(LEFT(C181,3)="eib",E181='LC - EIB'!$U$2,D181='LC - EIB'!$S$2),"x3",""))))</f>
        <v/>
      </c>
      <c r="B181" s="62">
        <f t="shared" si="12"/>
        <v>178</v>
      </c>
      <c r="C181" s="62" t="s">
        <v>144</v>
      </c>
      <c r="D181" s="67">
        <v>42944</v>
      </c>
      <c r="E181" s="65" t="s">
        <v>23</v>
      </c>
      <c r="F181" s="64" t="s">
        <v>366</v>
      </c>
      <c r="G181" s="71" t="s">
        <v>367</v>
      </c>
      <c r="H181" s="64" t="s">
        <v>368</v>
      </c>
      <c r="I181" s="65" t="s">
        <v>35</v>
      </c>
      <c r="J181" s="66"/>
      <c r="K181" s="67"/>
      <c r="L181" s="65"/>
      <c r="M181" s="65"/>
      <c r="N181" s="64" t="s">
        <v>395</v>
      </c>
      <c r="O181" s="68"/>
      <c r="P181" s="69">
        <f>28757410+28448310</f>
        <v>57205720</v>
      </c>
      <c r="Q181" s="104"/>
      <c r="R181" s="131" t="str">
        <f>IF(AND(C181="pv",D181='UNC - PV'!$Q$2,LEFT(E181,1)="u",'UNC - PV'!$O$2="vnđ",TH!P181&lt;&gt;""),"p",IF(AND(C181="pv",D181='UNC - PV'!$Q$2,LEFT(E181,1)="u",'UNC - PV'!$O$2="usd",TH!O181&lt;&gt;""),"p1",IF(AND(C181="pv",D181='LC - PV'!$P$2,LEFT(E181,1)="l"),"p2",IF(AND(LEFT(C181,3)="EIB",D181='UNC - EIB'!$T$2,LEFT(E181,1)="u",'UNC - EIB'!$R$2="vnđ",TH!P181&lt;&gt;""),"e",IF(AND(LEFT(C181,3)="EIB",D181='UNC - EIB'!$T$2,LEFT(E181,1)="U",'UNC - EIB'!$R$2="usd",TH!O181&lt;&gt;""),"e1",IF(AND(LEFT(C181,3)="EIB",D181='LC - EIB'!$S$2,LEFT(E181,1)="l"),"e2",""))))))</f>
        <v/>
      </c>
    </row>
    <row r="182" spans="1:18" s="57" customFormat="1" ht="18.75" customHeight="1">
      <c r="A182" s="55" t="str">
        <f>IF(AND(C182="pv",E182='UNC - PV'!$S$2,D182='UNC - PV'!$Q$2),"x",IF(AND(LEFT(C182,3)="eib",E182='UNC - EIB'!$V$2,D182='UNC - EIB'!$T$2),"x1",IF(AND(C182="pv",E182='LC - PV'!$R$2,D182='LC - PV'!$P$2),"x2",IF(AND(LEFT(C182,3)="eib",E182='LC - EIB'!$U$2,D182='LC - EIB'!$S$2),"x3",""))))</f>
        <v/>
      </c>
      <c r="B182" s="62">
        <f t="shared" si="12"/>
        <v>179</v>
      </c>
      <c r="C182" s="62" t="s">
        <v>144</v>
      </c>
      <c r="D182" s="67">
        <v>42948</v>
      </c>
      <c r="E182" s="65" t="s">
        <v>23</v>
      </c>
      <c r="F182" s="64" t="s">
        <v>99</v>
      </c>
      <c r="G182" s="64" t="s">
        <v>100</v>
      </c>
      <c r="H182" s="64" t="s">
        <v>101</v>
      </c>
      <c r="I182" s="62" t="s">
        <v>10</v>
      </c>
      <c r="J182" s="66"/>
      <c r="K182" s="67"/>
      <c r="L182" s="65"/>
      <c r="M182" s="65"/>
      <c r="N182" s="64" t="s">
        <v>102</v>
      </c>
      <c r="O182" s="68"/>
      <c r="P182" s="69">
        <v>70000000</v>
      </c>
      <c r="Q182" s="104"/>
      <c r="R182" s="131" t="str">
        <f>IF(AND(C182="pv",D182='UNC - PV'!$Q$2,LEFT(E182,1)="u",'UNC - PV'!$O$2="vnđ",TH!P182&lt;&gt;""),"p",IF(AND(C182="pv",D182='UNC - PV'!$Q$2,LEFT(E182,1)="u",'UNC - PV'!$O$2="usd",TH!O182&lt;&gt;""),"p1",IF(AND(C182="pv",D182='LC - PV'!$P$2,LEFT(E182,1)="l"),"p2",IF(AND(LEFT(C182,3)="EIB",D182='UNC - EIB'!$T$2,LEFT(E182,1)="u",'UNC - EIB'!$R$2="vnđ",TH!P182&lt;&gt;""),"e",IF(AND(LEFT(C182,3)="EIB",D182='UNC - EIB'!$T$2,LEFT(E182,1)="U",'UNC - EIB'!$R$2="usd",TH!O182&lt;&gt;""),"e1",IF(AND(LEFT(C182,3)="EIB",D182='LC - EIB'!$S$2,LEFT(E182,1)="l"),"e2",""))))))</f>
        <v/>
      </c>
    </row>
    <row r="183" spans="1:18" s="57" customFormat="1" ht="18.75" customHeight="1">
      <c r="A183" s="55" t="str">
        <f>IF(AND(C183="pv",E183='UNC - PV'!$S$2,D183='UNC - PV'!$Q$2),"x",IF(AND(LEFT(C183,3)="eib",E183='UNC - EIB'!$V$2,D183='UNC - EIB'!$T$2),"x1",IF(AND(C183="pv",E183='LC - PV'!$R$2,D183='LC - PV'!$P$2),"x2",IF(AND(LEFT(C183,3)="eib",E183='LC - EIB'!$U$2,D183='LC - EIB'!$S$2),"x3",""))))</f>
        <v/>
      </c>
      <c r="B183" s="62">
        <f t="shared" si="12"/>
        <v>180</v>
      </c>
      <c r="C183" s="62" t="s">
        <v>144</v>
      </c>
      <c r="D183" s="67">
        <v>42948</v>
      </c>
      <c r="E183" s="65" t="s">
        <v>24</v>
      </c>
      <c r="F183" s="64" t="s">
        <v>314</v>
      </c>
      <c r="G183" s="64" t="s">
        <v>315</v>
      </c>
      <c r="H183" s="64" t="s">
        <v>316</v>
      </c>
      <c r="I183" s="62" t="s">
        <v>10</v>
      </c>
      <c r="J183" s="66"/>
      <c r="K183" s="67"/>
      <c r="L183" s="65"/>
      <c r="M183" s="65"/>
      <c r="N183" s="64" t="s">
        <v>317</v>
      </c>
      <c r="O183" s="68"/>
      <c r="P183" s="69">
        <v>70000000</v>
      </c>
      <c r="Q183" s="104"/>
      <c r="R183" s="131" t="str">
        <f>IF(AND(C183="pv",D183='UNC - PV'!$Q$2,LEFT(E183,1)="u",'UNC - PV'!$O$2="vnđ",TH!P183&lt;&gt;""),"p",IF(AND(C183="pv",D183='UNC - PV'!$Q$2,LEFT(E183,1)="u",'UNC - PV'!$O$2="usd",TH!O183&lt;&gt;""),"p1",IF(AND(C183="pv",D183='LC - PV'!$P$2,LEFT(E183,1)="l"),"p2",IF(AND(LEFT(C183,3)="EIB",D183='UNC - EIB'!$T$2,LEFT(E183,1)="u",'UNC - EIB'!$R$2="vnđ",TH!P183&lt;&gt;""),"e",IF(AND(LEFT(C183,3)="EIB",D183='UNC - EIB'!$T$2,LEFT(E183,1)="U",'UNC - EIB'!$R$2="usd",TH!O183&lt;&gt;""),"e1",IF(AND(LEFT(C183,3)="EIB",D183='LC - EIB'!$S$2,LEFT(E183,1)="l"),"e2",""))))))</f>
        <v/>
      </c>
    </row>
    <row r="184" spans="1:18" s="57" customFormat="1" ht="18.75" customHeight="1">
      <c r="A184" s="55" t="str">
        <f>IF(AND(C184="pv",E184='UNC - PV'!$S$2,D184='UNC - PV'!$Q$2),"x",IF(AND(LEFT(C184,3)="eib",E184='UNC - EIB'!$V$2,D184='UNC - EIB'!$T$2),"x1",IF(AND(C184="pv",E184='LC - PV'!$R$2,D184='LC - PV'!$P$2),"x2",IF(AND(LEFT(C184,3)="eib",E184='LC - EIB'!$U$2,D184='LC - EIB'!$S$2),"x3",""))))</f>
        <v/>
      </c>
      <c r="B184" s="62">
        <f t="shared" ref="B184:B190" si="13">IF(C184&lt;&gt;"",ROW()-3,"")</f>
        <v>181</v>
      </c>
      <c r="C184" s="62" t="s">
        <v>144</v>
      </c>
      <c r="D184" s="67">
        <v>42948</v>
      </c>
      <c r="E184" s="65" t="s">
        <v>25</v>
      </c>
      <c r="F184" s="107" t="s">
        <v>153</v>
      </c>
      <c r="G184" s="107" t="s">
        <v>154</v>
      </c>
      <c r="H184" s="107" t="s">
        <v>155</v>
      </c>
      <c r="I184" s="110" t="s">
        <v>10</v>
      </c>
      <c r="J184" s="108"/>
      <c r="K184" s="109"/>
      <c r="L184" s="110"/>
      <c r="M184" s="110"/>
      <c r="N184" s="107" t="s">
        <v>156</v>
      </c>
      <c r="O184" s="68"/>
      <c r="P184" s="69">
        <v>59355400</v>
      </c>
      <c r="Q184" s="104"/>
      <c r="R184" s="131" t="str">
        <f>IF(AND(C184="pv",D184='UNC - PV'!$Q$2,LEFT(E184,1)="u",'UNC - PV'!$O$2="vnđ",TH!P184&lt;&gt;""),"p",IF(AND(C184="pv",D184='UNC - PV'!$Q$2,LEFT(E184,1)="u",'UNC - PV'!$O$2="usd",TH!O184&lt;&gt;""),"p1",IF(AND(C184="pv",D184='LC - PV'!$P$2,LEFT(E184,1)="l"),"p2",IF(AND(LEFT(C184,3)="EIB",D184='UNC - EIB'!$T$2,LEFT(E184,1)="u",'UNC - EIB'!$R$2="vnđ",TH!P184&lt;&gt;""),"e",IF(AND(LEFT(C184,3)="EIB",D184='UNC - EIB'!$T$2,LEFT(E184,1)="U",'UNC - EIB'!$R$2="usd",TH!O184&lt;&gt;""),"e1",IF(AND(LEFT(C184,3)="EIB",D184='LC - EIB'!$S$2,LEFT(E184,1)="l"),"e2",""))))))</f>
        <v/>
      </c>
    </row>
    <row r="185" spans="1:18" s="57" customFormat="1" ht="18.75" customHeight="1">
      <c r="A185" s="55" t="str">
        <f>IF(AND(C185="pv",E185='UNC - PV'!$S$2,D185='UNC - PV'!$Q$2),"x",IF(AND(LEFT(C185,3)="eib",E185='UNC - EIB'!$V$2,D185='UNC - EIB'!$T$2),"x1",IF(AND(C185="pv",E185='LC - PV'!$R$2,D185='LC - PV'!$P$2),"x2",IF(AND(LEFT(C185,3)="eib",E185='LC - EIB'!$U$2,D185='LC - EIB'!$S$2),"x3",""))))</f>
        <v/>
      </c>
      <c r="B185" s="62">
        <f t="shared" si="13"/>
        <v>182</v>
      </c>
      <c r="C185" s="62" t="s">
        <v>144</v>
      </c>
      <c r="D185" s="67">
        <v>42957</v>
      </c>
      <c r="E185" s="65" t="s">
        <v>23</v>
      </c>
      <c r="F185" s="64" t="s">
        <v>330</v>
      </c>
      <c r="G185" s="64" t="s">
        <v>365</v>
      </c>
      <c r="H185" s="64" t="s">
        <v>332</v>
      </c>
      <c r="I185" s="65" t="s">
        <v>333</v>
      </c>
      <c r="J185" s="66"/>
      <c r="K185" s="67"/>
      <c r="L185" s="65"/>
      <c r="M185" s="65"/>
      <c r="N185" s="64" t="s">
        <v>334</v>
      </c>
      <c r="O185" s="68"/>
      <c r="P185" s="69">
        <v>3786965000</v>
      </c>
      <c r="Q185" s="104"/>
      <c r="R185" s="131" t="str">
        <f>IF(AND(C185="pv",D185='UNC - PV'!$Q$2,LEFT(E185,1)="u",'UNC - PV'!$O$2="vnđ",TH!P185&lt;&gt;""),"p",IF(AND(C185="pv",D185='UNC - PV'!$Q$2,LEFT(E185,1)="u",'UNC - PV'!$O$2="usd",TH!O185&lt;&gt;""),"p1",IF(AND(C185="pv",D185='LC - PV'!$P$2,LEFT(E185,1)="l"),"p2",IF(AND(LEFT(C185,3)="EIB",D185='UNC - EIB'!$T$2,LEFT(E185,1)="u",'UNC - EIB'!$R$2="vnđ",TH!P185&lt;&gt;""),"e",IF(AND(LEFT(C185,3)="EIB",D185='UNC - EIB'!$T$2,LEFT(E185,1)="U",'UNC - EIB'!$R$2="usd",TH!O185&lt;&gt;""),"e1",IF(AND(LEFT(C185,3)="EIB",D185='LC - EIB'!$S$2,LEFT(E185,1)="l"),"e2",""))))))</f>
        <v/>
      </c>
    </row>
    <row r="186" spans="1:18" s="57" customFormat="1" ht="18.75" customHeight="1">
      <c r="A186" s="55" t="str">
        <f>IF(AND(C186="pv",E186='UNC - PV'!$S$2,D186='UNC - PV'!$Q$2),"x",IF(AND(LEFT(C186,3)="eib",E186='UNC - EIB'!$V$2,D186='UNC - EIB'!$T$2),"x1",IF(AND(C186="pv",E186='LC - PV'!$R$2,D186='LC - PV'!$P$2),"x2",IF(AND(LEFT(C186,3)="eib",E186='LC - EIB'!$U$2,D186='LC - EIB'!$S$2),"x3",""))))</f>
        <v/>
      </c>
      <c r="B186" s="62">
        <f t="shared" si="13"/>
        <v>183</v>
      </c>
      <c r="C186" s="62" t="s">
        <v>144</v>
      </c>
      <c r="D186" s="67">
        <v>42957</v>
      </c>
      <c r="E186" s="65" t="s">
        <v>24</v>
      </c>
      <c r="F186" s="64" t="s">
        <v>337</v>
      </c>
      <c r="G186" s="64" t="s">
        <v>393</v>
      </c>
      <c r="H186" s="64" t="s">
        <v>394</v>
      </c>
      <c r="I186" s="65" t="s">
        <v>333</v>
      </c>
      <c r="J186" s="66"/>
      <c r="K186" s="67"/>
      <c r="L186" s="65"/>
      <c r="M186" s="65"/>
      <c r="N186" s="107" t="s">
        <v>334</v>
      </c>
      <c r="O186" s="68"/>
      <c r="P186" s="69">
        <v>2554525000</v>
      </c>
      <c r="Q186" s="104"/>
      <c r="R186" s="131" t="str">
        <f>IF(AND(C186="pv",D186='UNC - PV'!$Q$2,LEFT(E186,1)="u",'UNC - PV'!$O$2="vnđ",TH!P186&lt;&gt;""),"p",IF(AND(C186="pv",D186='UNC - PV'!$Q$2,LEFT(E186,1)="u",'UNC - PV'!$O$2="usd",TH!O186&lt;&gt;""),"p1",IF(AND(C186="pv",D186='LC - PV'!$P$2,LEFT(E186,1)="l"),"p2",IF(AND(LEFT(C186,3)="EIB",D186='UNC - EIB'!$T$2,LEFT(E186,1)="u",'UNC - EIB'!$R$2="vnđ",TH!P186&lt;&gt;""),"e",IF(AND(LEFT(C186,3)="EIB",D186='UNC - EIB'!$T$2,LEFT(E186,1)="U",'UNC - EIB'!$R$2="usd",TH!O186&lt;&gt;""),"e1",IF(AND(LEFT(C186,3)="EIB",D186='LC - EIB'!$S$2,LEFT(E186,1)="l"),"e2",""))))))</f>
        <v/>
      </c>
    </row>
    <row r="187" spans="1:18" s="57" customFormat="1" ht="18.75" customHeight="1">
      <c r="A187" s="55" t="str">
        <f>IF(AND(C187="pv",E187='UNC - PV'!$S$2,D187='UNC - PV'!$Q$2),"x",IF(AND(LEFT(C187,3)="eib",E187='UNC - EIB'!$V$2,D187='UNC - EIB'!$T$2),"x1",IF(AND(C187="pv",E187='LC - PV'!$R$2,D187='LC - PV'!$P$2),"x2",IF(AND(LEFT(C187,3)="eib",E187='LC - EIB'!$U$2,D187='LC - EIB'!$S$2),"x3",""))))</f>
        <v/>
      </c>
      <c r="B187" s="62">
        <f t="shared" si="13"/>
        <v>184</v>
      </c>
      <c r="C187" s="62" t="s">
        <v>144</v>
      </c>
      <c r="D187" s="67">
        <v>42964</v>
      </c>
      <c r="E187" s="65" t="s">
        <v>23</v>
      </c>
      <c r="F187" s="64" t="s">
        <v>370</v>
      </c>
      <c r="G187" s="71" t="s">
        <v>407</v>
      </c>
      <c r="H187" s="64" t="s">
        <v>372</v>
      </c>
      <c r="I187" s="105" t="s">
        <v>10</v>
      </c>
      <c r="J187" s="66"/>
      <c r="K187" s="67"/>
      <c r="L187" s="65"/>
      <c r="M187" s="65"/>
      <c r="N187" s="64" t="s">
        <v>373</v>
      </c>
      <c r="O187" s="68"/>
      <c r="P187" s="69">
        <v>450000000</v>
      </c>
      <c r="Q187" s="104"/>
      <c r="R187" s="131" t="str">
        <f>IF(AND(C187="pv",D187='UNC - PV'!$Q$2,LEFT(E187,1)="u",'UNC - PV'!$O$2="vnđ",TH!P187&lt;&gt;""),"p",IF(AND(C187="pv",D187='UNC - PV'!$Q$2,LEFT(E187,1)="u",'UNC - PV'!$O$2="usd",TH!O187&lt;&gt;""),"p1",IF(AND(C187="pv",D187='LC - PV'!$P$2,LEFT(E187,1)="l"),"p2",IF(AND(LEFT(C187,3)="EIB",D187='UNC - EIB'!$T$2,LEFT(E187,1)="u",'UNC - EIB'!$R$2="vnđ",TH!P187&lt;&gt;""),"e",IF(AND(LEFT(C187,3)="EIB",D187='UNC - EIB'!$T$2,LEFT(E187,1)="U",'UNC - EIB'!$R$2="usd",TH!O187&lt;&gt;""),"e1",IF(AND(LEFT(C187,3)="EIB",D187='LC - EIB'!$S$2,LEFT(E187,1)="l"),"e2",""))))))</f>
        <v/>
      </c>
    </row>
    <row r="188" spans="1:18" s="57" customFormat="1" ht="18.75" customHeight="1">
      <c r="A188" s="55" t="str">
        <f>IF(AND(C188="pv",E188='UNC - PV'!$S$2,D188='UNC - PV'!$Q$2),"x",IF(AND(LEFT(C188,3)="eib",E188='UNC - EIB'!$V$2,D188='UNC - EIB'!$T$2),"x1",IF(AND(C188="pv",E188='LC - PV'!$R$2,D188='LC - PV'!$P$2),"x2",IF(AND(LEFT(C188,3)="eib",E188='LC - EIB'!$U$2,D188='LC - EIB'!$S$2),"x3",""))))</f>
        <v/>
      </c>
      <c r="B188" s="62">
        <f t="shared" si="13"/>
        <v>185</v>
      </c>
      <c r="C188" s="62" t="s">
        <v>144</v>
      </c>
      <c r="D188" s="67">
        <v>42964</v>
      </c>
      <c r="E188" s="65" t="s">
        <v>24</v>
      </c>
      <c r="F188" s="64" t="s">
        <v>378</v>
      </c>
      <c r="G188" s="71" t="s">
        <v>379</v>
      </c>
      <c r="H188" s="64" t="s">
        <v>380</v>
      </c>
      <c r="I188" s="105" t="s">
        <v>10</v>
      </c>
      <c r="J188" s="66"/>
      <c r="K188" s="67"/>
      <c r="L188" s="65"/>
      <c r="M188" s="65"/>
      <c r="N188" s="64" t="s">
        <v>359</v>
      </c>
      <c r="O188" s="68"/>
      <c r="P188" s="69">
        <v>200000000</v>
      </c>
      <c r="Q188" s="104"/>
      <c r="R188" s="131" t="str">
        <f>IF(AND(C188="pv",D188='UNC - PV'!$Q$2,LEFT(E188,1)="u",'UNC - PV'!$O$2="vnđ",TH!P188&lt;&gt;""),"p",IF(AND(C188="pv",D188='UNC - PV'!$Q$2,LEFT(E188,1)="u",'UNC - PV'!$O$2="usd",TH!O188&lt;&gt;""),"p1",IF(AND(C188="pv",D188='LC - PV'!$P$2,LEFT(E188,1)="l"),"p2",IF(AND(LEFT(C188,3)="EIB",D188='UNC - EIB'!$T$2,LEFT(E188,1)="u",'UNC - EIB'!$R$2="vnđ",TH!P188&lt;&gt;""),"e",IF(AND(LEFT(C188,3)="EIB",D188='UNC - EIB'!$T$2,LEFT(E188,1)="U",'UNC - EIB'!$R$2="usd",TH!O188&lt;&gt;""),"e1",IF(AND(LEFT(C188,3)="EIB",D188='LC - EIB'!$S$2,LEFT(E188,1)="l"),"e2",""))))))</f>
        <v/>
      </c>
    </row>
    <row r="189" spans="1:18" s="57" customFormat="1" ht="18.75" customHeight="1">
      <c r="A189" s="55" t="str">
        <f>IF(AND(C189="pv",E189='UNC - PV'!$S$2,D189='UNC - PV'!$Q$2),"x",IF(AND(LEFT(C189,3)="eib",E189='UNC - EIB'!$V$2,D189='UNC - EIB'!$T$2),"x1",IF(AND(C189="pv",E189='LC - PV'!$R$2,D189='LC - PV'!$P$2),"x2",IF(AND(LEFT(C189,3)="eib",E189='LC - EIB'!$U$2,D189='LC - EIB'!$S$2),"x3",""))))</f>
        <v/>
      </c>
      <c r="B189" s="62">
        <f t="shared" si="13"/>
        <v>186</v>
      </c>
      <c r="C189" s="62" t="s">
        <v>144</v>
      </c>
      <c r="D189" s="67">
        <v>42964</v>
      </c>
      <c r="E189" s="65" t="s">
        <v>25</v>
      </c>
      <c r="F189" s="64" t="s">
        <v>366</v>
      </c>
      <c r="G189" s="71" t="s">
        <v>367</v>
      </c>
      <c r="H189" s="64" t="s">
        <v>368</v>
      </c>
      <c r="I189" s="65" t="s">
        <v>35</v>
      </c>
      <c r="J189" s="66"/>
      <c r="K189" s="67"/>
      <c r="L189" s="65"/>
      <c r="M189" s="65"/>
      <c r="N189" s="64" t="s">
        <v>396</v>
      </c>
      <c r="O189" s="68"/>
      <c r="P189" s="69">
        <v>29094450</v>
      </c>
      <c r="Q189" s="104"/>
      <c r="R189" s="131" t="str">
        <f>IF(AND(C189="pv",D189='UNC - PV'!$Q$2,LEFT(E189,1)="u",'UNC - PV'!$O$2="vnđ",TH!P189&lt;&gt;""),"p",IF(AND(C189="pv",D189='UNC - PV'!$Q$2,LEFT(E189,1)="u",'UNC - PV'!$O$2="usd",TH!O189&lt;&gt;""),"p1",IF(AND(C189="pv",D189='LC - PV'!$P$2,LEFT(E189,1)="l"),"p2",IF(AND(LEFT(C189,3)="EIB",D189='UNC - EIB'!$T$2,LEFT(E189,1)="u",'UNC - EIB'!$R$2="vnđ",TH!P189&lt;&gt;""),"e",IF(AND(LEFT(C189,3)="EIB",D189='UNC - EIB'!$T$2,LEFT(E189,1)="U",'UNC - EIB'!$R$2="usd",TH!O189&lt;&gt;""),"e1",IF(AND(LEFT(C189,3)="EIB",D189='LC - EIB'!$S$2,LEFT(E189,1)="l"),"e2",""))))))</f>
        <v/>
      </c>
    </row>
    <row r="190" spans="1:18" s="57" customFormat="1" ht="18.75" customHeight="1">
      <c r="A190" s="55" t="str">
        <f>IF(AND(C190="pv",E190='UNC - PV'!$S$2,D190='UNC - PV'!$Q$2),"x",IF(AND(LEFT(C190,3)="eib",E190='UNC - EIB'!$V$2,D190='UNC - EIB'!$T$2),"x1",IF(AND(C190="pv",E190='LC - PV'!$R$2,D190='LC - PV'!$P$2),"x2",IF(AND(LEFT(C190,3)="eib",E190='LC - EIB'!$U$2,D190='LC - EIB'!$S$2),"x3",""))))</f>
        <v/>
      </c>
      <c r="B190" s="62">
        <f t="shared" si="13"/>
        <v>187</v>
      </c>
      <c r="C190" s="62" t="s">
        <v>144</v>
      </c>
      <c r="D190" s="67">
        <v>42964</v>
      </c>
      <c r="E190" s="65" t="s">
        <v>26</v>
      </c>
      <c r="F190" s="107" t="s">
        <v>153</v>
      </c>
      <c r="G190" s="107" t="s">
        <v>154</v>
      </c>
      <c r="H190" s="107" t="s">
        <v>155</v>
      </c>
      <c r="I190" s="110" t="s">
        <v>10</v>
      </c>
      <c r="J190" s="108"/>
      <c r="K190" s="109"/>
      <c r="L190" s="110"/>
      <c r="M190" s="110"/>
      <c r="N190" s="107" t="s">
        <v>156</v>
      </c>
      <c r="O190" s="68"/>
      <c r="P190" s="69">
        <v>50000000</v>
      </c>
      <c r="Q190" s="104"/>
      <c r="R190" s="131" t="str">
        <f>IF(AND(C190="pv",D190='UNC - PV'!$Q$2,LEFT(E190,1)="u",'UNC - PV'!$O$2="vnđ",TH!P190&lt;&gt;""),"p",IF(AND(C190="pv",D190='UNC - PV'!$Q$2,LEFT(E190,1)="u",'UNC - PV'!$O$2="usd",TH!O190&lt;&gt;""),"p1",IF(AND(C190="pv",D190='LC - PV'!$P$2,LEFT(E190,1)="l"),"p2",IF(AND(LEFT(C190,3)="EIB",D190='UNC - EIB'!$T$2,LEFT(E190,1)="u",'UNC - EIB'!$R$2="vnđ",TH!P190&lt;&gt;""),"e",IF(AND(LEFT(C190,3)="EIB",D190='UNC - EIB'!$T$2,LEFT(E190,1)="U",'UNC - EIB'!$R$2="usd",TH!O190&lt;&gt;""),"e1",IF(AND(LEFT(C190,3)="EIB",D190='LC - EIB'!$S$2,LEFT(E190,1)="l"),"e2",""))))))</f>
        <v/>
      </c>
    </row>
    <row r="191" spans="1:18" s="57" customFormat="1" ht="18.75" customHeight="1">
      <c r="A191" s="55" t="str">
        <f>IF(AND(C191="pv",E191='UNC - PV'!$S$2,D191='UNC - PV'!$Q$2),"x",IF(AND(LEFT(C191,3)="eib",E191='UNC - EIB'!$V$2,D191='UNC - EIB'!$T$2),"x1",IF(AND(C191="pv",E191='LC - PV'!$R$2,D191='LC - PV'!$P$2),"x2",IF(AND(LEFT(C191,3)="eib",E191='LC - EIB'!$U$2,D191='LC - EIB'!$S$2),"x3",""))))</f>
        <v/>
      </c>
      <c r="B191" s="62">
        <f t="shared" si="12"/>
        <v>188</v>
      </c>
      <c r="C191" s="62" t="s">
        <v>144</v>
      </c>
      <c r="D191" s="67">
        <v>42965</v>
      </c>
      <c r="E191" s="65" t="s">
        <v>23</v>
      </c>
      <c r="F191" s="64" t="s">
        <v>330</v>
      </c>
      <c r="G191" s="64" t="s">
        <v>365</v>
      </c>
      <c r="H191" s="64" t="s">
        <v>332</v>
      </c>
      <c r="I191" s="65" t="s">
        <v>333</v>
      </c>
      <c r="J191" s="66"/>
      <c r="K191" s="67"/>
      <c r="L191" s="65"/>
      <c r="M191" s="65"/>
      <c r="N191" s="64" t="s">
        <v>334</v>
      </c>
      <c r="O191" s="68"/>
      <c r="P191" s="69">
        <v>2474069800</v>
      </c>
      <c r="Q191" s="104"/>
      <c r="R191" s="131" t="str">
        <f>IF(AND(C191="pv",D191='UNC - PV'!$Q$2,LEFT(E191,1)="u",'UNC - PV'!$O$2="vnđ",TH!P191&lt;&gt;""),"p",IF(AND(C191="pv",D191='UNC - PV'!$Q$2,LEFT(E191,1)="u",'UNC - PV'!$O$2="usd",TH!O191&lt;&gt;""),"p1",IF(AND(C191="pv",D191='LC - PV'!$P$2,LEFT(E191,1)="l"),"p2",IF(AND(LEFT(C191,3)="EIB",D191='UNC - EIB'!$T$2,LEFT(E191,1)="u",'UNC - EIB'!$R$2="vnđ",TH!P191&lt;&gt;""),"e",IF(AND(LEFT(C191,3)="EIB",D191='UNC - EIB'!$T$2,LEFT(E191,1)="U",'UNC - EIB'!$R$2="usd",TH!O191&lt;&gt;""),"e1",IF(AND(LEFT(C191,3)="EIB",D191='LC - EIB'!$S$2,LEFT(E191,1)="l"),"e2",""))))))</f>
        <v/>
      </c>
    </row>
    <row r="192" spans="1:18" s="57" customFormat="1" ht="18.75" customHeight="1">
      <c r="A192" s="55" t="str">
        <f>IF(AND(C192="pv",E192='UNC - PV'!$S$2,D192='UNC - PV'!$Q$2),"x",IF(AND(LEFT(C192,3)="eib",E192='UNC - EIB'!$V$2,D192='UNC - EIB'!$T$2),"x1",IF(AND(C192="pv",E192='LC - PV'!$R$2,D192='LC - PV'!$P$2),"x2",IF(AND(LEFT(C192,3)="eib",E192='LC - EIB'!$U$2,D192='LC - EIB'!$S$2),"x3",""))))</f>
        <v/>
      </c>
      <c r="B192" s="62">
        <f t="shared" si="12"/>
        <v>189</v>
      </c>
      <c r="C192" s="62" t="s">
        <v>144</v>
      </c>
      <c r="D192" s="67">
        <v>42972</v>
      </c>
      <c r="E192" s="65" t="s">
        <v>23</v>
      </c>
      <c r="F192" s="107" t="s">
        <v>132</v>
      </c>
      <c r="G192" s="71" t="s">
        <v>397</v>
      </c>
      <c r="H192" s="64" t="s">
        <v>398</v>
      </c>
      <c r="I192" s="105" t="s">
        <v>10</v>
      </c>
      <c r="J192" s="66"/>
      <c r="K192" s="67"/>
      <c r="L192" s="65"/>
      <c r="M192" s="65"/>
      <c r="N192" s="64" t="s">
        <v>399</v>
      </c>
      <c r="O192" s="68">
        <v>400</v>
      </c>
      <c r="P192" s="69"/>
      <c r="Q192" s="104"/>
      <c r="R192" s="131" t="str">
        <f>IF(AND(C192="pv",D192='UNC - PV'!$Q$2,LEFT(E192,1)="u",'UNC - PV'!$O$2="vnđ",TH!P192&lt;&gt;""),"p",IF(AND(C192="pv",D192='UNC - PV'!$Q$2,LEFT(E192,1)="u",'UNC - PV'!$O$2="usd",TH!O192&lt;&gt;""),"p1",IF(AND(C192="pv",D192='LC - PV'!$P$2,LEFT(E192,1)="l"),"p2",IF(AND(LEFT(C192,3)="EIB",D192='UNC - EIB'!$T$2,LEFT(E192,1)="u",'UNC - EIB'!$R$2="vnđ",TH!P192&lt;&gt;""),"e",IF(AND(LEFT(C192,3)="EIB",D192='UNC - EIB'!$T$2,LEFT(E192,1)="U",'UNC - EIB'!$R$2="usd",TH!O192&lt;&gt;""),"e1",IF(AND(LEFT(C192,3)="EIB",D192='LC - EIB'!$S$2,LEFT(E192,1)="l"),"e2",""))))))</f>
        <v/>
      </c>
    </row>
    <row r="193" spans="1:18" s="57" customFormat="1" ht="18.75" customHeight="1">
      <c r="A193" s="55" t="str">
        <f>IF(AND(C193="pv",E193='UNC - PV'!$S$2,D193='UNC - PV'!$Q$2),"x",IF(AND(LEFT(C193,3)="eib",E193='UNC - EIB'!$V$2,D193='UNC - EIB'!$T$2),"x1",IF(AND(C193="pv",E193='LC - PV'!$R$2,D193='LC - PV'!$P$2),"x2",IF(AND(LEFT(C193,3)="eib",E193='LC - EIB'!$U$2,D193='LC - EIB'!$S$2),"x3",""))))</f>
        <v/>
      </c>
      <c r="B193" s="62">
        <f t="shared" si="12"/>
        <v>190</v>
      </c>
      <c r="C193" s="62" t="s">
        <v>144</v>
      </c>
      <c r="D193" s="67">
        <v>42972</v>
      </c>
      <c r="E193" s="65" t="s">
        <v>24</v>
      </c>
      <c r="F193" s="70" t="s">
        <v>4</v>
      </c>
      <c r="G193" s="70" t="s">
        <v>5</v>
      </c>
      <c r="H193" s="70" t="s">
        <v>6</v>
      </c>
      <c r="I193" s="105" t="s">
        <v>10</v>
      </c>
      <c r="J193" s="66"/>
      <c r="K193" s="67"/>
      <c r="L193" s="65"/>
      <c r="M193" s="65"/>
      <c r="N193" s="70" t="s">
        <v>400</v>
      </c>
      <c r="O193" s="68"/>
      <c r="P193" s="69">
        <v>30219420</v>
      </c>
      <c r="Q193" s="104"/>
      <c r="R193" s="131" t="str">
        <f>IF(AND(C193="pv",D193='UNC - PV'!$Q$2,LEFT(E193,1)="u",'UNC - PV'!$O$2="vnđ",TH!P193&lt;&gt;""),"p",IF(AND(C193="pv",D193='UNC - PV'!$Q$2,LEFT(E193,1)="u",'UNC - PV'!$O$2="usd",TH!O193&lt;&gt;""),"p1",IF(AND(C193="pv",D193='LC - PV'!$P$2,LEFT(E193,1)="l"),"p2",IF(AND(LEFT(C193,3)="EIB",D193='UNC - EIB'!$T$2,LEFT(E193,1)="u",'UNC - EIB'!$R$2="vnđ",TH!P193&lt;&gt;""),"e",IF(AND(LEFT(C193,3)="EIB",D193='UNC - EIB'!$T$2,LEFT(E193,1)="U",'UNC - EIB'!$R$2="usd",TH!O193&lt;&gt;""),"e1",IF(AND(LEFT(C193,3)="EIB",D193='LC - EIB'!$S$2,LEFT(E193,1)="l"),"e2",""))))))</f>
        <v/>
      </c>
    </row>
    <row r="194" spans="1:18" s="57" customFormat="1" ht="18.75" customHeight="1">
      <c r="A194" s="55" t="str">
        <f>IF(AND(C194="pv",E194='UNC - PV'!$S$2,D194='UNC - PV'!$Q$2),"x",IF(AND(LEFT(C194,3)="eib",E194='UNC - EIB'!$V$2,D194='UNC - EIB'!$T$2),"x1",IF(AND(C194="pv",E194='LC - PV'!$R$2,D194='LC - PV'!$P$2),"x2",IF(AND(LEFT(C194,3)="eib",E194='LC - EIB'!$U$2,D194='LC - EIB'!$S$2),"x3",""))))</f>
        <v/>
      </c>
      <c r="B194" s="62">
        <f t="shared" si="12"/>
        <v>191</v>
      </c>
      <c r="C194" s="62" t="s">
        <v>144</v>
      </c>
      <c r="D194" s="67">
        <v>42979</v>
      </c>
      <c r="E194" s="65" t="s">
        <v>23</v>
      </c>
      <c r="F194" s="64" t="s">
        <v>366</v>
      </c>
      <c r="G194" s="71" t="s">
        <v>367</v>
      </c>
      <c r="H194" s="64" t="s">
        <v>368</v>
      </c>
      <c r="I194" s="65" t="s">
        <v>35</v>
      </c>
      <c r="J194" s="66"/>
      <c r="K194" s="67"/>
      <c r="L194" s="65"/>
      <c r="M194" s="65"/>
      <c r="N194" s="64" t="s">
        <v>401</v>
      </c>
      <c r="O194" s="68"/>
      <c r="P194" s="69">
        <f>32397640+31510270</f>
        <v>63907910</v>
      </c>
      <c r="Q194" s="104"/>
      <c r="R194" s="131" t="str">
        <f>IF(AND(C194="pv",D194='UNC - PV'!$Q$2,LEFT(E194,1)="u",'UNC - PV'!$O$2="vnđ",TH!P194&lt;&gt;""),"p",IF(AND(C194="pv",D194='UNC - PV'!$Q$2,LEFT(E194,1)="u",'UNC - PV'!$O$2="usd",TH!O194&lt;&gt;""),"p1",IF(AND(C194="pv",D194='LC - PV'!$P$2,LEFT(E194,1)="l"),"p2",IF(AND(LEFT(C194,3)="EIB",D194='UNC - EIB'!$T$2,LEFT(E194,1)="u",'UNC - EIB'!$R$2="vnđ",TH!P194&lt;&gt;""),"e",IF(AND(LEFT(C194,3)="EIB",D194='UNC - EIB'!$T$2,LEFT(E194,1)="U",'UNC - EIB'!$R$2="usd",TH!O194&lt;&gt;""),"e1",IF(AND(LEFT(C194,3)="EIB",D194='LC - EIB'!$S$2,LEFT(E194,1)="l"),"e2",""))))))</f>
        <v/>
      </c>
    </row>
    <row r="195" spans="1:18" s="57" customFormat="1" ht="18.75" customHeight="1">
      <c r="A195" s="55" t="str">
        <f>IF(AND(C195="pv",E195='UNC - PV'!$S$2,D195='UNC - PV'!$Q$2),"x",IF(AND(LEFT(C195,3)="eib",E195='UNC - EIB'!$V$2,D195='UNC - EIB'!$T$2),"x1",IF(AND(C195="pv",E195='LC - PV'!$R$2,D195='LC - PV'!$P$2),"x2",IF(AND(LEFT(C195,3)="eib",E195='LC - EIB'!$U$2,D195='LC - EIB'!$S$2),"x3",""))))</f>
        <v/>
      </c>
      <c r="B195" s="62">
        <f t="shared" si="12"/>
        <v>192</v>
      </c>
      <c r="C195" s="62" t="s">
        <v>144</v>
      </c>
      <c r="D195" s="67">
        <v>42979</v>
      </c>
      <c r="E195" s="65" t="s">
        <v>24</v>
      </c>
      <c r="F195" s="64" t="s">
        <v>402</v>
      </c>
      <c r="G195" s="71" t="s">
        <v>451</v>
      </c>
      <c r="H195" s="64" t="s">
        <v>376</v>
      </c>
      <c r="I195" s="65"/>
      <c r="J195" s="66"/>
      <c r="K195" s="67"/>
      <c r="L195" s="65"/>
      <c r="M195" s="65"/>
      <c r="N195" s="64" t="s">
        <v>403</v>
      </c>
      <c r="O195" s="68"/>
      <c r="P195" s="69">
        <f>2878634+2878002+2878002+2878634</f>
        <v>11513272</v>
      </c>
      <c r="Q195" s="104"/>
      <c r="R195" s="131" t="str">
        <f>IF(AND(C195="pv",D195='UNC - PV'!$Q$2,LEFT(E195,1)="u",'UNC - PV'!$O$2="vnđ",TH!P195&lt;&gt;""),"p",IF(AND(C195="pv",D195='UNC - PV'!$Q$2,LEFT(E195,1)="u",'UNC - PV'!$O$2="usd",TH!O195&lt;&gt;""),"p1",IF(AND(C195="pv",D195='LC - PV'!$P$2,LEFT(E195,1)="l"),"p2",IF(AND(LEFT(C195,3)="EIB",D195='UNC - EIB'!$T$2,LEFT(E195,1)="u",'UNC - EIB'!$R$2="vnđ",TH!P195&lt;&gt;""),"e",IF(AND(LEFT(C195,3)="EIB",D195='UNC - EIB'!$T$2,LEFT(E195,1)="U",'UNC - EIB'!$R$2="usd",TH!O195&lt;&gt;""),"e1",IF(AND(LEFT(C195,3)="EIB",D195='LC - EIB'!$S$2,LEFT(E195,1)="l"),"e2",""))))))</f>
        <v/>
      </c>
    </row>
    <row r="196" spans="1:18" s="57" customFormat="1" ht="18.75" customHeight="1">
      <c r="A196" s="55" t="str">
        <f>IF(AND(C196="pv",E196='UNC - PV'!$S$2,D196='UNC - PV'!$Q$2),"x",IF(AND(LEFT(C196,3)="eib",E196='UNC - EIB'!$V$2,D196='UNC - EIB'!$T$2),"x1",IF(AND(C196="pv",E196='LC - PV'!$R$2,D196='LC - PV'!$P$2),"x2",IF(AND(LEFT(C196,3)="eib",E196='LC - EIB'!$U$2,D196='LC - EIB'!$S$2),"x3",""))))</f>
        <v/>
      </c>
      <c r="B196" s="62">
        <f t="shared" si="12"/>
        <v>193</v>
      </c>
      <c r="C196" s="62" t="s">
        <v>144</v>
      </c>
      <c r="D196" s="67">
        <v>42999</v>
      </c>
      <c r="E196" s="65" t="s">
        <v>23</v>
      </c>
      <c r="F196" s="107" t="s">
        <v>132</v>
      </c>
      <c r="G196" s="71" t="s">
        <v>405</v>
      </c>
      <c r="H196" s="64" t="s">
        <v>163</v>
      </c>
      <c r="I196" s="105" t="s">
        <v>10</v>
      </c>
      <c r="J196" s="56"/>
      <c r="K196" s="67"/>
      <c r="L196" s="65"/>
      <c r="M196" s="65"/>
      <c r="N196" s="64" t="s">
        <v>404</v>
      </c>
      <c r="O196" s="68"/>
      <c r="P196" s="69">
        <v>2178848000</v>
      </c>
      <c r="Q196" s="104"/>
      <c r="R196" s="131" t="str">
        <f>IF(AND(C196="pv",D196='UNC - PV'!$Q$2,LEFT(E196,1)="u",'UNC - PV'!$O$2="vnđ",TH!P196&lt;&gt;""),"p",IF(AND(C196="pv",D196='UNC - PV'!$Q$2,LEFT(E196,1)="u",'UNC - PV'!$O$2="usd",TH!O196&lt;&gt;""),"p1",IF(AND(C196="pv",D196='LC - PV'!$P$2,LEFT(E196,1)="l"),"p2",IF(AND(LEFT(C196,3)="EIB",D196='UNC - EIB'!$T$2,LEFT(E196,1)="u",'UNC - EIB'!$R$2="vnđ",TH!P196&lt;&gt;""),"e",IF(AND(LEFT(C196,3)="EIB",D196='UNC - EIB'!$T$2,LEFT(E196,1)="U",'UNC - EIB'!$R$2="usd",TH!O196&lt;&gt;""),"e1",IF(AND(LEFT(C196,3)="EIB",D196='LC - EIB'!$S$2,LEFT(E196,1)="l"),"e2",""))))))</f>
        <v/>
      </c>
    </row>
    <row r="197" spans="1:18" s="57" customFormat="1" ht="18.75" customHeight="1">
      <c r="A197" s="55" t="str">
        <f>IF(AND(C197="pv",E197='UNC - PV'!$S$2,D197='UNC - PV'!$Q$2),"x",IF(AND(LEFT(C197,3)="eib",E197='UNC - EIB'!$V$2,D197='UNC - EIB'!$T$2),"x1",IF(AND(C197="pv",E197='LC - PV'!$R$2,D197='LC - PV'!$P$2),"x2",IF(AND(LEFT(C197,3)="eib",E197='LC - EIB'!$U$2,D197='LC - EIB'!$S$2),"x3",""))))</f>
        <v/>
      </c>
      <c r="B197" s="62">
        <f t="shared" ref="B197:B212" si="14">IF(C197&lt;&gt;"",ROW()-3,"")</f>
        <v>194</v>
      </c>
      <c r="C197" s="62" t="s">
        <v>128</v>
      </c>
      <c r="D197" s="67">
        <v>42999</v>
      </c>
      <c r="E197" s="65" t="s">
        <v>24</v>
      </c>
      <c r="F197" s="64" t="s">
        <v>330</v>
      </c>
      <c r="G197" s="64" t="s">
        <v>365</v>
      </c>
      <c r="H197" s="64" t="s">
        <v>332</v>
      </c>
      <c r="I197" s="65" t="s">
        <v>333</v>
      </c>
      <c r="J197" s="66"/>
      <c r="K197" s="67"/>
      <c r="L197" s="65"/>
      <c r="M197" s="65"/>
      <c r="N197" s="64" t="s">
        <v>334</v>
      </c>
      <c r="O197" s="68"/>
      <c r="P197" s="69">
        <v>6114030000</v>
      </c>
      <c r="Q197" s="104"/>
      <c r="R197" s="131" t="str">
        <f>IF(AND(C197="pv",D197='UNC - PV'!$Q$2,LEFT(E197,1)="u",'UNC - PV'!$O$2="vnđ",TH!P197&lt;&gt;""),"p",IF(AND(C197="pv",D197='UNC - PV'!$Q$2,LEFT(E197,1)="u",'UNC - PV'!$O$2="usd",TH!O197&lt;&gt;""),"p1",IF(AND(C197="pv",D197='LC - PV'!$P$2,LEFT(E197,1)="l"),"p2",IF(AND(LEFT(C197,3)="EIB",D197='UNC - EIB'!$T$2,LEFT(E197,1)="u",'UNC - EIB'!$R$2="vnđ",TH!P197&lt;&gt;""),"e",IF(AND(LEFT(C197,3)="EIB",D197='UNC - EIB'!$T$2,LEFT(E197,1)="U",'UNC - EIB'!$R$2="usd",TH!O197&lt;&gt;""),"e1",IF(AND(LEFT(C197,3)="EIB",D197='LC - EIB'!$S$2,LEFT(E197,1)="l"),"e2",""))))))</f>
        <v/>
      </c>
    </row>
    <row r="198" spans="1:18" s="57" customFormat="1" ht="18.75" customHeight="1">
      <c r="A198" s="55" t="str">
        <f>IF(AND(C198="pv",E198='UNC - PV'!$S$2,D198='UNC - PV'!$Q$2),"x",IF(AND(LEFT(C198,3)="eib",E198='UNC - EIB'!$V$2,D198='UNC - EIB'!$T$2),"x1",IF(AND(C198="pv",E198='LC - PV'!$R$2,D198='LC - PV'!$P$2),"x2",IF(AND(LEFT(C198,3)="eib",E198='LC - EIB'!$U$2,D198='LC - EIB'!$S$2),"x3",""))))</f>
        <v/>
      </c>
      <c r="B198" s="62" t="str">
        <f t="shared" si="14"/>
        <v/>
      </c>
      <c r="C198" s="62"/>
      <c r="D198" s="67"/>
      <c r="E198" s="65"/>
      <c r="F198" s="64" t="s">
        <v>366</v>
      </c>
      <c r="G198" s="71" t="s">
        <v>408</v>
      </c>
      <c r="H198" s="64" t="s">
        <v>368</v>
      </c>
      <c r="I198" s="65" t="s">
        <v>35</v>
      </c>
      <c r="J198" s="66"/>
      <c r="K198" s="67"/>
      <c r="L198" s="65"/>
      <c r="M198" s="65"/>
      <c r="N198" s="64" t="s">
        <v>406</v>
      </c>
      <c r="O198" s="68"/>
      <c r="P198" s="69">
        <f>26743200+32216250</f>
        <v>58959450</v>
      </c>
      <c r="Q198" s="104"/>
      <c r="R198" s="131" t="str">
        <f>IF(AND(C198="pv",D198='UNC - PV'!$Q$2,LEFT(E198,1)="u",'UNC - PV'!$O$2="vnđ",TH!P198&lt;&gt;""),"p",IF(AND(C198="pv",D198='UNC - PV'!$Q$2,LEFT(E198,1)="u",'UNC - PV'!$O$2="usd",TH!O198&lt;&gt;""),"p1",IF(AND(C198="pv",D198='LC - PV'!$P$2,LEFT(E198,1)="l"),"p2",IF(AND(LEFT(C198,3)="EIB",D198='UNC - EIB'!$T$2,LEFT(E198,1)="u",'UNC - EIB'!$R$2="vnđ",TH!P198&lt;&gt;""),"e",IF(AND(LEFT(C198,3)="EIB",D198='UNC - EIB'!$T$2,LEFT(E198,1)="U",'UNC - EIB'!$R$2="usd",TH!O198&lt;&gt;""),"e1",IF(AND(LEFT(C198,3)="EIB",D198='LC - EIB'!$S$2,LEFT(E198,1)="l"),"e2",""))))))</f>
        <v/>
      </c>
    </row>
    <row r="199" spans="1:18" s="57" customFormat="1" ht="18.75" customHeight="1">
      <c r="A199" s="55" t="str">
        <f>IF(AND(C199="pv",E199='UNC - PV'!$S$2,D199='UNC - PV'!$Q$2),"x",IF(AND(LEFT(C199,3)="eib",E199='UNC - EIB'!$V$2,D199='UNC - EIB'!$T$2),"x1",IF(AND(C199="pv",E199='LC - PV'!$R$2,D199='LC - PV'!$P$2),"x2",IF(AND(LEFT(C199,3)="eib",E199='LC - EIB'!$U$2,D199='LC - EIB'!$S$2),"x3",""))))</f>
        <v/>
      </c>
      <c r="B199" s="62">
        <f t="shared" si="14"/>
        <v>196</v>
      </c>
      <c r="C199" s="62" t="s">
        <v>144</v>
      </c>
      <c r="D199" s="67">
        <v>43000</v>
      </c>
      <c r="E199" s="65" t="s">
        <v>23</v>
      </c>
      <c r="F199" s="64" t="s">
        <v>370</v>
      </c>
      <c r="G199" s="71" t="s">
        <v>407</v>
      </c>
      <c r="H199" s="64" t="s">
        <v>372</v>
      </c>
      <c r="I199" s="105" t="s">
        <v>10</v>
      </c>
      <c r="J199" s="66"/>
      <c r="K199" s="67"/>
      <c r="L199" s="65"/>
      <c r="M199" s="65"/>
      <c r="N199" s="64" t="s">
        <v>373</v>
      </c>
      <c r="O199" s="68"/>
      <c r="P199" s="69">
        <v>300000000</v>
      </c>
      <c r="Q199" s="104"/>
      <c r="R199" s="131" t="str">
        <f>IF(AND(C199="pv",D199='UNC - PV'!$Q$2,LEFT(E199,1)="u",'UNC - PV'!$O$2="vnđ",TH!P199&lt;&gt;""),"p",IF(AND(C199="pv",D199='UNC - PV'!$Q$2,LEFT(E199,1)="u",'UNC - PV'!$O$2="usd",TH!O199&lt;&gt;""),"p1",IF(AND(C199="pv",D199='LC - PV'!$P$2,LEFT(E199,1)="l"),"p2",IF(AND(LEFT(C199,3)="EIB",D199='UNC - EIB'!$T$2,LEFT(E199,1)="u",'UNC - EIB'!$R$2="vnđ",TH!P199&lt;&gt;""),"e",IF(AND(LEFT(C199,3)="EIB",D199='UNC - EIB'!$T$2,LEFT(E199,1)="U",'UNC - EIB'!$R$2="usd",TH!O199&lt;&gt;""),"e1",IF(AND(LEFT(C199,3)="EIB",D199='LC - EIB'!$S$2,LEFT(E199,1)="l"),"e2",""))))))</f>
        <v/>
      </c>
    </row>
    <row r="200" spans="1:18" s="57" customFormat="1" ht="18.75" customHeight="1">
      <c r="A200" s="55" t="str">
        <f>IF(AND(C200="pv",E200='UNC - PV'!$S$2,D200='UNC - PV'!$Q$2),"x",IF(AND(LEFT(C200,3)="eib",E200='UNC - EIB'!$V$2,D200='UNC - EIB'!$T$2),"x1",IF(AND(C200="pv",E200='LC - PV'!$R$2,D200='LC - PV'!$P$2),"x2",IF(AND(LEFT(C200,3)="eib",E200='LC - EIB'!$U$2,D200='LC - EIB'!$S$2),"x3",""))))</f>
        <v/>
      </c>
      <c r="B200" s="62">
        <f t="shared" si="14"/>
        <v>197</v>
      </c>
      <c r="C200" s="62" t="s">
        <v>144</v>
      </c>
      <c r="D200" s="67">
        <v>43000</v>
      </c>
      <c r="E200" s="65" t="s">
        <v>24</v>
      </c>
      <c r="F200" s="64" t="s">
        <v>214</v>
      </c>
      <c r="G200" s="64" t="s">
        <v>215</v>
      </c>
      <c r="H200" s="64" t="s">
        <v>216</v>
      </c>
      <c r="I200" s="62" t="s">
        <v>10</v>
      </c>
      <c r="J200" s="66"/>
      <c r="K200" s="67"/>
      <c r="L200" s="65"/>
      <c r="M200" s="65"/>
      <c r="N200" s="64" t="s">
        <v>217</v>
      </c>
      <c r="O200" s="68"/>
      <c r="P200" s="69">
        <v>9600000</v>
      </c>
      <c r="Q200" s="104"/>
      <c r="R200" s="131" t="str">
        <f>IF(AND(C200="pv",D200='UNC - PV'!$Q$2,LEFT(E200,1)="u",'UNC - PV'!$O$2="vnđ",TH!P200&lt;&gt;""),"p",IF(AND(C200="pv",D200='UNC - PV'!$Q$2,LEFT(E200,1)="u",'UNC - PV'!$O$2="usd",TH!O200&lt;&gt;""),"p1",IF(AND(C200="pv",D200='LC - PV'!$P$2,LEFT(E200,1)="l"),"p2",IF(AND(LEFT(C200,3)="EIB",D200='UNC - EIB'!$T$2,LEFT(E200,1)="u",'UNC - EIB'!$R$2="vnđ",TH!P200&lt;&gt;""),"e",IF(AND(LEFT(C200,3)="EIB",D200='UNC - EIB'!$T$2,LEFT(E200,1)="U",'UNC - EIB'!$R$2="usd",TH!O200&lt;&gt;""),"e1",IF(AND(LEFT(C200,3)="EIB",D200='LC - EIB'!$S$2,LEFT(E200,1)="l"),"e2",""))))))</f>
        <v/>
      </c>
    </row>
    <row r="201" spans="1:18" s="57" customFormat="1" ht="18.75" customHeight="1">
      <c r="A201" s="55" t="str">
        <f>IF(AND(C201="pv",E201='UNC - PV'!$S$2,D201='UNC - PV'!$Q$2),"x",IF(AND(LEFT(C201,3)="eib",E201='UNC - EIB'!$V$2,D201='UNC - EIB'!$T$2),"x1",IF(AND(C201="pv",E201='LC - PV'!$R$2,D201='LC - PV'!$P$2),"x2",IF(AND(LEFT(C201,3)="eib",E201='LC - EIB'!$U$2,D201='LC - EIB'!$S$2),"x3",""))))</f>
        <v/>
      </c>
      <c r="B201" s="62">
        <f t="shared" si="14"/>
        <v>198</v>
      </c>
      <c r="C201" s="62" t="s">
        <v>144</v>
      </c>
      <c r="D201" s="67">
        <v>43003</v>
      </c>
      <c r="E201" s="65" t="s">
        <v>23</v>
      </c>
      <c r="F201" s="64" t="s">
        <v>411</v>
      </c>
      <c r="G201" s="71" t="s">
        <v>412</v>
      </c>
      <c r="H201" s="64" t="s">
        <v>413</v>
      </c>
      <c r="I201" s="65" t="s">
        <v>333</v>
      </c>
      <c r="J201" s="66"/>
      <c r="K201" s="67"/>
      <c r="L201" s="65"/>
      <c r="M201" s="65"/>
      <c r="N201" s="64" t="s">
        <v>334</v>
      </c>
      <c r="O201" s="68"/>
      <c r="P201" s="69">
        <v>1000000000</v>
      </c>
      <c r="Q201" s="104"/>
      <c r="R201" s="131" t="str">
        <f>IF(AND(C201="pv",D201='UNC - PV'!$Q$2,LEFT(E201,1)="u",'UNC - PV'!$O$2="vnđ",TH!P201&lt;&gt;""),"p",IF(AND(C201="pv",D201='UNC - PV'!$Q$2,LEFT(E201,1)="u",'UNC - PV'!$O$2="usd",TH!O201&lt;&gt;""),"p1",IF(AND(C201="pv",D201='LC - PV'!$P$2,LEFT(E201,1)="l"),"p2",IF(AND(LEFT(C201,3)="EIB",D201='UNC - EIB'!$T$2,LEFT(E201,1)="u",'UNC - EIB'!$R$2="vnđ",TH!P201&lt;&gt;""),"e",IF(AND(LEFT(C201,3)="EIB",D201='UNC - EIB'!$T$2,LEFT(E201,1)="U",'UNC - EIB'!$R$2="usd",TH!O201&lt;&gt;""),"e1",IF(AND(LEFT(C201,3)="EIB",D201='LC - EIB'!$S$2,LEFT(E201,1)="l"),"e2",""))))))</f>
        <v/>
      </c>
    </row>
    <row r="202" spans="1:18" s="57" customFormat="1" ht="18.75" customHeight="1">
      <c r="A202" s="55" t="str">
        <f>IF(AND(C202="pv",E202='UNC - PV'!$S$2,D202='UNC - PV'!$Q$2),"x",IF(AND(LEFT(C202,3)="eib",E202='UNC - EIB'!$V$2,D202='UNC - EIB'!$T$2),"x1",IF(AND(C202="pv",E202='LC - PV'!$R$2,D202='LC - PV'!$P$2),"x2",IF(AND(LEFT(C202,3)="eib",E202='LC - EIB'!$U$2,D202='LC - EIB'!$S$2),"x3",""))))</f>
        <v/>
      </c>
      <c r="B202" s="62">
        <f t="shared" si="14"/>
        <v>199</v>
      </c>
      <c r="C202" s="62" t="s">
        <v>144</v>
      </c>
      <c r="D202" s="67">
        <v>43004</v>
      </c>
      <c r="E202" s="65" t="s">
        <v>23</v>
      </c>
      <c r="F202" s="107" t="s">
        <v>132</v>
      </c>
      <c r="G202" s="71" t="s">
        <v>397</v>
      </c>
      <c r="H202" s="64" t="s">
        <v>398</v>
      </c>
      <c r="I202" s="105" t="s">
        <v>10</v>
      </c>
      <c r="J202" s="66"/>
      <c r="K202" s="67"/>
      <c r="L202" s="65"/>
      <c r="M202" s="65"/>
      <c r="N202" s="64" t="s">
        <v>399</v>
      </c>
      <c r="O202" s="68">
        <v>200</v>
      </c>
      <c r="P202" s="69"/>
      <c r="Q202" s="104"/>
      <c r="R202" s="131" t="str">
        <f>IF(AND(C202="pv",D202='UNC - PV'!$Q$2,LEFT(E202,1)="u",'UNC - PV'!$O$2="vnđ",TH!P202&lt;&gt;""),"p",IF(AND(C202="pv",D202='UNC - PV'!$Q$2,LEFT(E202,1)="u",'UNC - PV'!$O$2="usd",TH!O202&lt;&gt;""),"p1",IF(AND(C202="pv",D202='LC - PV'!$P$2,LEFT(E202,1)="l"),"p2",IF(AND(LEFT(C202,3)="EIB",D202='UNC - EIB'!$T$2,LEFT(E202,1)="u",'UNC - EIB'!$R$2="vnđ",TH!P202&lt;&gt;""),"e",IF(AND(LEFT(C202,3)="EIB",D202='UNC - EIB'!$T$2,LEFT(E202,1)="U",'UNC - EIB'!$R$2="usd",TH!O202&lt;&gt;""),"e1",IF(AND(LEFT(C202,3)="EIB",D202='LC - EIB'!$S$2,LEFT(E202,1)="l"),"e2",""))))))</f>
        <v/>
      </c>
    </row>
    <row r="203" spans="1:18" s="57" customFormat="1" ht="18.75" customHeight="1">
      <c r="A203" s="55" t="str">
        <f>IF(AND(C203="pv",E203='UNC - PV'!$S$2,D203='UNC - PV'!$Q$2),"x",IF(AND(LEFT(C203,3)="eib",E203='UNC - EIB'!$V$2,D203='UNC - EIB'!$T$2),"x1",IF(AND(C203="pv",E203='LC - PV'!$R$2,D203='LC - PV'!$P$2),"x2",IF(AND(LEFT(C203,3)="eib",E203='LC - EIB'!$U$2,D203='LC - EIB'!$S$2),"x3",""))))</f>
        <v/>
      </c>
      <c r="B203" s="62">
        <f t="shared" si="14"/>
        <v>200</v>
      </c>
      <c r="C203" s="62" t="s">
        <v>144</v>
      </c>
      <c r="D203" s="67">
        <v>43004</v>
      </c>
      <c r="E203" s="65" t="s">
        <v>24</v>
      </c>
      <c r="F203" s="107" t="s">
        <v>132</v>
      </c>
      <c r="G203" s="71" t="s">
        <v>405</v>
      </c>
      <c r="H203" s="64" t="s">
        <v>163</v>
      </c>
      <c r="I203" s="105" t="s">
        <v>10</v>
      </c>
      <c r="J203" s="56"/>
      <c r="K203" s="67"/>
      <c r="L203" s="65"/>
      <c r="M203" s="65"/>
      <c r="N203" s="64" t="s">
        <v>414</v>
      </c>
      <c r="O203" s="68"/>
      <c r="P203" s="69">
        <v>2022525000</v>
      </c>
      <c r="Q203" s="104"/>
      <c r="R203" s="131" t="str">
        <f>IF(AND(C203="pv",D203='UNC - PV'!$Q$2,LEFT(E203,1)="u",'UNC - PV'!$O$2="vnđ",TH!P203&lt;&gt;""),"p",IF(AND(C203="pv",D203='UNC - PV'!$Q$2,LEFT(E203,1)="u",'UNC - PV'!$O$2="usd",TH!O203&lt;&gt;""),"p1",IF(AND(C203="pv",D203='LC - PV'!$P$2,LEFT(E203,1)="l"),"p2",IF(AND(LEFT(C203,3)="EIB",D203='UNC - EIB'!$T$2,LEFT(E203,1)="u",'UNC - EIB'!$R$2="vnđ",TH!P203&lt;&gt;""),"e",IF(AND(LEFT(C203,3)="EIB",D203='UNC - EIB'!$T$2,LEFT(E203,1)="U",'UNC - EIB'!$R$2="usd",TH!O203&lt;&gt;""),"e1",IF(AND(LEFT(C203,3)="EIB",D203='LC - EIB'!$S$2,LEFT(E203,1)="l"),"e2",""))))))</f>
        <v/>
      </c>
    </row>
    <row r="204" spans="1:18" s="57" customFormat="1" ht="18.75" customHeight="1">
      <c r="A204" s="55" t="str">
        <f>IF(AND(C204="pv",E204='UNC - PV'!$S$2,D204='UNC - PV'!$Q$2),"x",IF(AND(LEFT(C204,3)="eib",E204='UNC - EIB'!$V$2,D204='UNC - EIB'!$T$2),"x1",IF(AND(C204="pv",E204='LC - PV'!$R$2,D204='LC - PV'!$P$2),"x2",IF(AND(LEFT(C204,3)="eib",E204='LC - EIB'!$U$2,D204='LC - EIB'!$S$2),"x3",""))))</f>
        <v/>
      </c>
      <c r="B204" s="62">
        <f t="shared" si="14"/>
        <v>201</v>
      </c>
      <c r="C204" s="62" t="s">
        <v>144</v>
      </c>
      <c r="D204" s="67">
        <v>43005</v>
      </c>
      <c r="E204" s="65" t="s">
        <v>23</v>
      </c>
      <c r="F204" s="64" t="s">
        <v>411</v>
      </c>
      <c r="G204" s="71" t="s">
        <v>412</v>
      </c>
      <c r="H204" s="64" t="s">
        <v>413</v>
      </c>
      <c r="I204" s="65" t="s">
        <v>333</v>
      </c>
      <c r="J204" s="66"/>
      <c r="K204" s="67"/>
      <c r="L204" s="65"/>
      <c r="M204" s="65"/>
      <c r="N204" s="64" t="s">
        <v>334</v>
      </c>
      <c r="O204" s="68"/>
      <c r="P204" s="69">
        <v>1480660000</v>
      </c>
      <c r="Q204" s="104"/>
      <c r="R204" s="131" t="str">
        <f>IF(AND(C204="pv",D204='UNC - PV'!$Q$2,LEFT(E204,1)="u",'UNC - PV'!$O$2="vnđ",TH!P204&lt;&gt;""),"p",IF(AND(C204="pv",D204='UNC - PV'!$Q$2,LEFT(E204,1)="u",'UNC - PV'!$O$2="usd",TH!O204&lt;&gt;""),"p1",IF(AND(C204="pv",D204='LC - PV'!$P$2,LEFT(E204,1)="l"),"p2",IF(AND(LEFT(C204,3)="EIB",D204='UNC - EIB'!$T$2,LEFT(E204,1)="u",'UNC - EIB'!$R$2="vnđ",TH!P204&lt;&gt;""),"e",IF(AND(LEFT(C204,3)="EIB",D204='UNC - EIB'!$T$2,LEFT(E204,1)="U",'UNC - EIB'!$R$2="usd",TH!O204&lt;&gt;""),"e1",IF(AND(LEFT(C204,3)="EIB",D204='LC - EIB'!$S$2,LEFT(E204,1)="l"),"e2",""))))))</f>
        <v/>
      </c>
    </row>
    <row r="205" spans="1:18" s="57" customFormat="1" ht="18.75" customHeight="1">
      <c r="A205" s="55" t="str">
        <f>IF(AND(C205="pv",E205='UNC - PV'!$S$2,D205='UNC - PV'!$Q$2),"x",IF(AND(LEFT(C205,3)="eib",E205='UNC - EIB'!$V$2,D205='UNC - EIB'!$T$2),"x1",IF(AND(C205="pv",E205='LC - PV'!$R$2,D205='LC - PV'!$P$2),"x2",IF(AND(LEFT(C205,3)="eib",E205='LC - EIB'!$U$2,D205='LC - EIB'!$S$2),"x3",""))))</f>
        <v/>
      </c>
      <c r="B205" s="62">
        <f t="shared" si="14"/>
        <v>202</v>
      </c>
      <c r="C205" s="62" t="s">
        <v>144</v>
      </c>
      <c r="D205" s="67">
        <v>43005</v>
      </c>
      <c r="E205" s="65" t="s">
        <v>24</v>
      </c>
      <c r="F205" s="64" t="s">
        <v>411</v>
      </c>
      <c r="G205" s="71" t="s">
        <v>412</v>
      </c>
      <c r="H205" s="64" t="s">
        <v>413</v>
      </c>
      <c r="I205" s="65" t="s">
        <v>333</v>
      </c>
      <c r="J205" s="66"/>
      <c r="K205" s="67"/>
      <c r="L205" s="65"/>
      <c r="M205" s="65"/>
      <c r="N205" s="64" t="s">
        <v>334</v>
      </c>
      <c r="O205" s="68"/>
      <c r="P205" s="69">
        <f>2746000000-P204</f>
        <v>1265340000</v>
      </c>
      <c r="Q205" s="104"/>
      <c r="R205" s="131" t="str">
        <f>IF(AND(C205="pv",D205='UNC - PV'!$Q$2,LEFT(E205,1)="u",'UNC - PV'!$O$2="vnđ",TH!P205&lt;&gt;""),"p",IF(AND(C205="pv",D205='UNC - PV'!$Q$2,LEFT(E205,1)="u",'UNC - PV'!$O$2="usd",TH!O205&lt;&gt;""),"p1",IF(AND(C205="pv",D205='LC - PV'!$P$2,LEFT(E205,1)="l"),"p2",IF(AND(LEFT(C205,3)="EIB",D205='UNC - EIB'!$T$2,LEFT(E205,1)="u",'UNC - EIB'!$R$2="vnđ",TH!P205&lt;&gt;""),"e",IF(AND(LEFT(C205,3)="EIB",D205='UNC - EIB'!$T$2,LEFT(E205,1)="U",'UNC - EIB'!$R$2="usd",TH!O205&lt;&gt;""),"e1",IF(AND(LEFT(C205,3)="EIB",D205='LC - EIB'!$S$2,LEFT(E205,1)="l"),"e2",""))))))</f>
        <v/>
      </c>
    </row>
    <row r="206" spans="1:18" s="57" customFormat="1" ht="18.75" customHeight="1">
      <c r="A206" s="55" t="str">
        <f>IF(AND(C206="pv",E206='UNC - PV'!$S$2,D206='UNC - PV'!$Q$2),"x",IF(AND(LEFT(C206,3)="eib",E206='UNC - EIB'!$V$2,D206='UNC - EIB'!$T$2),"x1",IF(AND(C206="pv",E206='LC - PV'!$R$2,D206='LC - PV'!$P$2),"x2",IF(AND(LEFT(C206,3)="eib",E206='LC - EIB'!$U$2,D206='LC - EIB'!$S$2),"x3",""))))</f>
        <v/>
      </c>
      <c r="B206" s="62">
        <f t="shared" si="14"/>
        <v>203</v>
      </c>
      <c r="C206" s="62" t="s">
        <v>144</v>
      </c>
      <c r="D206" s="67">
        <v>43005</v>
      </c>
      <c r="E206" s="65" t="s">
        <v>25</v>
      </c>
      <c r="F206" s="64" t="s">
        <v>366</v>
      </c>
      <c r="G206" s="71" t="s">
        <v>408</v>
      </c>
      <c r="H206" s="64" t="s">
        <v>368</v>
      </c>
      <c r="I206" s="65" t="s">
        <v>35</v>
      </c>
      <c r="J206" s="66"/>
      <c r="K206" s="67"/>
      <c r="L206" s="65"/>
      <c r="M206" s="65"/>
      <c r="N206" s="64" t="s">
        <v>416</v>
      </c>
      <c r="O206" s="68"/>
      <c r="P206" s="69">
        <v>32216250</v>
      </c>
      <c r="Q206" s="104"/>
      <c r="R206" s="131" t="str">
        <f>IF(AND(C206="pv",D206='UNC - PV'!$Q$2,LEFT(E206,1)="u",'UNC - PV'!$O$2="vnđ",TH!P206&lt;&gt;""),"p",IF(AND(C206="pv",D206='UNC - PV'!$Q$2,LEFT(E206,1)="u",'UNC - PV'!$O$2="usd",TH!O206&lt;&gt;""),"p1",IF(AND(C206="pv",D206='LC - PV'!$P$2,LEFT(E206,1)="l"),"p2",IF(AND(LEFT(C206,3)="EIB",D206='UNC - EIB'!$T$2,LEFT(E206,1)="u",'UNC - EIB'!$R$2="vnđ",TH!P206&lt;&gt;""),"e",IF(AND(LEFT(C206,3)="EIB",D206='UNC - EIB'!$T$2,LEFT(E206,1)="U",'UNC - EIB'!$R$2="usd",TH!O206&lt;&gt;""),"e1",IF(AND(LEFT(C206,3)="EIB",D206='LC - EIB'!$S$2,LEFT(E206,1)="l"),"e2",""))))))</f>
        <v/>
      </c>
    </row>
    <row r="207" spans="1:18" s="57" customFormat="1" ht="18.75" customHeight="1">
      <c r="A207" s="55" t="str">
        <f>IF(AND(C207="pv",E207='UNC - PV'!$S$2,D207='UNC - PV'!$Q$2),"x",IF(AND(LEFT(C207,3)="eib",E207='UNC - EIB'!$V$2,D207='UNC - EIB'!$T$2),"x1",IF(AND(C207="pv",E207='LC - PV'!$R$2,D207='LC - PV'!$P$2),"x2",IF(AND(LEFT(C207,3)="eib",E207='LC - EIB'!$U$2,D207='LC - EIB'!$S$2),"x3",""))))</f>
        <v/>
      </c>
      <c r="B207" s="62">
        <f t="shared" si="14"/>
        <v>204</v>
      </c>
      <c r="C207" s="62" t="s">
        <v>144</v>
      </c>
      <c r="D207" s="67">
        <v>43005</v>
      </c>
      <c r="E207" s="65" t="s">
        <v>26</v>
      </c>
      <c r="F207" s="107" t="s">
        <v>132</v>
      </c>
      <c r="G207" s="71" t="s">
        <v>405</v>
      </c>
      <c r="H207" s="64" t="s">
        <v>163</v>
      </c>
      <c r="I207" s="105" t="s">
        <v>10</v>
      </c>
      <c r="J207" s="56"/>
      <c r="K207" s="67"/>
      <c r="L207" s="65"/>
      <c r="M207" s="65"/>
      <c r="N207" s="64" t="s">
        <v>417</v>
      </c>
      <c r="O207" s="68"/>
      <c r="P207" s="69">
        <v>166332360</v>
      </c>
      <c r="Q207" s="104"/>
      <c r="R207" s="131" t="str">
        <f>IF(AND(C207="pv",D207='UNC - PV'!$Q$2,LEFT(E207,1)="u",'UNC - PV'!$O$2="vnđ",TH!P207&lt;&gt;""),"p",IF(AND(C207="pv",D207='UNC - PV'!$Q$2,LEFT(E207,1)="u",'UNC - PV'!$O$2="usd",TH!O207&lt;&gt;""),"p1",IF(AND(C207="pv",D207='LC - PV'!$P$2,LEFT(E207,1)="l"),"p2",IF(AND(LEFT(C207,3)="EIB",D207='UNC - EIB'!$T$2,LEFT(E207,1)="u",'UNC - EIB'!$R$2="vnđ",TH!P207&lt;&gt;""),"e",IF(AND(LEFT(C207,3)="EIB",D207='UNC - EIB'!$T$2,LEFT(E207,1)="U",'UNC - EIB'!$R$2="usd",TH!O207&lt;&gt;""),"e1",IF(AND(LEFT(C207,3)="EIB",D207='LC - EIB'!$S$2,LEFT(E207,1)="l"),"e2",""))))))</f>
        <v/>
      </c>
    </row>
    <row r="208" spans="1:18" s="57" customFormat="1" ht="18.75" customHeight="1">
      <c r="A208" s="55" t="str">
        <f>IF(AND(C208="pv",E208='UNC - PV'!$S$2,D208='UNC - PV'!$Q$2),"x",IF(AND(LEFT(C208,3)="eib",E208='UNC - EIB'!$V$2,D208='UNC - EIB'!$T$2),"x1",IF(AND(C208="pv",E208='LC - PV'!$R$2,D208='LC - PV'!$P$2),"x2",IF(AND(LEFT(C208,3)="eib",E208='LC - EIB'!$U$2,D208='LC - EIB'!$S$2),"x3",""))))</f>
        <v/>
      </c>
      <c r="B208" s="62">
        <f t="shared" si="14"/>
        <v>205</v>
      </c>
      <c r="C208" s="62" t="s">
        <v>144</v>
      </c>
      <c r="D208" s="67">
        <v>43011</v>
      </c>
      <c r="E208" s="65" t="s">
        <v>23</v>
      </c>
      <c r="F208" s="64" t="s">
        <v>99</v>
      </c>
      <c r="G208" s="71" t="s">
        <v>448</v>
      </c>
      <c r="H208" s="64" t="s">
        <v>101</v>
      </c>
      <c r="I208" s="62" t="s">
        <v>10</v>
      </c>
      <c r="J208" s="66"/>
      <c r="K208" s="67"/>
      <c r="L208" s="65"/>
      <c r="M208" s="65"/>
      <c r="N208" s="64" t="s">
        <v>102</v>
      </c>
      <c r="O208" s="68"/>
      <c r="P208" s="69">
        <v>100000000</v>
      </c>
      <c r="Q208" s="104"/>
      <c r="R208" s="131" t="str">
        <f>IF(AND(C208="pv",D208='UNC - PV'!$Q$2,LEFT(E208,1)="u",'UNC - PV'!$O$2="vnđ",TH!P208&lt;&gt;""),"p",IF(AND(C208="pv",D208='UNC - PV'!$Q$2,LEFT(E208,1)="u",'UNC - PV'!$O$2="usd",TH!O208&lt;&gt;""),"p1",IF(AND(C208="pv",D208='LC - PV'!$P$2,LEFT(E208,1)="l"),"p2",IF(AND(LEFT(C208,3)="EIB",D208='UNC - EIB'!$T$2,LEFT(E208,1)="u",'UNC - EIB'!$R$2="vnđ",TH!P208&lt;&gt;""),"e",IF(AND(LEFT(C208,3)="EIB",D208='UNC - EIB'!$T$2,LEFT(E208,1)="U",'UNC - EIB'!$R$2="usd",TH!O208&lt;&gt;""),"e1",IF(AND(LEFT(C208,3)="EIB",D208='LC - EIB'!$S$2,LEFT(E208,1)="l"),"e2",""))))))</f>
        <v/>
      </c>
    </row>
    <row r="209" spans="1:18" s="57" customFormat="1" ht="18.75" customHeight="1">
      <c r="A209" s="55" t="str">
        <f>IF(AND(C209="pv",E209='UNC - PV'!$S$2,D209='UNC - PV'!$Q$2),"x",IF(AND(LEFT(C209,3)="eib",E209='UNC - EIB'!$V$2,D209='UNC - EIB'!$T$2),"x1",IF(AND(C209="pv",E209='LC - PV'!$R$2,D209='LC - PV'!$P$2),"x2",IF(AND(LEFT(C209,3)="eib",E209='LC - EIB'!$U$2,D209='LC - EIB'!$S$2),"x3",""))))</f>
        <v/>
      </c>
      <c r="B209" s="62">
        <f t="shared" si="14"/>
        <v>206</v>
      </c>
      <c r="C209" s="62" t="s">
        <v>144</v>
      </c>
      <c r="D209" s="67">
        <v>43011</v>
      </c>
      <c r="E209" s="65" t="s">
        <v>24</v>
      </c>
      <c r="F209" s="107" t="s">
        <v>133</v>
      </c>
      <c r="G209" s="107" t="s">
        <v>134</v>
      </c>
      <c r="H209" s="107" t="s">
        <v>130</v>
      </c>
      <c r="I209" s="105" t="s">
        <v>10</v>
      </c>
      <c r="J209" s="66"/>
      <c r="K209" s="67"/>
      <c r="L209" s="65"/>
      <c r="M209" s="65"/>
      <c r="N209" s="107" t="s">
        <v>334</v>
      </c>
      <c r="O209" s="68"/>
      <c r="P209" s="69">
        <v>10500000000</v>
      </c>
      <c r="Q209" s="104"/>
      <c r="R209" s="131" t="str">
        <f>IF(AND(C209="pv",D209='UNC - PV'!$Q$2,LEFT(E209,1)="u",'UNC - PV'!$O$2="vnđ",TH!P209&lt;&gt;""),"p",IF(AND(C209="pv",D209='UNC - PV'!$Q$2,LEFT(E209,1)="u",'UNC - PV'!$O$2="usd",TH!O209&lt;&gt;""),"p1",IF(AND(C209="pv",D209='LC - PV'!$P$2,LEFT(E209,1)="l"),"p2",IF(AND(LEFT(C209,3)="EIB",D209='UNC - EIB'!$T$2,LEFT(E209,1)="u",'UNC - EIB'!$R$2="vnđ",TH!P209&lt;&gt;""),"e",IF(AND(LEFT(C209,3)="EIB",D209='UNC - EIB'!$T$2,LEFT(E209,1)="U",'UNC - EIB'!$R$2="usd",TH!O209&lt;&gt;""),"e1",IF(AND(LEFT(C209,3)="EIB",D209='LC - EIB'!$S$2,LEFT(E209,1)="l"),"e2",""))))))</f>
        <v/>
      </c>
    </row>
    <row r="210" spans="1:18" s="57" customFormat="1" ht="18.75" customHeight="1">
      <c r="A210" s="55" t="str">
        <f>IF(AND(C210="pv",E210='UNC - PV'!$S$2,D210='UNC - PV'!$Q$2),"x",IF(AND(LEFT(C210,3)="eib",E210='UNC - EIB'!$V$2,D210='UNC - EIB'!$T$2),"x1",IF(AND(C210="pv",E210='LC - PV'!$R$2,D210='LC - PV'!$P$2),"x2",IF(AND(LEFT(C210,3)="eib",E210='LC - EIB'!$U$2,D210='LC - EIB'!$S$2),"x3",""))))</f>
        <v/>
      </c>
      <c r="B210" s="62">
        <f t="shared" si="14"/>
        <v>207</v>
      </c>
      <c r="C210" s="62" t="s">
        <v>144</v>
      </c>
      <c r="D210" s="67">
        <v>43011</v>
      </c>
      <c r="E210" s="65" t="s">
        <v>25</v>
      </c>
      <c r="F210" s="64" t="s">
        <v>370</v>
      </c>
      <c r="G210" s="71" t="s">
        <v>407</v>
      </c>
      <c r="H210" s="64" t="s">
        <v>372</v>
      </c>
      <c r="I210" s="105" t="s">
        <v>10</v>
      </c>
      <c r="J210" s="66"/>
      <c r="K210" s="67"/>
      <c r="L210" s="65"/>
      <c r="M210" s="65"/>
      <c r="N210" s="64" t="s">
        <v>373</v>
      </c>
      <c r="O210" s="68"/>
      <c r="P210" s="69">
        <v>200000000</v>
      </c>
      <c r="Q210" s="104"/>
      <c r="R210" s="131" t="str">
        <f>IF(AND(C210="pv",D210='UNC - PV'!$Q$2,LEFT(E210,1)="u",'UNC - PV'!$O$2="vnđ",TH!P210&lt;&gt;""),"p",IF(AND(C210="pv",D210='UNC - PV'!$Q$2,LEFT(E210,1)="u",'UNC - PV'!$O$2="usd",TH!O210&lt;&gt;""),"p1",IF(AND(C210="pv",D210='LC - PV'!$P$2,LEFT(E210,1)="l"),"p2",IF(AND(LEFT(C210,3)="EIB",D210='UNC - EIB'!$T$2,LEFT(E210,1)="u",'UNC - EIB'!$R$2="vnđ",TH!P210&lt;&gt;""),"e",IF(AND(LEFT(C210,3)="EIB",D210='UNC - EIB'!$T$2,LEFT(E210,1)="U",'UNC - EIB'!$R$2="usd",TH!O210&lt;&gt;""),"e1",IF(AND(LEFT(C210,3)="EIB",D210='LC - EIB'!$S$2,LEFT(E210,1)="l"),"e2",""))))))</f>
        <v/>
      </c>
    </row>
    <row r="211" spans="1:18" s="97" customFormat="1" ht="18.75" customHeight="1">
      <c r="A211" s="135" t="str">
        <f>IF(AND(C211="pv",E211='UNC - PV'!$S$2,D211='UNC - PV'!$Q$2),"x",IF(AND(LEFT(C211,3)="eib",E211='UNC - EIB'!$V$2,D211='UNC - EIB'!$T$2),"x1",IF(AND(C211="pv",E211='LC - PV'!$R$2,D211='LC - PV'!$P$2),"x2",IF(AND(LEFT(C211,3)="eib",E211='LC - EIB'!$U$2,D211='LC - EIB'!$S$2),"x3",""))))</f>
        <v/>
      </c>
      <c r="B211" s="89">
        <f t="shared" si="14"/>
        <v>208</v>
      </c>
      <c r="C211" s="89" t="s">
        <v>144</v>
      </c>
      <c r="D211" s="94">
        <v>43011</v>
      </c>
      <c r="E211" s="92" t="s">
        <v>26</v>
      </c>
      <c r="F211" s="91" t="s">
        <v>378</v>
      </c>
      <c r="G211" s="136" t="s">
        <v>449</v>
      </c>
      <c r="H211" s="91" t="s">
        <v>380</v>
      </c>
      <c r="I211" s="89" t="s">
        <v>10</v>
      </c>
      <c r="J211" s="93"/>
      <c r="K211" s="94"/>
      <c r="L211" s="92"/>
      <c r="M211" s="92"/>
      <c r="N211" s="91" t="s">
        <v>359</v>
      </c>
      <c r="O211" s="95"/>
      <c r="P211" s="96">
        <v>200000000</v>
      </c>
      <c r="Q211" s="103"/>
      <c r="R211" s="97" t="str">
        <f>IF(AND(C211="pv",D211='UNC - PV'!$Q$2,LEFT(E211,1)="u",'UNC - PV'!$O$2="vnđ",TH!P211&lt;&gt;""),"p",IF(AND(C211="pv",D211='UNC - PV'!$Q$2,LEFT(E211,1)="u",'UNC - PV'!$O$2="usd",TH!O211&lt;&gt;""),"p1",IF(AND(C211="pv",D211='LC - PV'!$P$2,LEFT(E211,1)="l"),"p2",IF(AND(LEFT(C211,3)="EIB",D211='UNC - EIB'!$T$2,LEFT(E211,1)="u",'UNC - EIB'!$R$2="vnđ",TH!P211&lt;&gt;""),"e",IF(AND(LEFT(C211,3)="EIB",D211='UNC - EIB'!$T$2,LEFT(E211,1)="U",'UNC - EIB'!$R$2="usd",TH!O211&lt;&gt;""),"e1",IF(AND(LEFT(C211,3)="EIB",D211='LC - EIB'!$S$2,LEFT(E211,1)="l"),"e2",""))))))</f>
        <v/>
      </c>
    </row>
    <row r="212" spans="1:18" s="57" customFormat="1" ht="18.75" customHeight="1">
      <c r="A212" s="55" t="str">
        <f>IF(AND(C212="pv",E212='UNC - PV'!$S$2,D212='UNC - PV'!$Q$2),"x",IF(AND(LEFT(C212,3)="eib",E212='UNC - EIB'!$V$2,D212='UNC - EIB'!$T$2),"x1",IF(AND(C212="pv",E212='LC - PV'!$R$2,D212='LC - PV'!$P$2),"x2",IF(AND(LEFT(C212,3)="eib",E212='LC - EIB'!$U$2,D212='LC - EIB'!$S$2),"x3",""))))</f>
        <v/>
      </c>
      <c r="B212" s="62">
        <f t="shared" si="14"/>
        <v>209</v>
      </c>
      <c r="C212" s="62" t="s">
        <v>144</v>
      </c>
      <c r="D212" s="67">
        <v>43011</v>
      </c>
      <c r="E212" s="65" t="s">
        <v>84</v>
      </c>
      <c r="F212" s="64" t="s">
        <v>402</v>
      </c>
      <c r="G212" s="64" t="s">
        <v>375</v>
      </c>
      <c r="H212" s="64" t="s">
        <v>376</v>
      </c>
      <c r="I212" s="105" t="s">
        <v>10</v>
      </c>
      <c r="J212" s="66"/>
      <c r="K212" s="67"/>
      <c r="L212" s="65"/>
      <c r="M212" s="65"/>
      <c r="N212" s="64" t="s">
        <v>424</v>
      </c>
      <c r="O212" s="68"/>
      <c r="P212" s="69">
        <v>28780652</v>
      </c>
      <c r="Q212" s="104"/>
      <c r="R212" s="131" t="str">
        <f>IF(AND(C212="pv",D212='UNC - PV'!$Q$2,LEFT(E212,1)="u",'UNC - PV'!$O$2="vnđ",TH!P212&lt;&gt;""),"p",IF(AND(C212="pv",D212='UNC - PV'!$Q$2,LEFT(E212,1)="u",'UNC - PV'!$O$2="usd",TH!O212&lt;&gt;""),"p1",IF(AND(C212="pv",D212='LC - PV'!$P$2,LEFT(E212,1)="l"),"p2",IF(AND(LEFT(C212,3)="EIB",D212='UNC - EIB'!$T$2,LEFT(E212,1)="u",'UNC - EIB'!$R$2="vnđ",TH!P212&lt;&gt;""),"e",IF(AND(LEFT(C212,3)="EIB",D212='UNC - EIB'!$T$2,LEFT(E212,1)="U",'UNC - EIB'!$R$2="usd",TH!O212&lt;&gt;""),"e1",IF(AND(LEFT(C212,3)="EIB",D212='LC - EIB'!$S$2,LEFT(E212,1)="l"),"e2",""))))))</f>
        <v/>
      </c>
    </row>
    <row r="213" spans="1:18" s="57" customFormat="1" ht="18.75" customHeight="1">
      <c r="A213" s="55" t="str">
        <f>IF(AND(C213="pv",E213='UNC - PV'!$S$2,D213='UNC - PV'!$Q$2),"x",IF(AND(LEFT(C213,3)="eib",E213='UNC - EIB'!$V$2,D213='UNC - EIB'!$T$2),"x1",IF(AND(C213="pv",E213='LC - PV'!$R$2,D213='LC - PV'!$P$2),"x2",IF(AND(LEFT(C213,3)="eib",E213='LC - EIB'!$U$2,D213='LC - EIB'!$S$2),"x3",""))))</f>
        <v/>
      </c>
      <c r="B213" s="62">
        <f t="shared" si="12"/>
        <v>210</v>
      </c>
      <c r="C213" s="62" t="s">
        <v>144</v>
      </c>
      <c r="D213" s="67">
        <v>43020</v>
      </c>
      <c r="E213" s="65" t="s">
        <v>23</v>
      </c>
      <c r="F213" s="107" t="s">
        <v>132</v>
      </c>
      <c r="G213" s="71" t="s">
        <v>405</v>
      </c>
      <c r="H213" s="64" t="s">
        <v>163</v>
      </c>
      <c r="I213" s="105" t="s">
        <v>10</v>
      </c>
      <c r="J213" s="56"/>
      <c r="K213" s="67"/>
      <c r="L213" s="65"/>
      <c r="M213" s="65"/>
      <c r="N213" s="64" t="s">
        <v>425</v>
      </c>
      <c r="O213" s="68"/>
      <c r="P213" s="69">
        <f>3973*22690</f>
        <v>90147370</v>
      </c>
      <c r="Q213" s="104"/>
      <c r="R213" s="131" t="str">
        <f>IF(AND(C213="pv",D213='UNC - PV'!$Q$2,LEFT(E213,1)="u",'UNC - PV'!$O$2="vnđ",TH!P213&lt;&gt;""),"p",IF(AND(C213="pv",D213='UNC - PV'!$Q$2,LEFT(E213,1)="u",'UNC - PV'!$O$2="usd",TH!O213&lt;&gt;""),"p1",IF(AND(C213="pv",D213='LC - PV'!$P$2,LEFT(E213,1)="l"),"p2",IF(AND(LEFT(C213,3)="EIB",D213='UNC - EIB'!$T$2,LEFT(E213,1)="u",'UNC - EIB'!$R$2="vnđ",TH!P213&lt;&gt;""),"e",IF(AND(LEFT(C213,3)="EIB",D213='UNC - EIB'!$T$2,LEFT(E213,1)="U",'UNC - EIB'!$R$2="usd",TH!O213&lt;&gt;""),"e1",IF(AND(LEFT(C213,3)="EIB",D213='LC - EIB'!$S$2,LEFT(E213,1)="l"),"e2",""))))))</f>
        <v/>
      </c>
    </row>
    <row r="214" spans="1:18" s="57" customFormat="1" ht="18.75" customHeight="1">
      <c r="A214" s="55" t="str">
        <f>IF(AND(C214="pv",E214='UNC - PV'!$S$2,D214='UNC - PV'!$Q$2),"x",IF(AND(LEFT(C214,3)="eib",E214='UNC - EIB'!$V$2,D214='UNC - EIB'!$T$2),"x1",IF(AND(C214="pv",E214='LC - PV'!$R$2,D214='LC - PV'!$P$2),"x2",IF(AND(LEFT(C214,3)="eib",E214='LC - EIB'!$U$2,D214='LC - EIB'!$S$2),"x3",""))))</f>
        <v/>
      </c>
      <c r="B214" s="62">
        <f t="shared" si="12"/>
        <v>211</v>
      </c>
      <c r="C214" s="62" t="s">
        <v>144</v>
      </c>
      <c r="D214" s="67">
        <v>43020</v>
      </c>
      <c r="E214" s="65" t="s">
        <v>24</v>
      </c>
      <c r="F214" s="107" t="s">
        <v>153</v>
      </c>
      <c r="G214" s="107" t="s">
        <v>154</v>
      </c>
      <c r="H214" s="107" t="s">
        <v>155</v>
      </c>
      <c r="I214" s="110" t="s">
        <v>10</v>
      </c>
      <c r="J214" s="108"/>
      <c r="K214" s="109"/>
      <c r="L214" s="110"/>
      <c r="M214" s="110"/>
      <c r="N214" s="107" t="s">
        <v>156</v>
      </c>
      <c r="O214" s="68"/>
      <c r="P214" s="69">
        <v>69355400</v>
      </c>
      <c r="Q214" s="104"/>
      <c r="R214" s="131" t="str">
        <f>IF(AND(C214="pv",D214='UNC - PV'!$Q$2,LEFT(E214,1)="u",'UNC - PV'!$O$2="vnđ",TH!P214&lt;&gt;""),"p",IF(AND(C214="pv",D214='UNC - PV'!$Q$2,LEFT(E214,1)="u",'UNC - PV'!$O$2="usd",TH!O214&lt;&gt;""),"p1",IF(AND(C214="pv",D214='LC - PV'!$P$2,LEFT(E214,1)="l"),"p2",IF(AND(LEFT(C214,3)="EIB",D214='UNC - EIB'!$T$2,LEFT(E214,1)="u",'UNC - EIB'!$R$2="vnđ",TH!P214&lt;&gt;""),"e",IF(AND(LEFT(C214,3)="EIB",D214='UNC - EIB'!$T$2,LEFT(E214,1)="U",'UNC - EIB'!$R$2="usd",TH!O214&lt;&gt;""),"e1",IF(AND(LEFT(C214,3)="EIB",D214='LC - EIB'!$S$2,LEFT(E214,1)="l"),"e2",""))))))</f>
        <v/>
      </c>
    </row>
    <row r="215" spans="1:18" s="57" customFormat="1" ht="18.75" customHeight="1">
      <c r="A215" s="55" t="str">
        <f>IF(AND(C215="pv",E215='UNC - PV'!$S$2,D215='UNC - PV'!$Q$2),"x",IF(AND(LEFT(C215,3)="eib",E215='UNC - EIB'!$V$2,D215='UNC - EIB'!$T$2),"x1",IF(AND(C215="pv",E215='LC - PV'!$R$2,D215='LC - PV'!$P$2),"x2",IF(AND(LEFT(C215,3)="eib",E215='LC - EIB'!$U$2,D215='LC - EIB'!$S$2),"x3",""))))</f>
        <v/>
      </c>
      <c r="B215" s="62">
        <f t="shared" si="12"/>
        <v>212</v>
      </c>
      <c r="C215" s="62" t="s">
        <v>144</v>
      </c>
      <c r="D215" s="67">
        <v>43027</v>
      </c>
      <c r="E215" s="65" t="s">
        <v>23</v>
      </c>
      <c r="F215" s="107" t="s">
        <v>132</v>
      </c>
      <c r="G215" s="71" t="s">
        <v>405</v>
      </c>
      <c r="H215" s="64" t="s">
        <v>163</v>
      </c>
      <c r="I215" s="105" t="s">
        <v>10</v>
      </c>
      <c r="J215" s="56"/>
      <c r="K215" s="67"/>
      <c r="L215" s="65"/>
      <c r="M215" s="65"/>
      <c r="N215" s="64" t="s">
        <v>426</v>
      </c>
      <c r="O215" s="68"/>
      <c r="P215" s="69">
        <v>1074230300</v>
      </c>
      <c r="Q215" s="104"/>
      <c r="R215" s="131" t="str">
        <f>IF(AND(C215="pv",D215='UNC - PV'!$Q$2,LEFT(E215,1)="u",'UNC - PV'!$O$2="vnđ",TH!P215&lt;&gt;""),"p",IF(AND(C215="pv",D215='UNC - PV'!$Q$2,LEFT(E215,1)="u",'UNC - PV'!$O$2="usd",TH!O215&lt;&gt;""),"p1",IF(AND(C215="pv",D215='LC - PV'!$P$2,LEFT(E215,1)="l"),"p2",IF(AND(LEFT(C215,3)="EIB",D215='UNC - EIB'!$T$2,LEFT(E215,1)="u",'UNC - EIB'!$R$2="vnđ",TH!P215&lt;&gt;""),"e",IF(AND(LEFT(C215,3)="EIB",D215='UNC - EIB'!$T$2,LEFT(E215,1)="U",'UNC - EIB'!$R$2="usd",TH!O215&lt;&gt;""),"e1",IF(AND(LEFT(C215,3)="EIB",D215='LC - EIB'!$S$2,LEFT(E215,1)="l"),"e2",""))))))</f>
        <v/>
      </c>
    </row>
    <row r="216" spans="1:18" s="57" customFormat="1" ht="18.75" customHeight="1">
      <c r="A216" s="55" t="str">
        <f>IF(AND(C216="pv",E216='UNC - PV'!$S$2,D216='UNC - PV'!$Q$2),"x",IF(AND(LEFT(C216,3)="eib",E216='UNC - EIB'!$V$2,D216='UNC - EIB'!$T$2),"x1",IF(AND(C216="pv",E216='LC - PV'!$R$2,D216='LC - PV'!$P$2),"x2",IF(AND(LEFT(C216,3)="eib",E216='LC - EIB'!$U$2,D216='LC - EIB'!$S$2),"x3",""))))</f>
        <v/>
      </c>
      <c r="B216" s="62">
        <f t="shared" si="12"/>
        <v>213</v>
      </c>
      <c r="C216" s="62" t="s">
        <v>144</v>
      </c>
      <c r="D216" s="67">
        <v>43028</v>
      </c>
      <c r="E216" s="65" t="s">
        <v>23</v>
      </c>
      <c r="F216" s="107" t="s">
        <v>133</v>
      </c>
      <c r="G216" s="114" t="s">
        <v>428</v>
      </c>
      <c r="H216" s="107" t="s">
        <v>427</v>
      </c>
      <c r="I216" s="105" t="s">
        <v>10</v>
      </c>
      <c r="J216" s="66"/>
      <c r="K216" s="67"/>
      <c r="L216" s="65"/>
      <c r="M216" s="65"/>
      <c r="N216" s="107" t="s">
        <v>334</v>
      </c>
      <c r="O216" s="68"/>
      <c r="P216" s="69">
        <v>55000000</v>
      </c>
      <c r="Q216" s="104"/>
      <c r="R216" s="131" t="str">
        <f>IF(AND(C216="pv",D216='UNC - PV'!$Q$2,LEFT(E216,1)="u",'UNC - PV'!$O$2="vnđ",TH!P216&lt;&gt;""),"p",IF(AND(C216="pv",D216='UNC - PV'!$Q$2,LEFT(E216,1)="u",'UNC - PV'!$O$2="usd",TH!O216&lt;&gt;""),"p1",IF(AND(C216="pv",D216='LC - PV'!$P$2,LEFT(E216,1)="l"),"p2",IF(AND(LEFT(C216,3)="EIB",D216='UNC - EIB'!$T$2,LEFT(E216,1)="u",'UNC - EIB'!$R$2="vnđ",TH!P216&lt;&gt;""),"e",IF(AND(LEFT(C216,3)="EIB",D216='UNC - EIB'!$T$2,LEFT(E216,1)="U",'UNC - EIB'!$R$2="usd",TH!O216&lt;&gt;""),"e1",IF(AND(LEFT(C216,3)="EIB",D216='LC - EIB'!$S$2,LEFT(E216,1)="l"),"e2",""))))))</f>
        <v/>
      </c>
    </row>
    <row r="217" spans="1:18" s="57" customFormat="1" ht="18.75" customHeight="1">
      <c r="A217" s="55" t="str">
        <f>IF(AND(C217="pv",E217='UNC - PV'!$S$2,D217='UNC - PV'!$Q$2),"x",IF(AND(LEFT(C217,3)="eib",E217='UNC - EIB'!$V$2,D217='UNC - EIB'!$T$2),"x1",IF(AND(C217="pv",E217='LC - PV'!$R$2,D217='LC - PV'!$P$2),"x2",IF(AND(LEFT(C217,3)="eib",E217='LC - EIB'!$U$2,D217='LC - EIB'!$S$2),"x3",""))))</f>
        <v/>
      </c>
      <c r="B217" s="62">
        <f t="shared" si="12"/>
        <v>214</v>
      </c>
      <c r="C217" s="62" t="s">
        <v>144</v>
      </c>
      <c r="D217" s="67">
        <v>43028</v>
      </c>
      <c r="E217" s="65" t="s">
        <v>24</v>
      </c>
      <c r="F217" s="125" t="s">
        <v>263</v>
      </c>
      <c r="G217" s="125" t="s">
        <v>264</v>
      </c>
      <c r="H217" s="125" t="s">
        <v>265</v>
      </c>
      <c r="I217" s="124" t="s">
        <v>10</v>
      </c>
      <c r="J217" s="126"/>
      <c r="K217" s="123"/>
      <c r="L217" s="124"/>
      <c r="M217" s="124"/>
      <c r="N217" s="125" t="s">
        <v>266</v>
      </c>
      <c r="O217" s="68"/>
      <c r="P217" s="69">
        <v>42439320</v>
      </c>
      <c r="Q217" s="104"/>
      <c r="R217" s="131" t="str">
        <f>IF(AND(C217="pv",D217='UNC - PV'!$Q$2,LEFT(E217,1)="u",'UNC - PV'!$O$2="vnđ",TH!P217&lt;&gt;""),"p",IF(AND(C217="pv",D217='UNC - PV'!$Q$2,LEFT(E217,1)="u",'UNC - PV'!$O$2="usd",TH!O217&lt;&gt;""),"p1",IF(AND(C217="pv",D217='LC - PV'!$P$2,LEFT(E217,1)="l"),"p2",IF(AND(LEFT(C217,3)="EIB",D217='UNC - EIB'!$T$2,LEFT(E217,1)="u",'UNC - EIB'!$R$2="vnđ",TH!P217&lt;&gt;""),"e",IF(AND(LEFT(C217,3)="EIB",D217='UNC - EIB'!$T$2,LEFT(E217,1)="U",'UNC - EIB'!$R$2="usd",TH!O217&lt;&gt;""),"e1",IF(AND(LEFT(C217,3)="EIB",D217='LC - EIB'!$S$2,LEFT(E217,1)="l"),"e2",""))))))</f>
        <v/>
      </c>
    </row>
    <row r="218" spans="1:18" s="57" customFormat="1" ht="18.75" customHeight="1">
      <c r="A218" s="55" t="str">
        <f>IF(AND(C218="pv",E218='UNC - PV'!$S$2,D218='UNC - PV'!$Q$2),"x",IF(AND(LEFT(C218,3)="eib",E218='UNC - EIB'!$V$2,D218='UNC - EIB'!$T$2),"x1",IF(AND(C218="pv",E218='LC - PV'!$R$2,D218='LC - PV'!$P$2),"x2",IF(AND(LEFT(C218,3)="eib",E218='LC - EIB'!$U$2,D218='LC - EIB'!$S$2),"x3",""))))</f>
        <v/>
      </c>
      <c r="B218" s="62">
        <f t="shared" si="12"/>
        <v>215</v>
      </c>
      <c r="C218" s="62" t="s">
        <v>144</v>
      </c>
      <c r="D218" s="67">
        <v>43028</v>
      </c>
      <c r="E218" s="65" t="s">
        <v>25</v>
      </c>
      <c r="F218" s="64" t="s">
        <v>314</v>
      </c>
      <c r="G218" s="71" t="s">
        <v>462</v>
      </c>
      <c r="H218" s="64" t="s">
        <v>316</v>
      </c>
      <c r="I218" s="62" t="s">
        <v>10</v>
      </c>
      <c r="J218" s="66"/>
      <c r="K218" s="67"/>
      <c r="L218" s="65"/>
      <c r="M218" s="65"/>
      <c r="N218" s="64" t="s">
        <v>317</v>
      </c>
      <c r="O218" s="68"/>
      <c r="P218" s="69">
        <v>90000000</v>
      </c>
      <c r="Q218" s="104"/>
      <c r="R218" s="131" t="str">
        <f>IF(AND(C218="pv",D218='UNC - PV'!$Q$2,LEFT(E218,1)="u",'UNC - PV'!$O$2="vnđ",TH!P218&lt;&gt;""),"p",IF(AND(C218="pv",D218='UNC - PV'!$Q$2,LEFT(E218,1)="u",'UNC - PV'!$O$2="usd",TH!O218&lt;&gt;""),"p1",IF(AND(C218="pv",D218='LC - PV'!$P$2,LEFT(E218,1)="l"),"p2",IF(AND(LEFT(C218,3)="EIB",D218='UNC - EIB'!$T$2,LEFT(E218,1)="u",'UNC - EIB'!$R$2="vnđ",TH!P218&lt;&gt;""),"e",IF(AND(LEFT(C218,3)="EIB",D218='UNC - EIB'!$T$2,LEFT(E218,1)="U",'UNC - EIB'!$R$2="usd",TH!O218&lt;&gt;""),"e1",IF(AND(LEFT(C218,3)="EIB",D218='LC - EIB'!$S$2,LEFT(E218,1)="l"),"e2",""))))))</f>
        <v/>
      </c>
    </row>
    <row r="219" spans="1:18" s="57" customFormat="1" ht="18.75" customHeight="1">
      <c r="A219" s="55" t="str">
        <f>IF(AND(C219="pv",E219='UNC - PV'!$S$2,D219='UNC - PV'!$Q$2),"x",IF(AND(LEFT(C219,3)="eib",E219='UNC - EIB'!$V$2,D219='UNC - EIB'!$T$2),"x1",IF(AND(C219="pv",E219='LC - PV'!$R$2,D219='LC - PV'!$P$2),"x2",IF(AND(LEFT(C219,3)="eib",E219='LC - EIB'!$U$2,D219='LC - EIB'!$S$2),"x3",""))))</f>
        <v/>
      </c>
      <c r="B219" s="62">
        <f t="shared" si="12"/>
        <v>216</v>
      </c>
      <c r="C219" s="62" t="s">
        <v>144</v>
      </c>
      <c r="D219" s="67">
        <v>43028</v>
      </c>
      <c r="E219" s="65" t="s">
        <v>26</v>
      </c>
      <c r="F219" s="64" t="s">
        <v>381</v>
      </c>
      <c r="G219" s="71" t="s">
        <v>447</v>
      </c>
      <c r="H219" s="64" t="s">
        <v>383</v>
      </c>
      <c r="I219" s="65" t="s">
        <v>35</v>
      </c>
      <c r="J219" s="66"/>
      <c r="K219" s="67"/>
      <c r="L219" s="65"/>
      <c r="M219" s="65"/>
      <c r="N219" s="64" t="s">
        <v>384</v>
      </c>
      <c r="O219" s="68"/>
      <c r="P219" s="69">
        <v>102204753</v>
      </c>
      <c r="Q219" s="104"/>
      <c r="R219" s="131" t="str">
        <f>IF(AND(C219="pv",D219='UNC - PV'!$Q$2,LEFT(E219,1)="u",'UNC - PV'!$O$2="vnđ",TH!P219&lt;&gt;""),"p",IF(AND(C219="pv",D219='UNC - PV'!$Q$2,LEFT(E219,1)="u",'UNC - PV'!$O$2="usd",TH!O219&lt;&gt;""),"p1",IF(AND(C219="pv",D219='LC - PV'!$P$2,LEFT(E219,1)="l"),"p2",IF(AND(LEFT(C219,3)="EIB",D219='UNC - EIB'!$T$2,LEFT(E219,1)="u",'UNC - EIB'!$R$2="vnđ",TH!P219&lt;&gt;""),"e",IF(AND(LEFT(C219,3)="EIB",D219='UNC - EIB'!$T$2,LEFT(E219,1)="U",'UNC - EIB'!$R$2="usd",TH!O219&lt;&gt;""),"e1",IF(AND(LEFT(C219,3)="EIB",D219='LC - EIB'!$S$2,LEFT(E219,1)="l"),"e2",""))))))</f>
        <v/>
      </c>
    </row>
    <row r="220" spans="1:18" s="57" customFormat="1" ht="18.75" customHeight="1">
      <c r="A220" s="55" t="str">
        <f>IF(AND(C220="pv",E220='UNC - PV'!$S$2,D220='UNC - PV'!$Q$2),"x",IF(AND(LEFT(C220,3)="eib",E220='UNC - EIB'!$V$2,D220='UNC - EIB'!$T$2),"x1",IF(AND(C220="pv",E220='LC - PV'!$R$2,D220='LC - PV'!$P$2),"x2",IF(AND(LEFT(C220,3)="eib",E220='LC - EIB'!$U$2,D220='LC - EIB'!$S$2),"x3",""))))</f>
        <v/>
      </c>
      <c r="B220" s="62">
        <f t="shared" ref="B220:B228" si="15">IF(C220&lt;&gt;"",ROW()-3,"")</f>
        <v>217</v>
      </c>
      <c r="C220" s="62" t="s">
        <v>144</v>
      </c>
      <c r="D220" s="67">
        <v>43031</v>
      </c>
      <c r="E220" s="65" t="s">
        <v>23</v>
      </c>
      <c r="F220" s="107" t="s">
        <v>132</v>
      </c>
      <c r="G220" s="107" t="s">
        <v>261</v>
      </c>
      <c r="H220" s="107" t="s">
        <v>130</v>
      </c>
      <c r="I220" s="105" t="s">
        <v>10</v>
      </c>
      <c r="J220" s="66"/>
      <c r="K220" s="67"/>
      <c r="L220" s="65"/>
      <c r="M220" s="65"/>
      <c r="N220" s="64" t="s">
        <v>399</v>
      </c>
      <c r="O220" s="68">
        <v>256500</v>
      </c>
      <c r="P220" s="69"/>
      <c r="Q220" s="104"/>
      <c r="R220" s="131" t="str">
        <f>IF(AND(C220="pv",D220='UNC - PV'!$Q$2,LEFT(E220,1)="u",'UNC - PV'!$O$2="vnđ",TH!P220&lt;&gt;""),"p",IF(AND(C220="pv",D220='UNC - PV'!$Q$2,LEFT(E220,1)="u",'UNC - PV'!$O$2="usd",TH!O220&lt;&gt;""),"p1",IF(AND(C220="pv",D220='LC - PV'!$P$2,LEFT(E220,1)="l"),"p2",IF(AND(LEFT(C220,3)="EIB",D220='UNC - EIB'!$T$2,LEFT(E220,1)="u",'UNC - EIB'!$R$2="vnđ",TH!P220&lt;&gt;""),"e",IF(AND(LEFT(C220,3)="EIB",D220='UNC - EIB'!$T$2,LEFT(E220,1)="U",'UNC - EIB'!$R$2="usd",TH!O220&lt;&gt;""),"e1",IF(AND(LEFT(C220,3)="EIB",D220='LC - EIB'!$S$2,LEFT(E220,1)="l"),"e2",""))))))</f>
        <v/>
      </c>
    </row>
    <row r="221" spans="1:18" s="57" customFormat="1" ht="18.75" customHeight="1">
      <c r="A221" s="55" t="str">
        <f>IF(AND(C221="pv",E221='UNC - PV'!$S$2,D221='UNC - PV'!$Q$2),"x",IF(AND(LEFT(C221,3)="eib",E221='UNC - EIB'!$V$2,D221='UNC - EIB'!$T$2),"x1",IF(AND(C221="pv",E221='LC - PV'!$R$2,D221='LC - PV'!$P$2),"x2",IF(AND(LEFT(C221,3)="eib",E221='LC - EIB'!$U$2,D221='LC - EIB'!$S$2),"x3",""))))</f>
        <v/>
      </c>
      <c r="B221" s="62">
        <f t="shared" si="15"/>
        <v>218</v>
      </c>
      <c r="C221" s="62" t="s">
        <v>144</v>
      </c>
      <c r="D221" s="67">
        <v>43031</v>
      </c>
      <c r="E221" s="65" t="s">
        <v>24</v>
      </c>
      <c r="F221" s="107" t="s">
        <v>132</v>
      </c>
      <c r="G221" s="71" t="s">
        <v>397</v>
      </c>
      <c r="H221" s="64" t="s">
        <v>398</v>
      </c>
      <c r="I221" s="105" t="s">
        <v>10</v>
      </c>
      <c r="J221" s="66"/>
      <c r="K221" s="67"/>
      <c r="L221" s="65"/>
      <c r="M221" s="65"/>
      <c r="N221" s="64" t="s">
        <v>399</v>
      </c>
      <c r="O221" s="68">
        <v>3500</v>
      </c>
      <c r="P221" s="69"/>
      <c r="Q221" s="104"/>
      <c r="R221" s="131" t="str">
        <f>IF(AND(C221="pv",D221='UNC - PV'!$Q$2,LEFT(E221,1)="u",'UNC - PV'!$O$2="vnđ",TH!P221&lt;&gt;""),"p",IF(AND(C221="pv",D221='UNC - PV'!$Q$2,LEFT(E221,1)="u",'UNC - PV'!$O$2="usd",TH!O221&lt;&gt;""),"p1",IF(AND(C221="pv",D221='LC - PV'!$P$2,LEFT(E221,1)="l"),"p2",IF(AND(LEFT(C221,3)="EIB",D221='UNC - EIB'!$T$2,LEFT(E221,1)="u",'UNC - EIB'!$R$2="vnđ",TH!P221&lt;&gt;""),"e",IF(AND(LEFT(C221,3)="EIB",D221='UNC - EIB'!$T$2,LEFT(E221,1)="U",'UNC - EIB'!$R$2="usd",TH!O221&lt;&gt;""),"e1",IF(AND(LEFT(C221,3)="EIB",D221='LC - EIB'!$S$2,LEFT(E221,1)="l"),"e2",""))))))</f>
        <v/>
      </c>
    </row>
    <row r="222" spans="1:18" s="57" customFormat="1" ht="18.75" customHeight="1">
      <c r="A222" s="55" t="str">
        <f>IF(AND(C222="pv",E222='UNC - PV'!$S$2,D222='UNC - PV'!$Q$2),"x",IF(AND(LEFT(C222,3)="eib",E222='UNC - EIB'!$V$2,D222='UNC - EIB'!$T$2),"x1",IF(AND(C222="pv",E222='LC - PV'!$R$2,D222='LC - PV'!$P$2),"x2",IF(AND(LEFT(C222,3)="eib",E222='LC - EIB'!$U$2,D222='LC - EIB'!$S$2),"x3",""))))</f>
        <v/>
      </c>
      <c r="B222" s="62">
        <f t="shared" si="15"/>
        <v>219</v>
      </c>
      <c r="C222" s="62" t="s">
        <v>128</v>
      </c>
      <c r="D222" s="67">
        <v>43031</v>
      </c>
      <c r="E222" s="65" t="s">
        <v>25</v>
      </c>
      <c r="F222" s="107" t="s">
        <v>132</v>
      </c>
      <c r="G222" s="107" t="s">
        <v>131</v>
      </c>
      <c r="H222" s="107" t="s">
        <v>130</v>
      </c>
      <c r="I222" s="105" t="s">
        <v>10</v>
      </c>
      <c r="J222" s="108"/>
      <c r="K222" s="67"/>
      <c r="L222" s="65"/>
      <c r="M222" s="65"/>
      <c r="N222" s="64" t="s">
        <v>129</v>
      </c>
      <c r="O222" s="68">
        <v>256500</v>
      </c>
      <c r="P222" s="69"/>
      <c r="Q222" s="104"/>
      <c r="R222" s="131" t="str">
        <f>IF(AND(C222="pv",D222='UNC - PV'!$Q$2,LEFT(E222,1)="u",'UNC - PV'!$O$2="vnđ",TH!P222&lt;&gt;""),"p",IF(AND(C222="pv",D222='UNC - PV'!$Q$2,LEFT(E222,1)="u",'UNC - PV'!$O$2="usd",TH!O222&lt;&gt;""),"p1",IF(AND(C222="pv",D222='LC - PV'!$P$2,LEFT(E222,1)="l"),"p2",IF(AND(LEFT(C222,3)="EIB",D222='UNC - EIB'!$T$2,LEFT(E222,1)="u",'UNC - EIB'!$R$2="vnđ",TH!P222&lt;&gt;""),"e",IF(AND(LEFT(C222,3)="EIB",D222='UNC - EIB'!$T$2,LEFT(E222,1)="U",'UNC - EIB'!$R$2="usd",TH!O222&lt;&gt;""),"e1",IF(AND(LEFT(C222,3)="EIB",D222='LC - EIB'!$S$2,LEFT(E222,1)="l"),"e2",""))))))</f>
        <v/>
      </c>
    </row>
    <row r="223" spans="1:18" s="57" customFormat="1" ht="18.75" customHeight="1">
      <c r="A223" s="55" t="str">
        <f>IF(AND(C223="pv",E223='UNC - PV'!$S$2,D223='UNC - PV'!$Q$2),"x",IF(AND(LEFT(C223,3)="eib",E223='UNC - EIB'!$V$2,D223='UNC - EIB'!$T$2),"x1",IF(AND(C223="pv",E223='LC - PV'!$R$2,D223='LC - PV'!$P$2),"x2",IF(AND(LEFT(C223,3)="eib",E223='LC - EIB'!$U$2,D223='LC - EIB'!$S$2),"x3",""))))</f>
        <v/>
      </c>
      <c r="B223" s="62">
        <f t="shared" si="15"/>
        <v>220</v>
      </c>
      <c r="C223" s="62" t="s">
        <v>128</v>
      </c>
      <c r="D223" s="67">
        <v>43031</v>
      </c>
      <c r="E223" s="65" t="s">
        <v>26</v>
      </c>
      <c r="F223" s="107" t="s">
        <v>133</v>
      </c>
      <c r="G223" s="107" t="s">
        <v>134</v>
      </c>
      <c r="H223" s="107" t="s">
        <v>130</v>
      </c>
      <c r="I223" s="105" t="s">
        <v>10</v>
      </c>
      <c r="J223" s="66"/>
      <c r="K223" s="67"/>
      <c r="L223" s="65"/>
      <c r="M223" s="65"/>
      <c r="N223" s="107" t="s">
        <v>334</v>
      </c>
      <c r="O223" s="68"/>
      <c r="P223" s="69">
        <v>5820000000</v>
      </c>
      <c r="Q223" s="104"/>
      <c r="R223" s="131" t="str">
        <f>IF(AND(C223="pv",D223='UNC - PV'!$Q$2,LEFT(E223,1)="u",'UNC - PV'!$O$2="vnđ",TH!P223&lt;&gt;""),"p",IF(AND(C223="pv",D223='UNC - PV'!$Q$2,LEFT(E223,1)="u",'UNC - PV'!$O$2="usd",TH!O223&lt;&gt;""),"p1",IF(AND(C223="pv",D223='LC - PV'!$P$2,LEFT(E223,1)="l"),"p2",IF(AND(LEFT(C223,3)="EIB",D223='UNC - EIB'!$T$2,LEFT(E223,1)="u",'UNC - EIB'!$R$2="vnđ",TH!P223&lt;&gt;""),"e",IF(AND(LEFT(C223,3)="EIB",D223='UNC - EIB'!$T$2,LEFT(E223,1)="U",'UNC - EIB'!$R$2="usd",TH!O223&lt;&gt;""),"e1",IF(AND(LEFT(C223,3)="EIB",D223='LC - EIB'!$S$2,LEFT(E223,1)="l"),"e2",""))))))</f>
        <v/>
      </c>
    </row>
    <row r="224" spans="1:18" s="57" customFormat="1" ht="18.75" customHeight="1">
      <c r="A224" s="55" t="str">
        <f>IF(AND(C224="pv",E224='UNC - PV'!$S$2,D224='UNC - PV'!$Q$2),"x",IF(AND(LEFT(C224,3)="eib",E224='UNC - EIB'!$V$2,D224='UNC - EIB'!$T$2),"x1",IF(AND(C224="pv",E224='LC - PV'!$R$2,D224='LC - PV'!$P$2),"x2",IF(AND(LEFT(C224,3)="eib",E224='LC - EIB'!$U$2,D224='LC - EIB'!$S$2),"x3",""))))</f>
        <v/>
      </c>
      <c r="B224" s="62">
        <f t="shared" si="15"/>
        <v>221</v>
      </c>
      <c r="C224" s="62" t="s">
        <v>144</v>
      </c>
      <c r="D224" s="67">
        <v>43031</v>
      </c>
      <c r="E224" s="65" t="s">
        <v>84</v>
      </c>
      <c r="F224" s="107" t="s">
        <v>132</v>
      </c>
      <c r="G224" s="71" t="s">
        <v>405</v>
      </c>
      <c r="H224" s="64" t="s">
        <v>163</v>
      </c>
      <c r="I224" s="105" t="s">
        <v>10</v>
      </c>
      <c r="J224" s="56"/>
      <c r="K224" s="67"/>
      <c r="L224" s="65"/>
      <c r="M224" s="65"/>
      <c r="N224" s="64" t="s">
        <v>429</v>
      </c>
      <c r="O224" s="68"/>
      <c r="P224" s="69">
        <v>4154207700</v>
      </c>
      <c r="Q224" s="104"/>
      <c r="R224" s="131" t="str">
        <f>IF(AND(C224="pv",D224='UNC - PV'!$Q$2,LEFT(E224,1)="u",'UNC - PV'!$O$2="vnđ",TH!P224&lt;&gt;""),"p",IF(AND(C224="pv",D224='UNC - PV'!$Q$2,LEFT(E224,1)="u",'UNC - PV'!$O$2="usd",TH!O224&lt;&gt;""),"p1",IF(AND(C224="pv",D224='LC - PV'!$P$2,LEFT(E224,1)="l"),"p2",IF(AND(LEFT(C224,3)="EIB",D224='UNC - EIB'!$T$2,LEFT(E224,1)="u",'UNC - EIB'!$R$2="vnđ",TH!P224&lt;&gt;""),"e",IF(AND(LEFT(C224,3)="EIB",D224='UNC - EIB'!$T$2,LEFT(E224,1)="U",'UNC - EIB'!$R$2="usd",TH!O224&lt;&gt;""),"e1",IF(AND(LEFT(C224,3)="EIB",D224='LC - EIB'!$S$2,LEFT(E224,1)="l"),"e2",""))))))</f>
        <v/>
      </c>
    </row>
    <row r="225" spans="1:18" s="57" customFormat="1" ht="18.75" customHeight="1">
      <c r="A225" s="55" t="str">
        <f>IF(AND(C225="pv",E225='UNC - PV'!$S$2,D225='UNC - PV'!$Q$2),"x",IF(AND(LEFT(C225,3)="eib",E225='UNC - EIB'!$V$2,D225='UNC - EIB'!$T$2),"x1",IF(AND(C225="pv",E225='LC - PV'!$R$2,D225='LC - PV'!$P$2),"x2",IF(AND(LEFT(C225,3)="eib",E225='LC - EIB'!$U$2,D225='LC - EIB'!$S$2),"x3",""))))</f>
        <v/>
      </c>
      <c r="B225" s="62">
        <f t="shared" si="15"/>
        <v>222</v>
      </c>
      <c r="C225" s="62" t="s">
        <v>144</v>
      </c>
      <c r="D225" s="67">
        <v>43032</v>
      </c>
      <c r="E225" s="65" t="s">
        <v>26</v>
      </c>
      <c r="F225" s="64" t="s">
        <v>370</v>
      </c>
      <c r="G225" s="71" t="s">
        <v>407</v>
      </c>
      <c r="H225" s="64" t="s">
        <v>372</v>
      </c>
      <c r="I225" s="105" t="s">
        <v>10</v>
      </c>
      <c r="J225" s="66"/>
      <c r="K225" s="67"/>
      <c r="L225" s="65"/>
      <c r="M225" s="65"/>
      <c r="N225" s="64" t="s">
        <v>373</v>
      </c>
      <c r="O225" s="68"/>
      <c r="P225" s="69">
        <v>400000000</v>
      </c>
      <c r="Q225" s="104"/>
      <c r="R225" s="131" t="str">
        <f>IF(AND(C225="pv",D225='UNC - PV'!$Q$2,LEFT(E225,1)="u",'UNC - PV'!$O$2="vnđ",TH!P225&lt;&gt;""),"p",IF(AND(C225="pv",D225='UNC - PV'!$Q$2,LEFT(E225,1)="u",'UNC - PV'!$O$2="usd",TH!O225&lt;&gt;""),"p1",IF(AND(C225="pv",D225='LC - PV'!$P$2,LEFT(E225,1)="l"),"p2",IF(AND(LEFT(C225,3)="EIB",D225='UNC - EIB'!$T$2,LEFT(E225,1)="u",'UNC - EIB'!$R$2="vnđ",TH!P225&lt;&gt;""),"e",IF(AND(LEFT(C225,3)="EIB",D225='UNC - EIB'!$T$2,LEFT(E225,1)="U",'UNC - EIB'!$R$2="usd",TH!O225&lt;&gt;""),"e1",IF(AND(LEFT(C225,3)="EIB",D225='LC - EIB'!$S$2,LEFT(E225,1)="l"),"e2",""))))))</f>
        <v/>
      </c>
    </row>
    <row r="226" spans="1:18" s="57" customFormat="1" ht="18.75" customHeight="1">
      <c r="A226" s="55" t="str">
        <f>IF(AND(C226="pv",E226='UNC - PV'!$S$2,D226='UNC - PV'!$Q$2),"x",IF(AND(LEFT(C226,3)="eib",E226='UNC - EIB'!$V$2,D226='UNC - EIB'!$T$2),"x1",IF(AND(C226="pv",E226='LC - PV'!$R$2,D226='LC - PV'!$P$2),"x2",IF(AND(LEFT(C226,3)="eib",E226='LC - EIB'!$U$2,D226='LC - EIB'!$S$2),"x3",""))))</f>
        <v/>
      </c>
      <c r="B226" s="62">
        <f t="shared" si="15"/>
        <v>223</v>
      </c>
      <c r="C226" s="62" t="s">
        <v>144</v>
      </c>
      <c r="D226" s="67">
        <v>43032</v>
      </c>
      <c r="E226" s="65" t="s">
        <v>23</v>
      </c>
      <c r="F226" s="64" t="s">
        <v>330</v>
      </c>
      <c r="G226" s="71" t="s">
        <v>441</v>
      </c>
      <c r="H226" s="64" t="s">
        <v>332</v>
      </c>
      <c r="I226" s="65" t="s">
        <v>333</v>
      </c>
      <c r="J226" s="66"/>
      <c r="K226" s="67"/>
      <c r="L226" s="65"/>
      <c r="M226" s="65"/>
      <c r="N226" s="64" t="s">
        <v>334</v>
      </c>
      <c r="O226" s="68"/>
      <c r="P226" s="69">
        <v>4400162000</v>
      </c>
      <c r="Q226" s="104"/>
      <c r="R226" s="131" t="str">
        <f>IF(AND(C226="pv",D226='UNC - PV'!$Q$2,LEFT(E226,1)="u",'UNC - PV'!$O$2="vnđ",TH!P226&lt;&gt;""),"p",IF(AND(C226="pv",D226='UNC - PV'!$Q$2,LEFT(E226,1)="u",'UNC - PV'!$O$2="usd",TH!O226&lt;&gt;""),"p1",IF(AND(C226="pv",D226='LC - PV'!$P$2,LEFT(E226,1)="l"),"p2",IF(AND(LEFT(C226,3)="EIB",D226='UNC - EIB'!$T$2,LEFT(E226,1)="u",'UNC - EIB'!$R$2="vnđ",TH!P226&lt;&gt;""),"e",IF(AND(LEFT(C226,3)="EIB",D226='UNC - EIB'!$T$2,LEFT(E226,1)="U",'UNC - EIB'!$R$2="usd",TH!O226&lt;&gt;""),"e1",IF(AND(LEFT(C226,3)="EIB",D226='LC - EIB'!$S$2,LEFT(E226,1)="l"),"e2",""))))))</f>
        <v/>
      </c>
    </row>
    <row r="227" spans="1:18" s="57" customFormat="1" ht="18.75" customHeight="1">
      <c r="A227" s="55" t="str">
        <f>IF(AND(C227="pv",E227='UNC - PV'!$S$2,D227='UNC - PV'!$Q$2),"x",IF(AND(LEFT(C227,3)="eib",E227='UNC - EIB'!$V$2,D227='UNC - EIB'!$T$2),"x1",IF(AND(C227="pv",E227='LC - PV'!$R$2,D227='LC - PV'!$P$2),"x2",IF(AND(LEFT(C227,3)="eib",E227='LC - EIB'!$U$2,D227='LC - EIB'!$S$2),"x3",""))))</f>
        <v/>
      </c>
      <c r="B227" s="62">
        <f t="shared" si="15"/>
        <v>224</v>
      </c>
      <c r="C227" s="62" t="s">
        <v>144</v>
      </c>
      <c r="D227" s="67">
        <v>43033</v>
      </c>
      <c r="E227" s="65" t="s">
        <v>23</v>
      </c>
      <c r="F227" s="70" t="s">
        <v>4</v>
      </c>
      <c r="G227" s="70" t="s">
        <v>5</v>
      </c>
      <c r="H227" s="70" t="s">
        <v>6</v>
      </c>
      <c r="I227" s="105" t="s">
        <v>10</v>
      </c>
      <c r="J227" s="66"/>
      <c r="K227" s="67"/>
      <c r="L227" s="65"/>
      <c r="M227" s="65"/>
      <c r="N227" s="70" t="s">
        <v>430</v>
      </c>
      <c r="O227" s="68"/>
      <c r="P227" s="69">
        <v>18540913</v>
      </c>
      <c r="Q227" s="104"/>
      <c r="R227" s="131" t="str">
        <f>IF(AND(C227="pv",D227='UNC - PV'!$Q$2,LEFT(E227,1)="u",'UNC - PV'!$O$2="vnđ",TH!P227&lt;&gt;""),"p",IF(AND(C227="pv",D227='UNC - PV'!$Q$2,LEFT(E227,1)="u",'UNC - PV'!$O$2="usd",TH!O227&lt;&gt;""),"p1",IF(AND(C227="pv",D227='LC - PV'!$P$2,LEFT(E227,1)="l"),"p2",IF(AND(LEFT(C227,3)="EIB",D227='UNC - EIB'!$T$2,LEFT(E227,1)="u",'UNC - EIB'!$R$2="vnđ",TH!P227&lt;&gt;""),"e",IF(AND(LEFT(C227,3)="EIB",D227='UNC - EIB'!$T$2,LEFT(E227,1)="U",'UNC - EIB'!$R$2="usd",TH!O227&lt;&gt;""),"e1",IF(AND(LEFT(C227,3)="EIB",D227='LC - EIB'!$S$2,LEFT(E227,1)="l"),"e2",""))))))</f>
        <v/>
      </c>
    </row>
    <row r="228" spans="1:18" s="57" customFormat="1" ht="18.75" customHeight="1">
      <c r="A228" s="55" t="str">
        <f>IF(AND(C228="pv",E228='UNC - PV'!$S$2,D228='UNC - PV'!$Q$2),"x",IF(AND(LEFT(C228,3)="eib",E228='UNC - EIB'!$V$2,D228='UNC - EIB'!$T$2),"x1",IF(AND(C228="pv",E228='LC - PV'!$R$2,D228='LC - PV'!$P$2),"x2",IF(AND(LEFT(C228,3)="eib",E228='LC - EIB'!$U$2,D228='LC - EIB'!$S$2),"x3",""))))</f>
        <v/>
      </c>
      <c r="B228" s="62">
        <f t="shared" si="15"/>
        <v>225</v>
      </c>
      <c r="C228" s="62" t="s">
        <v>144</v>
      </c>
      <c r="D228" s="67">
        <v>43034</v>
      </c>
      <c r="E228" s="65" t="s">
        <v>23</v>
      </c>
      <c r="F228" s="107" t="s">
        <v>132</v>
      </c>
      <c r="G228" s="71" t="s">
        <v>405</v>
      </c>
      <c r="H228" s="64" t="s">
        <v>163</v>
      </c>
      <c r="I228" s="105" t="s">
        <v>10</v>
      </c>
      <c r="J228" s="56"/>
      <c r="K228" s="67"/>
      <c r="L228" s="65"/>
      <c r="M228" s="65"/>
      <c r="N228" s="64" t="s">
        <v>429</v>
      </c>
      <c r="O228" s="68"/>
      <c r="P228" s="69">
        <v>237656421</v>
      </c>
      <c r="Q228" s="104"/>
      <c r="R228" s="131" t="str">
        <f>IF(AND(C228="pv",D228='UNC - PV'!$Q$2,LEFT(E228,1)="u",'UNC - PV'!$O$2="vnđ",TH!P228&lt;&gt;""),"p",IF(AND(C228="pv",D228='UNC - PV'!$Q$2,LEFT(E228,1)="u",'UNC - PV'!$O$2="usd",TH!O228&lt;&gt;""),"p1",IF(AND(C228="pv",D228='LC - PV'!$P$2,LEFT(E228,1)="l"),"p2",IF(AND(LEFT(C228,3)="EIB",D228='UNC - EIB'!$T$2,LEFT(E228,1)="u",'UNC - EIB'!$R$2="vnđ",TH!P228&lt;&gt;""),"e",IF(AND(LEFT(C228,3)="EIB",D228='UNC - EIB'!$T$2,LEFT(E228,1)="U",'UNC - EIB'!$R$2="usd",TH!O228&lt;&gt;""),"e1",IF(AND(LEFT(C228,3)="EIB",D228='LC - EIB'!$S$2,LEFT(E228,1)="l"),"e2",""))))))</f>
        <v/>
      </c>
    </row>
    <row r="229" spans="1:18" s="57" customFormat="1" ht="18.75" customHeight="1">
      <c r="A229" s="55" t="str">
        <f>IF(AND(C229="pv",E229='UNC - PV'!$S$2,D229='UNC - PV'!$Q$2),"x",IF(AND(LEFT(C229,3)="eib",E229='UNC - EIB'!$V$2,D229='UNC - EIB'!$T$2),"x1",IF(AND(C229="pv",E229='LC - PV'!$R$2,D229='LC - PV'!$P$2),"x2",IF(AND(LEFT(C229,3)="eib",E229='LC - EIB'!$U$2,D229='LC - EIB'!$S$2),"x3",""))))</f>
        <v/>
      </c>
      <c r="B229" s="62">
        <f t="shared" ref="B229:B251" si="16">IF(C229&lt;&gt;"",ROW()-3,"")</f>
        <v>226</v>
      </c>
      <c r="C229" s="62" t="s">
        <v>144</v>
      </c>
      <c r="D229" s="67">
        <v>43034</v>
      </c>
      <c r="E229" s="65" t="s">
        <v>24</v>
      </c>
      <c r="F229" s="107" t="s">
        <v>132</v>
      </c>
      <c r="G229" s="107" t="s">
        <v>261</v>
      </c>
      <c r="H229" s="107" t="s">
        <v>130</v>
      </c>
      <c r="I229" s="105" t="s">
        <v>10</v>
      </c>
      <c r="J229" s="66"/>
      <c r="K229" s="67"/>
      <c r="L229" s="65"/>
      <c r="M229" s="65"/>
      <c r="N229" s="64" t="s">
        <v>399</v>
      </c>
      <c r="O229" s="68">
        <v>233000</v>
      </c>
      <c r="P229" s="69"/>
      <c r="Q229" s="104"/>
      <c r="R229" s="131" t="str">
        <f>IF(AND(C229="pv",D229='UNC - PV'!$Q$2,LEFT(E229,1)="u",'UNC - PV'!$O$2="vnđ",TH!P229&lt;&gt;""),"p",IF(AND(C229="pv",D229='UNC - PV'!$Q$2,LEFT(E229,1)="u",'UNC - PV'!$O$2="usd",TH!O229&lt;&gt;""),"p1",IF(AND(C229="pv",D229='LC - PV'!$P$2,LEFT(E229,1)="l"),"p2",IF(AND(LEFT(C229,3)="EIB",D229='UNC - EIB'!$T$2,LEFT(E229,1)="u",'UNC - EIB'!$R$2="vnđ",TH!P229&lt;&gt;""),"e",IF(AND(LEFT(C229,3)="EIB",D229='UNC - EIB'!$T$2,LEFT(E229,1)="U",'UNC - EIB'!$R$2="usd",TH!O229&lt;&gt;""),"e1",IF(AND(LEFT(C229,3)="EIB",D229='LC - EIB'!$S$2,LEFT(E229,1)="l"),"e2",""))))))</f>
        <v/>
      </c>
    </row>
    <row r="230" spans="1:18" s="57" customFormat="1" ht="18.75" customHeight="1">
      <c r="A230" s="55" t="str">
        <f>IF(AND(C230="pv",E230='UNC - PV'!$S$2,D230='UNC - PV'!$Q$2),"x",IF(AND(LEFT(C230,3)="eib",E230='UNC - EIB'!$V$2,D230='UNC - EIB'!$T$2),"x1",IF(AND(C230="pv",E230='LC - PV'!$R$2,D230='LC - PV'!$P$2),"x2",IF(AND(LEFT(C230,3)="eib",E230='LC - EIB'!$U$2,D230='LC - EIB'!$S$2),"x3",""))))</f>
        <v/>
      </c>
      <c r="B230" s="62">
        <f t="shared" si="16"/>
        <v>227</v>
      </c>
      <c r="C230" s="62" t="s">
        <v>144</v>
      </c>
      <c r="D230" s="67">
        <v>43034</v>
      </c>
      <c r="E230" s="65" t="s">
        <v>25</v>
      </c>
      <c r="F230" s="107" t="s">
        <v>132</v>
      </c>
      <c r="G230" s="71" t="s">
        <v>397</v>
      </c>
      <c r="H230" s="64" t="s">
        <v>398</v>
      </c>
      <c r="I230" s="105" t="s">
        <v>10</v>
      </c>
      <c r="J230" s="66"/>
      <c r="K230" s="67"/>
      <c r="L230" s="65"/>
      <c r="M230" s="65"/>
      <c r="N230" s="64" t="s">
        <v>399</v>
      </c>
      <c r="O230" s="68">
        <v>4000</v>
      </c>
      <c r="P230" s="69"/>
      <c r="Q230" s="104"/>
      <c r="R230" s="131" t="str">
        <f>IF(AND(C230="pv",D230='UNC - PV'!$Q$2,LEFT(E230,1)="u",'UNC - PV'!$O$2="vnđ",TH!P230&lt;&gt;""),"p",IF(AND(C230="pv",D230='UNC - PV'!$Q$2,LEFT(E230,1)="u",'UNC - PV'!$O$2="usd",TH!O230&lt;&gt;""),"p1",IF(AND(C230="pv",D230='LC - PV'!$P$2,LEFT(E230,1)="l"),"p2",IF(AND(LEFT(C230,3)="EIB",D230='UNC - EIB'!$T$2,LEFT(E230,1)="u",'UNC - EIB'!$R$2="vnđ",TH!P230&lt;&gt;""),"e",IF(AND(LEFT(C230,3)="EIB",D230='UNC - EIB'!$T$2,LEFT(E230,1)="U",'UNC - EIB'!$R$2="usd",TH!O230&lt;&gt;""),"e1",IF(AND(LEFT(C230,3)="EIB",D230='LC - EIB'!$S$2,LEFT(E230,1)="l"),"e2",""))))))</f>
        <v/>
      </c>
    </row>
    <row r="231" spans="1:18" s="57" customFormat="1" ht="18.75" customHeight="1">
      <c r="A231" s="55" t="str">
        <f>IF(AND(C231="pv",E231='UNC - PV'!$S$2,D231='UNC - PV'!$Q$2),"x",IF(AND(LEFT(C231,3)="eib",E231='UNC - EIB'!$V$2,D231='UNC - EIB'!$T$2),"x1",IF(AND(C231="pv",E231='LC - PV'!$R$2,D231='LC - PV'!$P$2),"x2",IF(AND(LEFT(C231,3)="eib",E231='LC - EIB'!$U$2,D231='LC - EIB'!$S$2),"x3",""))))</f>
        <v/>
      </c>
      <c r="B231" s="62">
        <f t="shared" si="16"/>
        <v>228</v>
      </c>
      <c r="C231" s="62" t="s">
        <v>128</v>
      </c>
      <c r="D231" s="67">
        <v>43034</v>
      </c>
      <c r="E231" s="65" t="s">
        <v>26</v>
      </c>
      <c r="F231" s="107" t="s">
        <v>132</v>
      </c>
      <c r="G231" s="107" t="s">
        <v>131</v>
      </c>
      <c r="H231" s="107" t="s">
        <v>130</v>
      </c>
      <c r="I231" s="105" t="s">
        <v>10</v>
      </c>
      <c r="J231" s="108"/>
      <c r="K231" s="67"/>
      <c r="L231" s="65"/>
      <c r="M231" s="65"/>
      <c r="N231" s="64" t="s">
        <v>129</v>
      </c>
      <c r="O231" s="68">
        <v>233000</v>
      </c>
      <c r="P231" s="69"/>
      <c r="Q231" s="104"/>
      <c r="R231" s="131" t="str">
        <f>IF(AND(C231="pv",D231='UNC - PV'!$Q$2,LEFT(E231,1)="u",'UNC - PV'!$O$2="vnđ",TH!P231&lt;&gt;""),"p",IF(AND(C231="pv",D231='UNC - PV'!$Q$2,LEFT(E231,1)="u",'UNC - PV'!$O$2="usd",TH!O231&lt;&gt;""),"p1",IF(AND(C231="pv",D231='LC - PV'!$P$2,LEFT(E231,1)="l"),"p2",IF(AND(LEFT(C231,3)="EIB",D231='UNC - EIB'!$T$2,LEFT(E231,1)="u",'UNC - EIB'!$R$2="vnđ",TH!P231&lt;&gt;""),"e",IF(AND(LEFT(C231,3)="EIB",D231='UNC - EIB'!$T$2,LEFT(E231,1)="U",'UNC - EIB'!$R$2="usd",TH!O231&lt;&gt;""),"e1",IF(AND(LEFT(C231,3)="EIB",D231='LC - EIB'!$S$2,LEFT(E231,1)="l"),"e2",""))))))</f>
        <v/>
      </c>
    </row>
    <row r="232" spans="1:18" s="57" customFormat="1" ht="18.75" customHeight="1">
      <c r="A232" s="55" t="str">
        <f>IF(AND(C232="pv",E232='UNC - PV'!$S$2,D232='UNC - PV'!$Q$2),"x",IF(AND(LEFT(C232,3)="eib",E232='UNC - EIB'!$V$2,D232='UNC - EIB'!$T$2),"x1",IF(AND(C232="pv",E232='LC - PV'!$R$2,D232='LC - PV'!$P$2),"x2",IF(AND(LEFT(C232,3)="eib",E232='LC - EIB'!$U$2,D232='LC - EIB'!$S$2),"x3",""))))</f>
        <v/>
      </c>
      <c r="B232" s="62">
        <f t="shared" si="16"/>
        <v>229</v>
      </c>
      <c r="C232" s="62" t="s">
        <v>128</v>
      </c>
      <c r="D232" s="67">
        <v>43034</v>
      </c>
      <c r="E232" s="65" t="s">
        <v>84</v>
      </c>
      <c r="F232" s="107" t="s">
        <v>133</v>
      </c>
      <c r="G232" s="107" t="s">
        <v>134</v>
      </c>
      <c r="H232" s="107" t="s">
        <v>130</v>
      </c>
      <c r="I232" s="105" t="s">
        <v>10</v>
      </c>
      <c r="J232" s="66"/>
      <c r="K232" s="67"/>
      <c r="L232" s="65"/>
      <c r="M232" s="65"/>
      <c r="N232" s="107" t="s">
        <v>334</v>
      </c>
      <c r="O232" s="68"/>
      <c r="P232" s="69">
        <v>4700000000</v>
      </c>
      <c r="Q232" s="104"/>
      <c r="R232" s="131" t="str">
        <f>IF(AND(C232="pv",D232='UNC - PV'!$Q$2,LEFT(E232,1)="u",'UNC - PV'!$O$2="vnđ",TH!P232&lt;&gt;""),"p",IF(AND(C232="pv",D232='UNC - PV'!$Q$2,LEFT(E232,1)="u",'UNC - PV'!$O$2="usd",TH!O232&lt;&gt;""),"p1",IF(AND(C232="pv",D232='LC - PV'!$P$2,LEFT(E232,1)="l"),"p2",IF(AND(LEFT(C232,3)="EIB",D232='UNC - EIB'!$T$2,LEFT(E232,1)="u",'UNC - EIB'!$R$2="vnđ",TH!P232&lt;&gt;""),"e",IF(AND(LEFT(C232,3)="EIB",D232='UNC - EIB'!$T$2,LEFT(E232,1)="U",'UNC - EIB'!$R$2="usd",TH!O232&lt;&gt;""),"e1",IF(AND(LEFT(C232,3)="EIB",D232='LC - EIB'!$S$2,LEFT(E232,1)="l"),"e2",""))))))</f>
        <v/>
      </c>
    </row>
    <row r="233" spans="1:18" s="57" customFormat="1" ht="18.75" customHeight="1">
      <c r="A233" s="55" t="str">
        <f>IF(AND(C233="pv",E233='UNC - PV'!$S$2,D233='UNC - PV'!$Q$2),"x",IF(AND(LEFT(C233,3)="eib",E233='UNC - EIB'!$V$2,D233='UNC - EIB'!$T$2),"x1",IF(AND(C233="pv",E233='LC - PV'!$R$2,D233='LC - PV'!$P$2),"x2",IF(AND(LEFT(C233,3)="eib",E233='LC - EIB'!$U$2,D233='LC - EIB'!$S$2),"x3",""))))</f>
        <v/>
      </c>
      <c r="B233" s="62">
        <f t="shared" si="16"/>
        <v>230</v>
      </c>
      <c r="C233" s="62" t="s">
        <v>144</v>
      </c>
      <c r="D233" s="67">
        <v>43038</v>
      </c>
      <c r="E233" s="65" t="s">
        <v>23</v>
      </c>
      <c r="F233" s="107" t="s">
        <v>132</v>
      </c>
      <c r="G233" s="71" t="s">
        <v>405</v>
      </c>
      <c r="H233" s="64" t="s">
        <v>163</v>
      </c>
      <c r="I233" s="105" t="s">
        <v>10</v>
      </c>
      <c r="J233" s="56"/>
      <c r="K233" s="67"/>
      <c r="L233" s="65"/>
      <c r="M233" s="65"/>
      <c r="N233" s="64" t="s">
        <v>431</v>
      </c>
      <c r="O233" s="68"/>
      <c r="P233" s="69">
        <f>189000*22708</f>
        <v>4291812000</v>
      </c>
      <c r="Q233" s="104"/>
      <c r="R233" s="131" t="str">
        <f>IF(AND(C233="pv",D233='UNC - PV'!$Q$2,LEFT(E233,1)="u",'UNC - PV'!$O$2="vnđ",TH!P233&lt;&gt;""),"p",IF(AND(C233="pv",D233='UNC - PV'!$Q$2,LEFT(E233,1)="u",'UNC - PV'!$O$2="usd",TH!O233&lt;&gt;""),"p1",IF(AND(C233="pv",D233='LC - PV'!$P$2,LEFT(E233,1)="l"),"p2",IF(AND(LEFT(C233,3)="EIB",D233='UNC - EIB'!$T$2,LEFT(E233,1)="u",'UNC - EIB'!$R$2="vnđ",TH!P233&lt;&gt;""),"e",IF(AND(LEFT(C233,3)="EIB",D233='UNC - EIB'!$T$2,LEFT(E233,1)="U",'UNC - EIB'!$R$2="usd",TH!O233&lt;&gt;""),"e1",IF(AND(LEFT(C233,3)="EIB",D233='LC - EIB'!$S$2,LEFT(E233,1)="l"),"e2",""))))))</f>
        <v/>
      </c>
    </row>
    <row r="234" spans="1:18" s="57" customFormat="1" ht="18.75" customHeight="1">
      <c r="A234" s="55" t="str">
        <f>IF(AND(C234="pv",E234='UNC - PV'!$S$2,D234='UNC - PV'!$Q$2),"x",IF(AND(LEFT(C234,3)="eib",E234='UNC - EIB'!$V$2,D234='UNC - EIB'!$T$2),"x1",IF(AND(C234="pv",E234='LC - PV'!$R$2,D234='LC - PV'!$P$2),"x2",IF(AND(LEFT(C234,3)="eib",E234='LC - EIB'!$U$2,D234='LC - EIB'!$S$2),"x3",""))))</f>
        <v/>
      </c>
      <c r="B234" s="62">
        <f t="shared" si="16"/>
        <v>231</v>
      </c>
      <c r="C234" s="62" t="s">
        <v>144</v>
      </c>
      <c r="D234" s="67">
        <v>43038</v>
      </c>
      <c r="E234" s="65" t="s">
        <v>24</v>
      </c>
      <c r="F234" s="107" t="s">
        <v>132</v>
      </c>
      <c r="G234" s="71" t="s">
        <v>405</v>
      </c>
      <c r="H234" s="64" t="s">
        <v>163</v>
      </c>
      <c r="I234" s="105" t="s">
        <v>10</v>
      </c>
      <c r="J234" s="56"/>
      <c r="K234" s="67"/>
      <c r="L234" s="65"/>
      <c r="M234" s="65"/>
      <c r="N234" s="64" t="s">
        <v>432</v>
      </c>
      <c r="O234" s="68"/>
      <c r="P234" s="69">
        <f>40100*22708</f>
        <v>910590800</v>
      </c>
      <c r="Q234" s="104"/>
      <c r="R234" s="131" t="str">
        <f>IF(AND(C234="pv",D234='UNC - PV'!$Q$2,LEFT(E234,1)="u",'UNC - PV'!$O$2="vnđ",TH!P234&lt;&gt;""),"p",IF(AND(C234="pv",D234='UNC - PV'!$Q$2,LEFT(E234,1)="u",'UNC - PV'!$O$2="usd",TH!O234&lt;&gt;""),"p1",IF(AND(C234="pv",D234='LC - PV'!$P$2,LEFT(E234,1)="l"),"p2",IF(AND(LEFT(C234,3)="EIB",D234='UNC - EIB'!$T$2,LEFT(E234,1)="u",'UNC - EIB'!$R$2="vnđ",TH!P234&lt;&gt;""),"e",IF(AND(LEFT(C234,3)="EIB",D234='UNC - EIB'!$T$2,LEFT(E234,1)="U",'UNC - EIB'!$R$2="usd",TH!O234&lt;&gt;""),"e1",IF(AND(LEFT(C234,3)="EIB",D234='LC - EIB'!$S$2,LEFT(E234,1)="l"),"e2",""))))))</f>
        <v/>
      </c>
    </row>
    <row r="235" spans="1:18" s="57" customFormat="1" ht="18.75" customHeight="1">
      <c r="A235" s="55" t="str">
        <f>IF(AND(C235="pv",E235='UNC - PV'!$S$2,D235='UNC - PV'!$Q$2),"x",IF(AND(LEFT(C235,3)="eib",E235='UNC - EIB'!$V$2,D235='UNC - EIB'!$T$2),"x1",IF(AND(C235="pv",E235='LC - PV'!$R$2,D235='LC - PV'!$P$2),"x2",IF(AND(LEFT(C235,3)="eib",E235='LC - EIB'!$U$2,D235='LC - EIB'!$S$2),"x3",""))))</f>
        <v/>
      </c>
      <c r="B235" s="62">
        <f t="shared" si="16"/>
        <v>232</v>
      </c>
      <c r="C235" s="62" t="s">
        <v>144</v>
      </c>
      <c r="D235" s="67">
        <v>43038</v>
      </c>
      <c r="E235" s="65" t="s">
        <v>25</v>
      </c>
      <c r="F235" s="107" t="s">
        <v>132</v>
      </c>
      <c r="G235" s="71" t="s">
        <v>433</v>
      </c>
      <c r="H235" s="64" t="s">
        <v>398</v>
      </c>
      <c r="I235" s="105" t="s">
        <v>10</v>
      </c>
      <c r="J235" s="66"/>
      <c r="K235" s="67"/>
      <c r="L235" s="65"/>
      <c r="M235" s="65"/>
      <c r="N235" s="64" t="s">
        <v>164</v>
      </c>
      <c r="O235" s="68"/>
      <c r="P235" s="69">
        <v>200000000</v>
      </c>
      <c r="Q235" s="104"/>
      <c r="R235" s="131" t="str">
        <f>IF(AND(C235="pv",D235='UNC - PV'!$Q$2,LEFT(E235,1)="u",'UNC - PV'!$O$2="vnđ",TH!P235&lt;&gt;""),"p",IF(AND(C235="pv",D235='UNC - PV'!$Q$2,LEFT(E235,1)="u",'UNC - PV'!$O$2="usd",TH!O235&lt;&gt;""),"p1",IF(AND(C235="pv",D235='LC - PV'!$P$2,LEFT(E235,1)="l"),"p2",IF(AND(LEFT(C235,3)="EIB",D235='UNC - EIB'!$T$2,LEFT(E235,1)="u",'UNC - EIB'!$R$2="vnđ",TH!P235&lt;&gt;""),"e",IF(AND(LEFT(C235,3)="EIB",D235='UNC - EIB'!$T$2,LEFT(E235,1)="U",'UNC - EIB'!$R$2="usd",TH!O235&lt;&gt;""),"e1",IF(AND(LEFT(C235,3)="EIB",D235='LC - EIB'!$S$2,LEFT(E235,1)="l"),"e2",""))))))</f>
        <v/>
      </c>
    </row>
    <row r="236" spans="1:18" s="57" customFormat="1" ht="18.75" customHeight="1">
      <c r="A236" s="55" t="str">
        <f>IF(AND(C236="pv",E236='UNC - PV'!$S$2,D236='UNC - PV'!$Q$2),"x",IF(AND(LEFT(C236,3)="eib",E236='UNC - EIB'!$V$2,D236='UNC - EIB'!$T$2),"x1",IF(AND(C236="pv",E236='LC - PV'!$R$2,D236='LC - PV'!$P$2),"x2",IF(AND(LEFT(C236,3)="eib",E236='LC - EIB'!$U$2,D236='LC - EIB'!$S$2),"x3",""))))</f>
        <v/>
      </c>
      <c r="B236" s="62">
        <f t="shared" si="16"/>
        <v>233</v>
      </c>
      <c r="C236" s="62" t="s">
        <v>144</v>
      </c>
      <c r="D236" s="67">
        <v>43041</v>
      </c>
      <c r="E236" s="65" t="s">
        <v>23</v>
      </c>
      <c r="F236" s="107" t="s">
        <v>132</v>
      </c>
      <c r="G236" s="107" t="s">
        <v>261</v>
      </c>
      <c r="H236" s="107" t="s">
        <v>130</v>
      </c>
      <c r="I236" s="105" t="s">
        <v>10</v>
      </c>
      <c r="J236" s="66"/>
      <c r="K236" s="67"/>
      <c r="L236" s="65"/>
      <c r="M236" s="65"/>
      <c r="N236" s="64" t="s">
        <v>399</v>
      </c>
      <c r="O236" s="68">
        <v>564500</v>
      </c>
      <c r="P236" s="69"/>
      <c r="Q236" s="104"/>
      <c r="R236" s="131" t="str">
        <f>IF(AND(C236="pv",D236='UNC - PV'!$Q$2,LEFT(E236,1)="u",'UNC - PV'!$O$2="vnđ",TH!P236&lt;&gt;""),"p",IF(AND(C236="pv",D236='UNC - PV'!$Q$2,LEFT(E236,1)="u",'UNC - PV'!$O$2="usd",TH!O236&lt;&gt;""),"p1",IF(AND(C236="pv",D236='LC - PV'!$P$2,LEFT(E236,1)="l"),"p2",IF(AND(LEFT(C236,3)="EIB",D236='UNC - EIB'!$T$2,LEFT(E236,1)="u",'UNC - EIB'!$R$2="vnđ",TH!P236&lt;&gt;""),"e",IF(AND(LEFT(C236,3)="EIB",D236='UNC - EIB'!$T$2,LEFT(E236,1)="U",'UNC - EIB'!$R$2="usd",TH!O236&lt;&gt;""),"e1",IF(AND(LEFT(C236,3)="EIB",D236='LC - EIB'!$S$2,LEFT(E236,1)="l"),"e2",""))))))</f>
        <v/>
      </c>
    </row>
    <row r="237" spans="1:18" s="57" customFormat="1" ht="18.75" customHeight="1">
      <c r="A237" s="55" t="str">
        <f>IF(AND(C237="pv",E237='UNC - PV'!$S$2,D237='UNC - PV'!$Q$2),"x",IF(AND(LEFT(C237,3)="eib",E237='UNC - EIB'!$V$2,D237='UNC - EIB'!$T$2),"x1",IF(AND(C237="pv",E237='LC - PV'!$R$2,D237='LC - PV'!$P$2),"x2",IF(AND(LEFT(C237,3)="eib",E237='LC - EIB'!$U$2,D237='LC - EIB'!$S$2),"x3",""))))</f>
        <v/>
      </c>
      <c r="B237" s="62">
        <f t="shared" si="16"/>
        <v>234</v>
      </c>
      <c r="C237" s="62" t="s">
        <v>144</v>
      </c>
      <c r="D237" s="67">
        <v>43041</v>
      </c>
      <c r="E237" s="65" t="s">
        <v>24</v>
      </c>
      <c r="F237" s="107" t="s">
        <v>132</v>
      </c>
      <c r="G237" s="71" t="s">
        <v>405</v>
      </c>
      <c r="H237" s="64" t="s">
        <v>163</v>
      </c>
      <c r="I237" s="105" t="s">
        <v>10</v>
      </c>
      <c r="J237" s="56"/>
      <c r="K237" s="67"/>
      <c r="L237" s="65"/>
      <c r="M237" s="65"/>
      <c r="N237" s="64" t="s">
        <v>434</v>
      </c>
      <c r="O237" s="68"/>
      <c r="P237" s="69">
        <f>68400*22702</f>
        <v>1552816800</v>
      </c>
      <c r="Q237" s="104"/>
      <c r="R237" s="131" t="str">
        <f>IF(AND(C237="pv",D237='UNC - PV'!$Q$2,LEFT(E237,1)="u",'UNC - PV'!$O$2="vnđ",TH!P237&lt;&gt;""),"p",IF(AND(C237="pv",D237='UNC - PV'!$Q$2,LEFT(E237,1)="u",'UNC - PV'!$O$2="usd",TH!O237&lt;&gt;""),"p1",IF(AND(C237="pv",D237='LC - PV'!$P$2,LEFT(E237,1)="l"),"p2",IF(AND(LEFT(C237,3)="EIB",D237='UNC - EIB'!$T$2,LEFT(E237,1)="u",'UNC - EIB'!$R$2="vnđ",TH!P237&lt;&gt;""),"e",IF(AND(LEFT(C237,3)="EIB",D237='UNC - EIB'!$T$2,LEFT(E237,1)="U",'UNC - EIB'!$R$2="usd",TH!O237&lt;&gt;""),"e1",IF(AND(LEFT(C237,3)="EIB",D237='LC - EIB'!$S$2,LEFT(E237,1)="l"),"e2",""))))))</f>
        <v/>
      </c>
    </row>
    <row r="238" spans="1:18" s="165" customFormat="1" ht="18.75" customHeight="1">
      <c r="A238" s="153" t="str">
        <f>IF(AND(C238="pv",E238='UNC - PV'!$S$2,D238='UNC - PV'!$Q$2),"x",IF(AND(LEFT(C238,3)="eib",E238='UNC - EIB'!$V$2,D238='UNC - EIB'!$T$2),"x1",IF(AND(C238="pv",E238='LC - PV'!$R$2,D238='LC - PV'!$P$2),"x2",IF(AND(LEFT(C238,3)="eib",E238='LC - EIB'!$U$2,D238='LC - EIB'!$S$2),"x3",""))))</f>
        <v/>
      </c>
      <c r="B238" s="154">
        <f t="shared" si="16"/>
        <v>235</v>
      </c>
      <c r="C238" s="154" t="s">
        <v>144</v>
      </c>
      <c r="D238" s="155">
        <v>43042</v>
      </c>
      <c r="E238" s="156" t="s">
        <v>23</v>
      </c>
      <c r="F238" s="157" t="s">
        <v>153</v>
      </c>
      <c r="G238" s="166" t="s">
        <v>469</v>
      </c>
      <c r="H238" s="157" t="s">
        <v>155</v>
      </c>
      <c r="I238" s="158" t="s">
        <v>10</v>
      </c>
      <c r="J238" s="159"/>
      <c r="K238" s="160"/>
      <c r="L238" s="158"/>
      <c r="M238" s="158"/>
      <c r="N238" s="157" t="s">
        <v>156</v>
      </c>
      <c r="O238" s="161"/>
      <c r="P238" s="162">
        <v>40000000</v>
      </c>
      <c r="Q238" s="163"/>
      <c r="R238" s="164" t="str">
        <f>IF(AND(C238="pv",D238='UNC - PV'!$Q$2,LEFT(E238,1)="u",'UNC - PV'!$O$2="vnđ",TH!P238&lt;&gt;""),"p",IF(AND(C238="pv",D238='UNC - PV'!$Q$2,LEFT(E238,1)="u",'UNC - PV'!$O$2="usd",TH!O238&lt;&gt;""),"p1",IF(AND(C238="pv",D238='LC - PV'!$P$2,LEFT(E238,1)="l"),"p2",IF(AND(LEFT(C238,3)="EIB",D238='UNC - EIB'!$T$2,LEFT(E238,1)="u",'UNC - EIB'!$R$2="vnđ",TH!P238&lt;&gt;""),"e",IF(AND(LEFT(C238,3)="EIB",D238='UNC - EIB'!$T$2,LEFT(E238,1)="U",'UNC - EIB'!$R$2="usd",TH!O238&lt;&gt;""),"e1",IF(AND(LEFT(C238,3)="EIB",D238='LC - EIB'!$S$2,LEFT(E238,1)="l"),"e2",""))))))</f>
        <v/>
      </c>
    </row>
    <row r="239" spans="1:18" s="57" customFormat="1" ht="18.75" customHeight="1">
      <c r="A239" s="55" t="str">
        <f>IF(AND(C239="pv",E239='UNC - PV'!$S$2,D239='UNC - PV'!$Q$2),"x",IF(AND(LEFT(C239,3)="eib",E239='UNC - EIB'!$V$2,D239='UNC - EIB'!$T$2),"x1",IF(AND(C239="pv",E239='LC - PV'!$R$2,D239='LC - PV'!$P$2),"x2",IF(AND(LEFT(C239,3)="eib",E239='LC - EIB'!$U$2,D239='LC - EIB'!$S$2),"x3",""))))</f>
        <v/>
      </c>
      <c r="B239" s="62">
        <f t="shared" si="16"/>
        <v>236</v>
      </c>
      <c r="C239" s="62" t="s">
        <v>144</v>
      </c>
      <c r="D239" s="67">
        <v>43042</v>
      </c>
      <c r="E239" s="65" t="s">
        <v>24</v>
      </c>
      <c r="F239" s="107" t="s">
        <v>133</v>
      </c>
      <c r="G239" s="107" t="s">
        <v>134</v>
      </c>
      <c r="H239" s="107" t="s">
        <v>130</v>
      </c>
      <c r="I239" s="105" t="s">
        <v>10</v>
      </c>
      <c r="J239" s="66"/>
      <c r="K239" s="67"/>
      <c r="L239" s="65"/>
      <c r="M239" s="65"/>
      <c r="N239" s="107" t="s">
        <v>334</v>
      </c>
      <c r="O239" s="68"/>
      <c r="P239" s="69">
        <v>600000000</v>
      </c>
      <c r="Q239" s="104"/>
      <c r="R239" s="131" t="str">
        <f>IF(AND(C239="pv",D239='UNC - PV'!$Q$2,LEFT(E239,1)="u",'UNC - PV'!$O$2="vnđ",TH!P239&lt;&gt;""),"p",IF(AND(C239="pv",D239='UNC - PV'!$Q$2,LEFT(E239,1)="u",'UNC - PV'!$O$2="usd",TH!O239&lt;&gt;""),"p1",IF(AND(C239="pv",D239='LC - PV'!$P$2,LEFT(E239,1)="l"),"p2",IF(AND(LEFT(C239,3)="EIB",D239='UNC - EIB'!$T$2,LEFT(E239,1)="u",'UNC - EIB'!$R$2="vnđ",TH!P239&lt;&gt;""),"e",IF(AND(LEFT(C239,3)="EIB",D239='UNC - EIB'!$T$2,LEFT(E239,1)="U",'UNC - EIB'!$R$2="usd",TH!O239&lt;&gt;""),"e1",IF(AND(LEFT(C239,3)="EIB",D239='LC - EIB'!$S$2,LEFT(E239,1)="l"),"e2",""))))))</f>
        <v/>
      </c>
    </row>
    <row r="240" spans="1:18" s="57" customFormat="1" ht="18.75" customHeight="1">
      <c r="A240" s="55" t="str">
        <f>IF(AND(C240="pv",E240='UNC - PV'!$S$2,D240='UNC - PV'!$Q$2),"x",IF(AND(LEFT(C240,3)="eib",E240='UNC - EIB'!$V$2,D240='UNC - EIB'!$T$2),"x1",IF(AND(C240="pv",E240='LC - PV'!$R$2,D240='LC - PV'!$P$2),"x2",IF(AND(LEFT(C240,3)="eib",E240='LC - EIB'!$U$2,D240='LC - EIB'!$S$2),"x3",""))))</f>
        <v/>
      </c>
      <c r="B240" s="62">
        <f t="shared" si="16"/>
        <v>237</v>
      </c>
      <c r="C240" s="62" t="s">
        <v>128</v>
      </c>
      <c r="D240" s="67">
        <v>43045</v>
      </c>
      <c r="E240" s="65" t="s">
        <v>23</v>
      </c>
      <c r="F240" s="107" t="s">
        <v>132</v>
      </c>
      <c r="G240" s="107" t="s">
        <v>131</v>
      </c>
      <c r="H240" s="107" t="s">
        <v>130</v>
      </c>
      <c r="I240" s="105" t="s">
        <v>10</v>
      </c>
      <c r="J240" s="108"/>
      <c r="K240" s="67"/>
      <c r="L240" s="65"/>
      <c r="M240" s="65"/>
      <c r="N240" s="64" t="s">
        <v>129</v>
      </c>
      <c r="O240" s="68">
        <v>563800</v>
      </c>
      <c r="P240" s="69"/>
      <c r="Q240" s="104"/>
      <c r="R240" s="131" t="str">
        <f>IF(AND(C240="pv",D240='UNC - PV'!$Q$2,LEFT(E240,1)="u",'UNC - PV'!$O$2="vnđ",TH!P240&lt;&gt;""),"p",IF(AND(C240="pv",D240='UNC - PV'!$Q$2,LEFT(E240,1)="u",'UNC - PV'!$O$2="usd",TH!O240&lt;&gt;""),"p1",IF(AND(C240="pv",D240='LC - PV'!$P$2,LEFT(E240,1)="l"),"p2",IF(AND(LEFT(C240,3)="EIB",D240='UNC - EIB'!$T$2,LEFT(E240,1)="u",'UNC - EIB'!$R$2="vnđ",TH!P240&lt;&gt;""),"e",IF(AND(LEFT(C240,3)="EIB",D240='UNC - EIB'!$T$2,LEFT(E240,1)="U",'UNC - EIB'!$R$2="usd",TH!O240&lt;&gt;""),"e1",IF(AND(LEFT(C240,3)="EIB",D240='LC - EIB'!$S$2,LEFT(E240,1)="l"),"e2",""))))))</f>
        <v/>
      </c>
    </row>
    <row r="241" spans="1:18" s="57" customFormat="1" ht="18.75" customHeight="1">
      <c r="A241" s="55" t="str">
        <f>IF(AND(C241="pv",E241='UNC - PV'!$S$2,D241='UNC - PV'!$Q$2),"x",IF(AND(LEFT(C241,3)="eib",E241='UNC - EIB'!$V$2,D241='UNC - EIB'!$T$2),"x1",IF(AND(C241="pv",E241='LC - PV'!$R$2,D241='LC - PV'!$P$2),"x2",IF(AND(LEFT(C241,3)="eib",E241='LC - EIB'!$U$2,D241='LC - EIB'!$S$2),"x3",""))))</f>
        <v/>
      </c>
      <c r="B241" s="62">
        <f t="shared" si="16"/>
        <v>238</v>
      </c>
      <c r="C241" s="62" t="s">
        <v>128</v>
      </c>
      <c r="D241" s="67">
        <v>43045</v>
      </c>
      <c r="E241" s="65" t="s">
        <v>24</v>
      </c>
      <c r="F241" s="107" t="s">
        <v>133</v>
      </c>
      <c r="G241" s="107" t="s">
        <v>134</v>
      </c>
      <c r="H241" s="107" t="s">
        <v>130</v>
      </c>
      <c r="I241" s="105" t="s">
        <v>10</v>
      </c>
      <c r="J241" s="66"/>
      <c r="K241" s="67"/>
      <c r="L241" s="65"/>
      <c r="M241" s="65"/>
      <c r="N241" s="107" t="s">
        <v>334</v>
      </c>
      <c r="O241" s="68"/>
      <c r="P241" s="69">
        <v>12800000000</v>
      </c>
      <c r="Q241" s="104"/>
      <c r="R241" s="131" t="str">
        <f>IF(AND(C241="pv",D241='UNC - PV'!$Q$2,LEFT(E241,1)="u",'UNC - PV'!$O$2="vnđ",TH!P241&lt;&gt;""),"p",IF(AND(C241="pv",D241='UNC - PV'!$Q$2,LEFT(E241,1)="u",'UNC - PV'!$O$2="usd",TH!O241&lt;&gt;""),"p1",IF(AND(C241="pv",D241='LC - PV'!$P$2,LEFT(E241,1)="l"),"p2",IF(AND(LEFT(C241,3)="EIB",D241='UNC - EIB'!$T$2,LEFT(E241,1)="u",'UNC - EIB'!$R$2="vnđ",TH!P241&lt;&gt;""),"e",IF(AND(LEFT(C241,3)="EIB",D241='UNC - EIB'!$T$2,LEFT(E241,1)="U",'UNC - EIB'!$R$2="usd",TH!O241&lt;&gt;""),"e1",IF(AND(LEFT(C241,3)="EIB",D241='LC - EIB'!$S$2,LEFT(E241,1)="l"),"e2",""))))))</f>
        <v/>
      </c>
    </row>
    <row r="242" spans="1:18" s="57" customFormat="1" ht="18.75" customHeight="1">
      <c r="A242" s="55" t="str">
        <f>IF(AND(C242="pv",E242='UNC - PV'!$S$2,D242='UNC - PV'!$Q$2),"x",IF(AND(LEFT(C242,3)="eib",E242='UNC - EIB'!$V$2,D242='UNC - EIB'!$T$2),"x1",IF(AND(C242="pv",E242='LC - PV'!$R$2,D242='LC - PV'!$P$2),"x2",IF(AND(LEFT(C242,3)="eib",E242='LC - EIB'!$U$2,D242='LC - EIB'!$S$2),"x3",""))))</f>
        <v/>
      </c>
      <c r="B242" s="62">
        <f t="shared" si="16"/>
        <v>239</v>
      </c>
      <c r="C242" s="62" t="s">
        <v>144</v>
      </c>
      <c r="D242" s="67">
        <v>43045</v>
      </c>
      <c r="E242" s="65" t="s">
        <v>25</v>
      </c>
      <c r="F242" s="107" t="s">
        <v>132</v>
      </c>
      <c r="G242" s="71" t="s">
        <v>405</v>
      </c>
      <c r="H242" s="64" t="s">
        <v>163</v>
      </c>
      <c r="I242" s="105" t="s">
        <v>10</v>
      </c>
      <c r="J242" s="56"/>
      <c r="K242" s="67"/>
      <c r="L242" s="65"/>
      <c r="M242" s="65"/>
      <c r="N242" s="64" t="s">
        <v>435</v>
      </c>
      <c r="O242" s="68"/>
      <c r="P242" s="69">
        <v>1861400000</v>
      </c>
      <c r="Q242" s="104"/>
      <c r="R242" s="131" t="str">
        <f>IF(AND(C242="pv",D242='UNC - PV'!$Q$2,LEFT(E242,1)="u",'UNC - PV'!$O$2="vnđ",TH!P242&lt;&gt;""),"p",IF(AND(C242="pv",D242='UNC - PV'!$Q$2,LEFT(E242,1)="u",'UNC - PV'!$O$2="usd",TH!O242&lt;&gt;""),"p1",IF(AND(C242="pv",D242='LC - PV'!$P$2,LEFT(E242,1)="l"),"p2",IF(AND(LEFT(C242,3)="EIB",D242='UNC - EIB'!$T$2,LEFT(E242,1)="u",'UNC - EIB'!$R$2="vnđ",TH!P242&lt;&gt;""),"e",IF(AND(LEFT(C242,3)="EIB",D242='UNC - EIB'!$T$2,LEFT(E242,1)="U",'UNC - EIB'!$R$2="usd",TH!O242&lt;&gt;""),"e1",IF(AND(LEFT(C242,3)="EIB",D242='LC - EIB'!$S$2,LEFT(E242,1)="l"),"e2",""))))))</f>
        <v/>
      </c>
    </row>
    <row r="243" spans="1:18" s="57" customFormat="1" ht="18.75" customHeight="1">
      <c r="A243" s="55" t="str">
        <f>IF(AND(C243="pv",E243='UNC - PV'!$S$2,D243='UNC - PV'!$Q$2),"x",IF(AND(LEFT(C243,3)="eib",E243='UNC - EIB'!$V$2,D243='UNC - EIB'!$T$2),"x1",IF(AND(C243="pv",E243='LC - PV'!$R$2,D243='LC - PV'!$P$2),"x2",IF(AND(LEFT(C243,3)="eib",E243='LC - EIB'!$U$2,D243='LC - EIB'!$S$2),"x3",""))))</f>
        <v/>
      </c>
      <c r="B243" s="62">
        <f t="shared" ref="B243:B250" si="17">IF(C243&lt;&gt;"",ROW()-3,"")</f>
        <v>240</v>
      </c>
      <c r="C243" s="62" t="s">
        <v>144</v>
      </c>
      <c r="D243" s="67">
        <v>43047</v>
      </c>
      <c r="E243" s="65" t="s">
        <v>23</v>
      </c>
      <c r="F243" s="107" t="s">
        <v>132</v>
      </c>
      <c r="G243" s="71" t="s">
        <v>397</v>
      </c>
      <c r="H243" s="64" t="s">
        <v>398</v>
      </c>
      <c r="I243" s="105" t="s">
        <v>10</v>
      </c>
      <c r="J243" s="66"/>
      <c r="K243" s="67"/>
      <c r="L243" s="65"/>
      <c r="M243" s="65"/>
      <c r="N243" s="64" t="s">
        <v>399</v>
      </c>
      <c r="O243" s="68">
        <v>519000</v>
      </c>
      <c r="P243" s="69"/>
      <c r="Q243" s="104"/>
      <c r="R243" s="131" t="str">
        <f>IF(AND(C243="pv",D243='UNC - PV'!$Q$2,LEFT(E243,1)="u",'UNC - PV'!$O$2="vnđ",TH!P243&lt;&gt;""),"p",IF(AND(C243="pv",D243='UNC - PV'!$Q$2,LEFT(E243,1)="u",'UNC - PV'!$O$2="usd",TH!O243&lt;&gt;""),"p1",IF(AND(C243="pv",D243='LC - PV'!$P$2,LEFT(E243,1)="l"),"p2",IF(AND(LEFT(C243,3)="EIB",D243='UNC - EIB'!$T$2,LEFT(E243,1)="u",'UNC - EIB'!$R$2="vnđ",TH!P243&lt;&gt;""),"e",IF(AND(LEFT(C243,3)="EIB",D243='UNC - EIB'!$T$2,LEFT(E243,1)="U",'UNC - EIB'!$R$2="usd",TH!O243&lt;&gt;""),"e1",IF(AND(LEFT(C243,3)="EIB",D243='LC - EIB'!$S$2,LEFT(E243,1)="l"),"e2",""))))))</f>
        <v/>
      </c>
    </row>
    <row r="244" spans="1:18" s="57" customFormat="1" ht="18.75" customHeight="1">
      <c r="A244" s="55" t="str">
        <f>IF(AND(C244="pv",E244='UNC - PV'!$S$2,D244='UNC - PV'!$Q$2),"x",IF(AND(LEFT(C244,3)="eib",E244='UNC - EIB'!$V$2,D244='UNC - EIB'!$T$2),"x1",IF(AND(C244="pv",E244='LC - PV'!$R$2,D244='LC - PV'!$P$2),"x2",IF(AND(LEFT(C244,3)="eib",E244='LC - EIB'!$U$2,D244='LC - EIB'!$S$2),"x3",""))))</f>
        <v/>
      </c>
      <c r="B244" s="62">
        <f t="shared" si="17"/>
        <v>241</v>
      </c>
      <c r="C244" s="62" t="s">
        <v>144</v>
      </c>
      <c r="D244" s="67">
        <v>43048</v>
      </c>
      <c r="E244" s="65" t="s">
        <v>23</v>
      </c>
      <c r="F244" s="64" t="s">
        <v>366</v>
      </c>
      <c r="G244" s="71" t="s">
        <v>408</v>
      </c>
      <c r="H244" s="64" t="s">
        <v>368</v>
      </c>
      <c r="I244" s="65" t="s">
        <v>35</v>
      </c>
      <c r="J244" s="66"/>
      <c r="K244" s="67"/>
      <c r="L244" s="65"/>
      <c r="M244" s="65"/>
      <c r="N244" s="64" t="s">
        <v>436</v>
      </c>
      <c r="O244" s="68"/>
      <c r="P244" s="69">
        <v>36547610</v>
      </c>
      <c r="Q244" s="104"/>
      <c r="R244" s="131" t="str">
        <f>IF(AND(C244="pv",D244='UNC - PV'!$Q$2,LEFT(E244,1)="u",'UNC - PV'!$O$2="vnđ",TH!P244&lt;&gt;""),"p",IF(AND(C244="pv",D244='UNC - PV'!$Q$2,LEFT(E244,1)="u",'UNC - PV'!$O$2="usd",TH!O244&lt;&gt;""),"p1",IF(AND(C244="pv",D244='LC - PV'!$P$2,LEFT(E244,1)="l"),"p2",IF(AND(LEFT(C244,3)="EIB",D244='UNC - EIB'!$T$2,LEFT(E244,1)="u",'UNC - EIB'!$R$2="vnđ",TH!P244&lt;&gt;""),"e",IF(AND(LEFT(C244,3)="EIB",D244='UNC - EIB'!$T$2,LEFT(E244,1)="U",'UNC - EIB'!$R$2="usd",TH!O244&lt;&gt;""),"e1",IF(AND(LEFT(C244,3)="EIB",D244='LC - EIB'!$S$2,LEFT(E244,1)="l"),"e2",""))))))</f>
        <v/>
      </c>
    </row>
    <row r="245" spans="1:18" s="57" customFormat="1" ht="18.75" customHeight="1">
      <c r="A245" s="55" t="str">
        <f>IF(AND(C245="pv",E245='UNC - PV'!$S$2,D245='UNC - PV'!$Q$2),"x",IF(AND(LEFT(C245,3)="eib",E245='UNC - EIB'!$V$2,D245='UNC - EIB'!$T$2),"x1",IF(AND(C245="pv",E245='LC - PV'!$R$2,D245='LC - PV'!$P$2),"x2",IF(AND(LEFT(C245,3)="eib",E245='LC - EIB'!$U$2,D245='LC - EIB'!$S$2),"x3",""))))</f>
        <v/>
      </c>
      <c r="B245" s="62">
        <f t="shared" si="17"/>
        <v>242</v>
      </c>
      <c r="C245" s="62" t="s">
        <v>144</v>
      </c>
      <c r="D245" s="67">
        <v>43048</v>
      </c>
      <c r="E245" s="65" t="s">
        <v>24</v>
      </c>
      <c r="F245" s="64" t="s">
        <v>437</v>
      </c>
      <c r="G245" s="64" t="s">
        <v>438</v>
      </c>
      <c r="H245" s="64" t="s">
        <v>439</v>
      </c>
      <c r="I245" s="65" t="s">
        <v>333</v>
      </c>
      <c r="J245" s="66"/>
      <c r="K245" s="67"/>
      <c r="L245" s="65"/>
      <c r="M245" s="65"/>
      <c r="N245" s="64" t="s">
        <v>440</v>
      </c>
      <c r="O245" s="68"/>
      <c r="P245" s="69">
        <v>800000000</v>
      </c>
      <c r="Q245" s="104"/>
      <c r="R245" s="131" t="str">
        <f>IF(AND(C245="pv",D245='UNC - PV'!$Q$2,LEFT(E245,1)="u",'UNC - PV'!$O$2="vnđ",TH!P245&lt;&gt;""),"p",IF(AND(C245="pv",D245='UNC - PV'!$Q$2,LEFT(E245,1)="u",'UNC - PV'!$O$2="usd",TH!O245&lt;&gt;""),"p1",IF(AND(C245="pv",D245='LC - PV'!$P$2,LEFT(E245,1)="l"),"p2",IF(AND(LEFT(C245,3)="EIB",D245='UNC - EIB'!$T$2,LEFT(E245,1)="u",'UNC - EIB'!$R$2="vnđ",TH!P245&lt;&gt;""),"e",IF(AND(LEFT(C245,3)="EIB",D245='UNC - EIB'!$T$2,LEFT(E245,1)="U",'UNC - EIB'!$R$2="usd",TH!O245&lt;&gt;""),"e1",IF(AND(LEFT(C245,3)="EIB",D245='LC - EIB'!$S$2,LEFT(E245,1)="l"),"e2",""))))))</f>
        <v/>
      </c>
    </row>
    <row r="246" spans="1:18" s="57" customFormat="1" ht="18.75" customHeight="1">
      <c r="A246" s="55" t="str">
        <f>IF(AND(C246="pv",E246='UNC - PV'!$S$2,D246='UNC - PV'!$Q$2),"x",IF(AND(LEFT(C246,3)="eib",E246='UNC - EIB'!$V$2,D246='UNC - EIB'!$T$2),"x1",IF(AND(C246="pv",E246='LC - PV'!$R$2,D246='LC - PV'!$P$2),"x2",IF(AND(LEFT(C246,3)="eib",E246='LC - EIB'!$U$2,D246='LC - EIB'!$S$2),"x3",""))))</f>
        <v/>
      </c>
      <c r="B246" s="62">
        <f t="shared" si="17"/>
        <v>243</v>
      </c>
      <c r="C246" s="62" t="s">
        <v>144</v>
      </c>
      <c r="D246" s="67">
        <v>43053</v>
      </c>
      <c r="E246" s="65" t="s">
        <v>23</v>
      </c>
      <c r="F246" s="107" t="s">
        <v>132</v>
      </c>
      <c r="G246" s="71" t="s">
        <v>405</v>
      </c>
      <c r="H246" s="64" t="s">
        <v>163</v>
      </c>
      <c r="I246" s="105" t="s">
        <v>10</v>
      </c>
      <c r="J246" s="56"/>
      <c r="K246" s="67"/>
      <c r="L246" s="65"/>
      <c r="M246" s="65"/>
      <c r="N246" s="64" t="s">
        <v>444</v>
      </c>
      <c r="O246" s="68"/>
      <c r="P246" s="69">
        <f>103808.14*22700</f>
        <v>2356444778</v>
      </c>
      <c r="Q246" s="104"/>
      <c r="R246" s="131" t="str">
        <f>IF(AND(C246="pv",D246='UNC - PV'!$Q$2,LEFT(E246,1)="u",'UNC - PV'!$O$2="vnđ",TH!P246&lt;&gt;""),"p",IF(AND(C246="pv",D246='UNC - PV'!$Q$2,LEFT(E246,1)="u",'UNC - PV'!$O$2="usd",TH!O246&lt;&gt;""),"p1",IF(AND(C246="pv",D246='LC - PV'!$P$2,LEFT(E246,1)="l"),"p2",IF(AND(LEFT(C246,3)="EIB",D246='UNC - EIB'!$T$2,LEFT(E246,1)="u",'UNC - EIB'!$R$2="vnđ",TH!P246&lt;&gt;""),"e",IF(AND(LEFT(C246,3)="EIB",D246='UNC - EIB'!$T$2,LEFT(E246,1)="U",'UNC - EIB'!$R$2="usd",TH!O246&lt;&gt;""),"e1",IF(AND(LEFT(C246,3)="EIB",D246='LC - EIB'!$S$2,LEFT(E246,1)="l"),"e2",""))))))</f>
        <v/>
      </c>
    </row>
    <row r="247" spans="1:18" s="57" customFormat="1" ht="18.75" customHeight="1">
      <c r="A247" s="55" t="str">
        <f>IF(AND(C247="pv",E247='UNC - PV'!$S$2,D247='UNC - PV'!$Q$2),"x",IF(AND(LEFT(C247,3)="eib",E247='UNC - EIB'!$V$2,D247='UNC - EIB'!$T$2),"x1",IF(AND(C247="pv",E247='LC - PV'!$R$2,D247='LC - PV'!$P$2),"x2",IF(AND(LEFT(C247,3)="eib",E247='LC - EIB'!$U$2,D247='LC - EIB'!$S$2),"x3",""))))</f>
        <v/>
      </c>
      <c r="B247" s="62">
        <f t="shared" si="17"/>
        <v>244</v>
      </c>
      <c r="C247" s="62" t="s">
        <v>144</v>
      </c>
      <c r="D247" s="67">
        <v>43053</v>
      </c>
      <c r="E247" s="65" t="s">
        <v>24</v>
      </c>
      <c r="F247" s="107" t="s">
        <v>132</v>
      </c>
      <c r="G247" s="71" t="s">
        <v>397</v>
      </c>
      <c r="H247" s="64" t="s">
        <v>398</v>
      </c>
      <c r="I247" s="105" t="s">
        <v>10</v>
      </c>
      <c r="J247" s="66"/>
      <c r="K247" s="67"/>
      <c r="L247" s="65"/>
      <c r="M247" s="65"/>
      <c r="N247" s="64" t="s">
        <v>399</v>
      </c>
      <c r="O247" s="68">
        <v>510000</v>
      </c>
      <c r="P247" s="69"/>
      <c r="Q247" s="104"/>
      <c r="R247" s="131" t="str">
        <f>IF(AND(C247="pv",D247='UNC - PV'!$Q$2,LEFT(E247,1)="u",'UNC - PV'!$O$2="vnđ",TH!P247&lt;&gt;""),"p",IF(AND(C247="pv",D247='UNC - PV'!$Q$2,LEFT(E247,1)="u",'UNC - PV'!$O$2="usd",TH!O247&lt;&gt;""),"p1",IF(AND(C247="pv",D247='LC - PV'!$P$2,LEFT(E247,1)="l"),"p2",IF(AND(LEFT(C247,3)="EIB",D247='UNC - EIB'!$T$2,LEFT(E247,1)="u",'UNC - EIB'!$R$2="vnđ",TH!P247&lt;&gt;""),"e",IF(AND(LEFT(C247,3)="EIB",D247='UNC - EIB'!$T$2,LEFT(E247,1)="U",'UNC - EIB'!$R$2="usd",TH!O247&lt;&gt;""),"e1",IF(AND(LEFT(C247,3)="EIB",D247='LC - EIB'!$S$2,LEFT(E247,1)="l"),"e2",""))))))</f>
        <v/>
      </c>
    </row>
    <row r="248" spans="1:18" s="57" customFormat="1" ht="18.75" customHeight="1">
      <c r="A248" s="55" t="str">
        <f>IF(AND(C248="pv",E248='UNC - PV'!$S$2,D248='UNC - PV'!$Q$2),"x",IF(AND(LEFT(C248,3)="eib",E248='UNC - EIB'!$V$2,D248='UNC - EIB'!$T$2),"x1",IF(AND(C248="pv",E248='LC - PV'!$R$2,D248='LC - PV'!$P$2),"x2",IF(AND(LEFT(C248,3)="eib",E248='LC - EIB'!$U$2,D248='LC - EIB'!$S$2),"x3",""))))</f>
        <v/>
      </c>
      <c r="B248" s="62">
        <f t="shared" si="17"/>
        <v>245</v>
      </c>
      <c r="C248" s="62" t="s">
        <v>144</v>
      </c>
      <c r="D248" s="67">
        <v>43053</v>
      </c>
      <c r="E248" s="65" t="s">
        <v>25</v>
      </c>
      <c r="F248" s="107" t="s">
        <v>132</v>
      </c>
      <c r="G248" s="71" t="s">
        <v>405</v>
      </c>
      <c r="H248" s="64" t="s">
        <v>163</v>
      </c>
      <c r="I248" s="105" t="s">
        <v>10</v>
      </c>
      <c r="J248" s="56"/>
      <c r="K248" s="67"/>
      <c r="L248" s="65"/>
      <c r="M248" s="65"/>
      <c r="N248" s="64" t="s">
        <v>445</v>
      </c>
      <c r="O248" s="68"/>
      <c r="P248" s="69">
        <v>2020300000</v>
      </c>
      <c r="Q248" s="104"/>
      <c r="R248" s="131" t="str">
        <f>IF(AND(C248="pv",D248='UNC - PV'!$Q$2,LEFT(E248,1)="u",'UNC - PV'!$O$2="vnđ",TH!P248&lt;&gt;""),"p",IF(AND(C248="pv",D248='UNC - PV'!$Q$2,LEFT(E248,1)="u",'UNC - PV'!$O$2="usd",TH!O248&lt;&gt;""),"p1",IF(AND(C248="pv",D248='LC - PV'!$P$2,LEFT(E248,1)="l"),"p2",IF(AND(LEFT(C248,3)="EIB",D248='UNC - EIB'!$T$2,LEFT(E248,1)="u",'UNC - EIB'!$R$2="vnđ",TH!P248&lt;&gt;""),"e",IF(AND(LEFT(C248,3)="EIB",D248='UNC - EIB'!$T$2,LEFT(E248,1)="U",'UNC - EIB'!$R$2="usd",TH!O248&lt;&gt;""),"e1",IF(AND(LEFT(C248,3)="EIB",D248='LC - EIB'!$S$2,LEFT(E248,1)="l"),"e2",""))))))</f>
        <v/>
      </c>
    </row>
    <row r="249" spans="1:18" s="57" customFormat="1" ht="18.75" customHeight="1">
      <c r="A249" s="55" t="str">
        <f>IF(AND(C249="pv",E249='UNC - PV'!$S$2,D249='UNC - PV'!$Q$2),"x",IF(AND(LEFT(C249,3)="eib",E249='UNC - EIB'!$V$2,D249='UNC - EIB'!$T$2),"x1",IF(AND(C249="pv",E249='LC - PV'!$R$2,D249='LC - PV'!$P$2),"x2",IF(AND(LEFT(C249,3)="eib",E249='LC - EIB'!$U$2,D249='LC - EIB'!$S$2),"x3",""))))</f>
        <v/>
      </c>
      <c r="B249" s="62">
        <f t="shared" si="17"/>
        <v>246</v>
      </c>
      <c r="C249" s="62" t="s">
        <v>144</v>
      </c>
      <c r="D249" s="67">
        <v>43054</v>
      </c>
      <c r="E249" s="65" t="s">
        <v>23</v>
      </c>
      <c r="F249" s="64" t="s">
        <v>437</v>
      </c>
      <c r="G249" s="64" t="s">
        <v>438</v>
      </c>
      <c r="H249" s="64" t="s">
        <v>439</v>
      </c>
      <c r="I249" s="65" t="s">
        <v>333</v>
      </c>
      <c r="J249" s="66"/>
      <c r="K249" s="67"/>
      <c r="L249" s="65"/>
      <c r="M249" s="65"/>
      <c r="N249" s="64" t="s">
        <v>440</v>
      </c>
      <c r="O249" s="68"/>
      <c r="P249" s="69">
        <v>2062550000</v>
      </c>
      <c r="Q249" s="104"/>
      <c r="R249" s="131" t="str">
        <f>IF(AND(C249="pv",D249='UNC - PV'!$Q$2,LEFT(E249,1)="u",'UNC - PV'!$O$2="vnđ",TH!P249&lt;&gt;""),"p",IF(AND(C249="pv",D249='UNC - PV'!$Q$2,LEFT(E249,1)="u",'UNC - PV'!$O$2="usd",TH!O249&lt;&gt;""),"p1",IF(AND(C249="pv",D249='LC - PV'!$P$2,LEFT(E249,1)="l"),"p2",IF(AND(LEFT(C249,3)="EIB",D249='UNC - EIB'!$T$2,LEFT(E249,1)="u",'UNC - EIB'!$R$2="vnđ",TH!P249&lt;&gt;""),"e",IF(AND(LEFT(C249,3)="EIB",D249='UNC - EIB'!$T$2,LEFT(E249,1)="U",'UNC - EIB'!$R$2="usd",TH!O249&lt;&gt;""),"e1",IF(AND(LEFT(C249,3)="EIB",D249='LC - EIB'!$S$2,LEFT(E249,1)="l"),"e2",""))))))</f>
        <v/>
      </c>
    </row>
    <row r="250" spans="1:18" s="57" customFormat="1" ht="18.75" customHeight="1">
      <c r="A250" s="55" t="str">
        <f>IF(AND(C250="pv",E250='UNC - PV'!$S$2,D250='UNC - PV'!$Q$2),"x",IF(AND(LEFT(C250,3)="eib",E250='UNC - EIB'!$V$2,D250='UNC - EIB'!$T$2),"x1",IF(AND(C250="pv",E250='LC - PV'!$R$2,D250='LC - PV'!$P$2),"x2",IF(AND(LEFT(C250,3)="eib",E250='LC - EIB'!$U$2,D250='LC - EIB'!$S$2),"x3",""))))</f>
        <v/>
      </c>
      <c r="B250" s="62">
        <f t="shared" si="17"/>
        <v>247</v>
      </c>
      <c r="C250" s="62" t="s">
        <v>144</v>
      </c>
      <c r="D250" s="67">
        <v>43061</v>
      </c>
      <c r="E250" s="65" t="s">
        <v>23</v>
      </c>
      <c r="F250" s="107" t="s">
        <v>132</v>
      </c>
      <c r="G250" s="71" t="s">
        <v>397</v>
      </c>
      <c r="H250" s="64" t="s">
        <v>398</v>
      </c>
      <c r="I250" s="105" t="s">
        <v>10</v>
      </c>
      <c r="J250" s="66"/>
      <c r="K250" s="67"/>
      <c r="L250" s="65"/>
      <c r="M250" s="65"/>
      <c r="N250" s="64" t="s">
        <v>399</v>
      </c>
      <c r="O250" s="68">
        <v>3600</v>
      </c>
      <c r="P250" s="69"/>
      <c r="Q250" s="104"/>
      <c r="R250" s="131" t="str">
        <f>IF(AND(C250="pv",D250='UNC - PV'!$Q$2,LEFT(E250,1)="u",'UNC - PV'!$O$2="vnđ",TH!P250&lt;&gt;""),"p",IF(AND(C250="pv",D250='UNC - PV'!$Q$2,LEFT(E250,1)="u",'UNC - PV'!$O$2="usd",TH!O250&lt;&gt;""),"p1",IF(AND(C250="pv",D250='LC - PV'!$P$2,LEFT(E250,1)="l"),"p2",IF(AND(LEFT(C250,3)="EIB",D250='UNC - EIB'!$T$2,LEFT(E250,1)="u",'UNC - EIB'!$R$2="vnđ",TH!P250&lt;&gt;""),"e",IF(AND(LEFT(C250,3)="EIB",D250='UNC - EIB'!$T$2,LEFT(E250,1)="U",'UNC - EIB'!$R$2="usd",TH!O250&lt;&gt;""),"e1",IF(AND(LEFT(C250,3)="EIB",D250='LC - EIB'!$S$2,LEFT(E250,1)="l"),"e2",""))))))</f>
        <v/>
      </c>
    </row>
    <row r="251" spans="1:18" s="57" customFormat="1" ht="18.75" customHeight="1">
      <c r="A251" s="55" t="str">
        <f>IF(AND(C251="pv",E251='UNC - PV'!$S$2,D251='UNC - PV'!$Q$2),"x",IF(AND(LEFT(C251,3)="eib",E251='UNC - EIB'!$V$2,D251='UNC - EIB'!$T$2),"x1",IF(AND(C251="pv",E251='LC - PV'!$R$2,D251='LC - PV'!$P$2),"x2",IF(AND(LEFT(C251,3)="eib",E251='LC - EIB'!$U$2,D251='LC - EIB'!$S$2),"x3",""))))</f>
        <v/>
      </c>
      <c r="B251" s="62">
        <f t="shared" si="16"/>
        <v>248</v>
      </c>
      <c r="C251" s="62" t="s">
        <v>144</v>
      </c>
      <c r="D251" s="67">
        <v>43063</v>
      </c>
      <c r="E251" s="65" t="s">
        <v>23</v>
      </c>
      <c r="F251" s="107" t="s">
        <v>133</v>
      </c>
      <c r="G251" s="107" t="s">
        <v>134</v>
      </c>
      <c r="H251" s="107" t="s">
        <v>130</v>
      </c>
      <c r="I251" s="105" t="s">
        <v>10</v>
      </c>
      <c r="J251" s="66"/>
      <c r="K251" s="67"/>
      <c r="L251" s="65"/>
      <c r="M251" s="65"/>
      <c r="N251" s="107" t="s">
        <v>334</v>
      </c>
      <c r="O251" s="68"/>
      <c r="P251" s="69">
        <v>80000000</v>
      </c>
      <c r="Q251" s="104"/>
      <c r="R251" s="131" t="str">
        <f>IF(AND(C251="pv",D251='UNC - PV'!$Q$2,LEFT(E251,1)="u",'UNC - PV'!$O$2="vnđ",TH!P251&lt;&gt;""),"p",IF(AND(C251="pv",D251='UNC - PV'!$Q$2,LEFT(E251,1)="u",'UNC - PV'!$O$2="usd",TH!O251&lt;&gt;""),"p1",IF(AND(C251="pv",D251='LC - PV'!$P$2,LEFT(E251,1)="l"),"p2",IF(AND(LEFT(C251,3)="EIB",D251='UNC - EIB'!$T$2,LEFT(E251,1)="u",'UNC - EIB'!$R$2="vnđ",TH!P251&lt;&gt;""),"e",IF(AND(LEFT(C251,3)="EIB",D251='UNC - EIB'!$T$2,LEFT(E251,1)="U",'UNC - EIB'!$R$2="usd",TH!O251&lt;&gt;""),"e1",IF(AND(LEFT(C251,3)="EIB",D251='LC - EIB'!$S$2,LEFT(E251,1)="l"),"e2",""))))))</f>
        <v/>
      </c>
    </row>
    <row r="252" spans="1:18" s="57" customFormat="1" ht="18.75" customHeight="1">
      <c r="A252" s="55" t="str">
        <f>IF(AND(C252="pv",E252='UNC - PV'!$S$2,D252='UNC - PV'!$Q$2),"x",IF(AND(LEFT(C252,3)="eib",E252='UNC - EIB'!$V$2,D252='UNC - EIB'!$T$2),"x1",IF(AND(C252="pv",E252='LC - PV'!$R$2,D252='LC - PV'!$P$2),"x2",IF(AND(LEFT(C252,3)="eib",E252='LC - EIB'!$U$2,D252='LC - EIB'!$S$2),"x3",""))))</f>
        <v/>
      </c>
      <c r="B252" s="62">
        <f t="shared" si="12"/>
        <v>249</v>
      </c>
      <c r="C252" s="62" t="s">
        <v>144</v>
      </c>
      <c r="D252" s="67">
        <v>43067</v>
      </c>
      <c r="E252" s="65" t="s">
        <v>23</v>
      </c>
      <c r="F252" s="107" t="s">
        <v>132</v>
      </c>
      <c r="G252" s="71" t="s">
        <v>405</v>
      </c>
      <c r="H252" s="64" t="s">
        <v>163</v>
      </c>
      <c r="I252" s="105" t="s">
        <v>10</v>
      </c>
      <c r="J252" s="56"/>
      <c r="K252" s="67"/>
      <c r="L252" s="65"/>
      <c r="M252" s="65"/>
      <c r="N252" s="64" t="s">
        <v>453</v>
      </c>
      <c r="O252" s="68"/>
      <c r="P252" s="69">
        <f>70000*22707</f>
        <v>1589490000</v>
      </c>
      <c r="Q252" s="104"/>
      <c r="R252" s="131" t="str">
        <f>IF(AND(C252="pv",D252='UNC - PV'!$Q$2,LEFT(E252,1)="u",'UNC - PV'!$O$2="vnđ",TH!P252&lt;&gt;""),"p",IF(AND(C252="pv",D252='UNC - PV'!$Q$2,LEFT(E252,1)="u",'UNC - PV'!$O$2="usd",TH!O252&lt;&gt;""),"p1",IF(AND(C252="pv",D252='LC - PV'!$P$2,LEFT(E252,1)="l"),"p2",IF(AND(LEFT(C252,3)="EIB",D252='UNC - EIB'!$T$2,LEFT(E252,1)="u",'UNC - EIB'!$R$2="vnđ",TH!P252&lt;&gt;""),"e",IF(AND(LEFT(C252,3)="EIB",D252='UNC - EIB'!$T$2,LEFT(E252,1)="U",'UNC - EIB'!$R$2="usd",TH!O252&lt;&gt;""),"e1",IF(AND(LEFT(C252,3)="EIB",D252='LC - EIB'!$S$2,LEFT(E252,1)="l"),"e2",""))))))</f>
        <v/>
      </c>
    </row>
    <row r="253" spans="1:18" s="57" customFormat="1" ht="18.75" customHeight="1">
      <c r="A253" s="55" t="str">
        <f>IF(AND(C253="pv",E253='UNC - PV'!$S$2,D253='UNC - PV'!$Q$2),"x",IF(AND(LEFT(C253,3)="eib",E253='UNC - EIB'!$V$2,D253='UNC - EIB'!$T$2),"x1",IF(AND(C253="pv",E253='LC - PV'!$R$2,D253='LC - PV'!$P$2),"x2",IF(AND(LEFT(C253,3)="eib",E253='LC - EIB'!$U$2,D253='LC - EIB'!$S$2),"x3",""))))</f>
        <v/>
      </c>
      <c r="B253" s="62">
        <f t="shared" si="10"/>
        <v>250</v>
      </c>
      <c r="C253" s="62" t="s">
        <v>144</v>
      </c>
      <c r="D253" s="67">
        <v>43067</v>
      </c>
      <c r="E253" s="65" t="s">
        <v>24</v>
      </c>
      <c r="F253" s="107" t="s">
        <v>133</v>
      </c>
      <c r="G253" s="107" t="s">
        <v>134</v>
      </c>
      <c r="H253" s="107" t="s">
        <v>130</v>
      </c>
      <c r="I253" s="105" t="s">
        <v>10</v>
      </c>
      <c r="J253" s="66"/>
      <c r="K253" s="67"/>
      <c r="L253" s="65"/>
      <c r="M253" s="65"/>
      <c r="N253" s="107" t="s">
        <v>334</v>
      </c>
      <c r="O253" s="68"/>
      <c r="P253" s="69">
        <v>850000000</v>
      </c>
      <c r="Q253" s="104"/>
      <c r="R253" s="131" t="str">
        <f>IF(AND(C253="pv",D253='UNC - PV'!$Q$2,LEFT(E253,1)="u",'UNC - PV'!$O$2="vnđ",TH!P253&lt;&gt;""),"p",IF(AND(C253="pv",D253='UNC - PV'!$Q$2,LEFT(E253,1)="u",'UNC - PV'!$O$2="usd",TH!O253&lt;&gt;""),"p1",IF(AND(C253="pv",D253='LC - PV'!$P$2,LEFT(E253,1)="l"),"p2",IF(AND(LEFT(C253,3)="EIB",D253='UNC - EIB'!$T$2,LEFT(E253,1)="u",'UNC - EIB'!$R$2="vnđ",TH!P253&lt;&gt;""),"e",IF(AND(LEFT(C253,3)="EIB",D253='UNC - EIB'!$T$2,LEFT(E253,1)="U",'UNC - EIB'!$R$2="usd",TH!O253&lt;&gt;""),"e1",IF(AND(LEFT(C253,3)="EIB",D253='LC - EIB'!$S$2,LEFT(E253,1)="l"),"e2",""))))))</f>
        <v/>
      </c>
    </row>
    <row r="254" spans="1:18" s="57" customFormat="1" ht="18.75" customHeight="1">
      <c r="A254" s="55" t="str">
        <f>IF(AND(C254="pv",E254='UNC - PV'!$S$2,D254='UNC - PV'!$Q$2),"x",IF(AND(LEFT(C254,3)="eib",E254='UNC - EIB'!$V$2,D254='UNC - EIB'!$T$2),"x1",IF(AND(C254="pv",E254='LC - PV'!$R$2,D254='LC - PV'!$P$2),"x2",IF(AND(LEFT(C254,3)="eib",E254='LC - EIB'!$U$2,D254='LC - EIB'!$S$2),"x3",""))))</f>
        <v/>
      </c>
      <c r="B254" s="62">
        <f t="shared" ref="B254:B269" si="18">IF(C254&lt;&gt;"",ROW()-3,"")</f>
        <v>251</v>
      </c>
      <c r="C254" s="62" t="s">
        <v>144</v>
      </c>
      <c r="D254" s="67">
        <v>43068</v>
      </c>
      <c r="E254" s="65" t="s">
        <v>23</v>
      </c>
      <c r="F254" s="64" t="s">
        <v>454</v>
      </c>
      <c r="G254" s="71" t="s">
        <v>455</v>
      </c>
      <c r="H254" s="64" t="s">
        <v>456</v>
      </c>
      <c r="I254" s="105" t="s">
        <v>10</v>
      </c>
      <c r="J254" s="66"/>
      <c r="K254" s="67"/>
      <c r="L254" s="65"/>
      <c r="M254" s="65"/>
      <c r="N254" s="64" t="s">
        <v>457</v>
      </c>
      <c r="O254" s="68"/>
      <c r="P254" s="69">
        <v>28600000</v>
      </c>
      <c r="Q254" s="104"/>
      <c r="R254" s="131" t="str">
        <f>IF(AND(C254="pv",D254='UNC - PV'!$Q$2,LEFT(E254,1)="u",'UNC - PV'!$O$2="vnđ",TH!P254&lt;&gt;""),"p",IF(AND(C254="pv",D254='UNC - PV'!$Q$2,LEFT(E254,1)="u",'UNC - PV'!$O$2="usd",TH!O254&lt;&gt;""),"p1",IF(AND(C254="pv",D254='LC - PV'!$P$2,LEFT(E254,1)="l"),"p2",IF(AND(LEFT(C254,3)="EIB",D254='UNC - EIB'!$T$2,LEFT(E254,1)="u",'UNC - EIB'!$R$2="vnđ",TH!P254&lt;&gt;""),"e",IF(AND(LEFT(C254,3)="EIB",D254='UNC - EIB'!$T$2,LEFT(E254,1)="U",'UNC - EIB'!$R$2="usd",TH!O254&lt;&gt;""),"e1",IF(AND(LEFT(C254,3)="EIB",D254='LC - EIB'!$S$2,LEFT(E254,1)="l"),"e2",""))))))</f>
        <v/>
      </c>
    </row>
    <row r="255" spans="1:18" s="57" customFormat="1" ht="18.75" customHeight="1">
      <c r="A255" s="55" t="str">
        <f>IF(AND(C255="pv",E255='UNC - PV'!$S$2,D255='UNC - PV'!$Q$2),"x",IF(AND(LEFT(C255,3)="eib",E255='UNC - EIB'!$V$2,D255='UNC - EIB'!$T$2),"x1",IF(AND(C255="pv",E255='LC - PV'!$R$2,D255='LC - PV'!$P$2),"x2",IF(AND(LEFT(C255,3)="eib",E255='LC - EIB'!$U$2,D255='LC - EIB'!$S$2),"x3",""))))</f>
        <v/>
      </c>
      <c r="B255" s="62">
        <f t="shared" si="18"/>
        <v>252</v>
      </c>
      <c r="C255" s="62" t="s">
        <v>144</v>
      </c>
      <c r="D255" s="67">
        <v>43070</v>
      </c>
      <c r="E255" s="65" t="s">
        <v>23</v>
      </c>
      <c r="F255" s="107" t="s">
        <v>132</v>
      </c>
      <c r="G255" s="71" t="s">
        <v>405</v>
      </c>
      <c r="H255" s="64" t="s">
        <v>163</v>
      </c>
      <c r="I255" s="105" t="s">
        <v>10</v>
      </c>
      <c r="J255" s="56"/>
      <c r="K255" s="67"/>
      <c r="L255" s="65"/>
      <c r="M255" s="65"/>
      <c r="N255" s="64" t="s">
        <v>458</v>
      </c>
      <c r="O255" s="68"/>
      <c r="P255" s="69">
        <f>40500*22703</f>
        <v>919471500</v>
      </c>
      <c r="Q255" s="104"/>
      <c r="R255" s="131" t="str">
        <f>IF(AND(C255="pv",D255='UNC - PV'!$Q$2,LEFT(E255,1)="u",'UNC - PV'!$O$2="vnđ",TH!P255&lt;&gt;""),"p",IF(AND(C255="pv",D255='UNC - PV'!$Q$2,LEFT(E255,1)="u",'UNC - PV'!$O$2="usd",TH!O255&lt;&gt;""),"p1",IF(AND(C255="pv",D255='LC - PV'!$P$2,LEFT(E255,1)="l"),"p2",IF(AND(LEFT(C255,3)="EIB",D255='UNC - EIB'!$T$2,LEFT(E255,1)="u",'UNC - EIB'!$R$2="vnđ",TH!P255&lt;&gt;""),"e",IF(AND(LEFT(C255,3)="EIB",D255='UNC - EIB'!$T$2,LEFT(E255,1)="U",'UNC - EIB'!$R$2="usd",TH!O255&lt;&gt;""),"e1",IF(AND(LEFT(C255,3)="EIB",D255='LC - EIB'!$S$2,LEFT(E255,1)="l"),"e2",""))))))</f>
        <v/>
      </c>
    </row>
    <row r="256" spans="1:18" s="57" customFormat="1" ht="18.75" customHeight="1">
      <c r="A256" s="55" t="str">
        <f>IF(AND(C256="pv",E256='UNC - PV'!$S$2,D256='UNC - PV'!$Q$2),"x",IF(AND(LEFT(C256,3)="eib",E256='UNC - EIB'!$V$2,D256='UNC - EIB'!$T$2),"x1",IF(AND(C256="pv",E256='LC - PV'!$R$2,D256='LC - PV'!$P$2),"x2",IF(AND(LEFT(C256,3)="eib",E256='LC - EIB'!$U$2,D256='LC - EIB'!$S$2),"x3",""))))</f>
        <v/>
      </c>
      <c r="B256" s="62">
        <f t="shared" si="18"/>
        <v>253</v>
      </c>
      <c r="C256" s="62" t="s">
        <v>144</v>
      </c>
      <c r="D256" s="67">
        <v>43073</v>
      </c>
      <c r="E256" s="65" t="s">
        <v>23</v>
      </c>
      <c r="F256" s="107" t="s">
        <v>132</v>
      </c>
      <c r="G256" s="71" t="s">
        <v>405</v>
      </c>
      <c r="H256" s="64" t="s">
        <v>163</v>
      </c>
      <c r="I256" s="105" t="s">
        <v>10</v>
      </c>
      <c r="J256" s="56"/>
      <c r="K256" s="67"/>
      <c r="L256" s="65"/>
      <c r="M256" s="65"/>
      <c r="N256" s="64" t="s">
        <v>459</v>
      </c>
      <c r="O256" s="68"/>
      <c r="P256" s="69">
        <f>67000*22705</f>
        <v>1521235000</v>
      </c>
      <c r="Q256" s="104"/>
      <c r="R256" s="131" t="str">
        <f>IF(AND(C256="pv",D256='UNC - PV'!$Q$2,LEFT(E256,1)="u",'UNC - PV'!$O$2="vnđ",TH!P256&lt;&gt;""),"p",IF(AND(C256="pv",D256='UNC - PV'!$Q$2,LEFT(E256,1)="u",'UNC - PV'!$O$2="usd",TH!O256&lt;&gt;""),"p1",IF(AND(C256="pv",D256='LC - PV'!$P$2,LEFT(E256,1)="l"),"p2",IF(AND(LEFT(C256,3)="EIB",D256='UNC - EIB'!$T$2,LEFT(E256,1)="u",'UNC - EIB'!$R$2="vnđ",TH!P256&lt;&gt;""),"e",IF(AND(LEFT(C256,3)="EIB",D256='UNC - EIB'!$T$2,LEFT(E256,1)="U",'UNC - EIB'!$R$2="usd",TH!O256&lt;&gt;""),"e1",IF(AND(LEFT(C256,3)="EIB",D256='LC - EIB'!$S$2,LEFT(E256,1)="l"),"e2",""))))))</f>
        <v/>
      </c>
    </row>
    <row r="257" spans="1:18" s="57" customFormat="1" ht="18.75" customHeight="1">
      <c r="A257" s="55" t="str">
        <f>IF(AND(C257="pv",E257='UNC - PV'!$S$2,D257='UNC - PV'!$Q$2),"x",IF(AND(LEFT(C257,3)="eib",E257='UNC - EIB'!$V$2,D257='UNC - EIB'!$T$2),"x1",IF(AND(C257="pv",E257='LC - PV'!$R$2,D257='LC - PV'!$P$2),"x2",IF(AND(LEFT(C257,3)="eib",E257='LC - EIB'!$U$2,D257='LC - EIB'!$S$2),"x3",""))))</f>
        <v/>
      </c>
      <c r="B257" s="62">
        <f t="shared" si="18"/>
        <v>254</v>
      </c>
      <c r="C257" s="62" t="s">
        <v>144</v>
      </c>
      <c r="D257" s="67">
        <v>43074</v>
      </c>
      <c r="E257" s="65" t="s">
        <v>23</v>
      </c>
      <c r="F257" s="107" t="s">
        <v>133</v>
      </c>
      <c r="G257" s="107" t="s">
        <v>134</v>
      </c>
      <c r="H257" s="107" t="s">
        <v>130</v>
      </c>
      <c r="I257" s="105" t="s">
        <v>10</v>
      </c>
      <c r="J257" s="66"/>
      <c r="K257" s="67"/>
      <c r="L257" s="65"/>
      <c r="M257" s="65"/>
      <c r="N257" s="107" t="s">
        <v>334</v>
      </c>
      <c r="O257" s="68"/>
      <c r="P257" s="69">
        <v>600000000</v>
      </c>
      <c r="Q257" s="104"/>
      <c r="R257" s="131" t="str">
        <f>IF(AND(C257="pv",D257='UNC - PV'!$Q$2,LEFT(E257,1)="u",'UNC - PV'!$O$2="vnđ",TH!P257&lt;&gt;""),"p",IF(AND(C257="pv",D257='UNC - PV'!$Q$2,LEFT(E257,1)="u",'UNC - PV'!$O$2="usd",TH!O257&lt;&gt;""),"p1",IF(AND(C257="pv",D257='LC - PV'!$P$2,LEFT(E257,1)="l"),"p2",IF(AND(LEFT(C257,3)="EIB",D257='UNC - EIB'!$T$2,LEFT(E257,1)="u",'UNC - EIB'!$R$2="vnđ",TH!P257&lt;&gt;""),"e",IF(AND(LEFT(C257,3)="EIB",D257='UNC - EIB'!$T$2,LEFT(E257,1)="U",'UNC - EIB'!$R$2="usd",TH!O257&lt;&gt;""),"e1",IF(AND(LEFT(C257,3)="EIB",D257='LC - EIB'!$S$2,LEFT(E257,1)="l"),"e2",""))))))</f>
        <v/>
      </c>
    </row>
    <row r="258" spans="1:18" s="57" customFormat="1" ht="18.75" customHeight="1">
      <c r="A258" s="55" t="str">
        <f>IF(AND(C258="pv",E258='UNC - PV'!$S$2,D258='UNC - PV'!$Q$2),"x",IF(AND(LEFT(C258,3)="eib",E258='UNC - EIB'!$V$2,D258='UNC - EIB'!$T$2),"x1",IF(AND(C258="pv",E258='LC - PV'!$R$2,D258='LC - PV'!$P$2),"x2",IF(AND(LEFT(C258,3)="eib",E258='LC - EIB'!$U$2,D258='LC - EIB'!$S$2),"x3",""))))</f>
        <v/>
      </c>
      <c r="B258" s="62">
        <f t="shared" ref="B258:B259" si="19">IF(C258&lt;&gt;"",ROW()-3,"")</f>
        <v>255</v>
      </c>
      <c r="C258" s="62" t="s">
        <v>144</v>
      </c>
      <c r="D258" s="67">
        <v>43082</v>
      </c>
      <c r="E258" s="65" t="s">
        <v>24</v>
      </c>
      <c r="F258" s="107" t="s">
        <v>132</v>
      </c>
      <c r="G258" s="71" t="s">
        <v>405</v>
      </c>
      <c r="H258" s="64" t="s">
        <v>163</v>
      </c>
      <c r="I258" s="105" t="s">
        <v>10</v>
      </c>
      <c r="J258" s="56"/>
      <c r="K258" s="67"/>
      <c r="L258" s="65"/>
      <c r="M258" s="65"/>
      <c r="N258" s="64" t="s">
        <v>460</v>
      </c>
      <c r="O258" s="68"/>
      <c r="P258" s="69">
        <f>84000*22705</f>
        <v>1907220000</v>
      </c>
      <c r="Q258" s="104"/>
      <c r="R258" s="131" t="str">
        <f>IF(AND(C258="pv",D258='UNC - PV'!$Q$2,LEFT(E258,1)="u",'UNC - PV'!$O$2="vnđ",TH!P258&lt;&gt;""),"p",IF(AND(C258="pv",D258='UNC - PV'!$Q$2,LEFT(E258,1)="u",'UNC - PV'!$O$2="usd",TH!O258&lt;&gt;""),"p1",IF(AND(C258="pv",D258='LC - PV'!$P$2,LEFT(E258,1)="l"),"p2",IF(AND(LEFT(C258,3)="EIB",D258='UNC - EIB'!$T$2,LEFT(E258,1)="u",'UNC - EIB'!$R$2="vnđ",TH!P258&lt;&gt;""),"e",IF(AND(LEFT(C258,3)="EIB",D258='UNC - EIB'!$T$2,LEFT(E258,1)="U",'UNC - EIB'!$R$2="usd",TH!O258&lt;&gt;""),"e1",IF(AND(LEFT(C258,3)="EIB",D258='LC - EIB'!$S$2,LEFT(E258,1)="l"),"e2",""))))))</f>
        <v/>
      </c>
    </row>
    <row r="259" spans="1:18" s="57" customFormat="1" ht="18.75" customHeight="1">
      <c r="A259" s="55" t="str">
        <f>IF(AND(C259="pv",E259='UNC - PV'!$S$2,D259='UNC - PV'!$Q$2),"x",IF(AND(LEFT(C259,3)="eib",E259='UNC - EIB'!$V$2,D259='UNC - EIB'!$T$2),"x1",IF(AND(C259="pv",E259='LC - PV'!$R$2,D259='LC - PV'!$P$2),"x2",IF(AND(LEFT(C259,3)="eib",E259='LC - EIB'!$U$2,D259='LC - EIB'!$S$2),"x3",""))))</f>
        <v/>
      </c>
      <c r="B259" s="62">
        <f t="shared" si="19"/>
        <v>256</v>
      </c>
      <c r="C259" s="62" t="s">
        <v>144</v>
      </c>
      <c r="D259" s="67">
        <v>43082</v>
      </c>
      <c r="E259" s="65" t="s">
        <v>25</v>
      </c>
      <c r="F259" s="107" t="s">
        <v>132</v>
      </c>
      <c r="G259" s="71" t="s">
        <v>405</v>
      </c>
      <c r="H259" s="64" t="s">
        <v>163</v>
      </c>
      <c r="I259" s="105" t="s">
        <v>10</v>
      </c>
      <c r="J259" s="56"/>
      <c r="K259" s="67"/>
      <c r="L259" s="65"/>
      <c r="M259" s="65"/>
      <c r="N259" s="64" t="s">
        <v>461</v>
      </c>
      <c r="O259" s="68"/>
      <c r="P259" s="69">
        <f>40100*22705</f>
        <v>910470500</v>
      </c>
      <c r="Q259" s="104"/>
      <c r="R259" s="131" t="str">
        <f>IF(AND(C259="pv",D259='UNC - PV'!$Q$2,LEFT(E259,1)="u",'UNC - PV'!$O$2="vnđ",TH!P259&lt;&gt;""),"p",IF(AND(C259="pv",D259='UNC - PV'!$Q$2,LEFT(E259,1)="u",'UNC - PV'!$O$2="usd",TH!O259&lt;&gt;""),"p1",IF(AND(C259="pv",D259='LC - PV'!$P$2,LEFT(E259,1)="l"),"p2",IF(AND(LEFT(C259,3)="EIB",D259='UNC - EIB'!$T$2,LEFT(E259,1)="u",'UNC - EIB'!$R$2="vnđ",TH!P259&lt;&gt;""),"e",IF(AND(LEFT(C259,3)="EIB",D259='UNC - EIB'!$T$2,LEFT(E259,1)="U",'UNC - EIB'!$R$2="usd",TH!O259&lt;&gt;""),"e1",IF(AND(LEFT(C259,3)="EIB",D259='LC - EIB'!$S$2,LEFT(E259,1)="l"),"e2",""))))))</f>
        <v/>
      </c>
    </row>
    <row r="260" spans="1:18" s="57" customFormat="1" ht="18.75" customHeight="1">
      <c r="A260" s="55" t="str">
        <f>IF(AND(C260="pv",E260='UNC - PV'!$S$2,D260='UNC - PV'!$Q$2),"x",IF(AND(LEFT(C260,3)="eib",E260='UNC - EIB'!$V$2,D260='UNC - EIB'!$T$2),"x1",IF(AND(C260="pv",E260='LC - PV'!$R$2,D260='LC - PV'!$P$2),"x2",IF(AND(LEFT(C260,3)="eib",E260='LC - EIB'!$U$2,D260='LC - EIB'!$S$2),"x3",""))))</f>
        <v/>
      </c>
      <c r="B260" s="62">
        <f t="shared" si="18"/>
        <v>257</v>
      </c>
      <c r="C260" s="62" t="s">
        <v>144</v>
      </c>
      <c r="D260" s="67">
        <v>43088</v>
      </c>
      <c r="E260" s="65" t="s">
        <v>23</v>
      </c>
      <c r="F260" s="107" t="s">
        <v>133</v>
      </c>
      <c r="G260" s="107" t="s">
        <v>134</v>
      </c>
      <c r="H260" s="107" t="s">
        <v>130</v>
      </c>
      <c r="I260" s="105" t="s">
        <v>10</v>
      </c>
      <c r="J260" s="66"/>
      <c r="K260" s="67"/>
      <c r="L260" s="65"/>
      <c r="M260" s="65"/>
      <c r="N260" s="107" t="s">
        <v>334</v>
      </c>
      <c r="O260" s="68"/>
      <c r="P260" s="69">
        <f>6050000000-200000000</f>
        <v>5850000000</v>
      </c>
      <c r="Q260" s="104"/>
      <c r="R260" s="131" t="str">
        <f>IF(AND(C260="pv",D260='UNC - PV'!$Q$2,LEFT(E260,1)="u",'UNC - PV'!$O$2="vnđ",TH!P260&lt;&gt;""),"p",IF(AND(C260="pv",D260='UNC - PV'!$Q$2,LEFT(E260,1)="u",'UNC - PV'!$O$2="usd",TH!O260&lt;&gt;""),"p1",IF(AND(C260="pv",D260='LC - PV'!$P$2,LEFT(E260,1)="l"),"p2",IF(AND(LEFT(C260,3)="EIB",D260='UNC - EIB'!$T$2,LEFT(E260,1)="u",'UNC - EIB'!$R$2="vnđ",TH!P260&lt;&gt;""),"e",IF(AND(LEFT(C260,3)="EIB",D260='UNC - EIB'!$T$2,LEFT(E260,1)="U",'UNC - EIB'!$R$2="usd",TH!O260&lt;&gt;""),"e1",IF(AND(LEFT(C260,3)="EIB",D260='LC - EIB'!$S$2,LEFT(E260,1)="l"),"e2",""))))))</f>
        <v/>
      </c>
    </row>
    <row r="261" spans="1:18" s="57" customFormat="1" ht="18.75" customHeight="1">
      <c r="A261" s="55" t="str">
        <f>IF(AND(C261="pv",E261='UNC - PV'!$S$2,D261='UNC - PV'!$Q$2),"x",IF(AND(LEFT(C261,3)="eib",E261='UNC - EIB'!$V$2,D261='UNC - EIB'!$T$2),"x1",IF(AND(C261="pv",E261='LC - PV'!$R$2,D261='LC - PV'!$P$2),"x2",IF(AND(LEFT(C261,3)="eib",E261='LC - EIB'!$U$2,D261='LC - EIB'!$S$2),"x3",""))))</f>
        <v/>
      </c>
      <c r="B261" s="62">
        <f t="shared" si="18"/>
        <v>258</v>
      </c>
      <c r="C261" s="62" t="s">
        <v>104</v>
      </c>
      <c r="D261" s="67">
        <v>43090</v>
      </c>
      <c r="E261" s="65" t="s">
        <v>23</v>
      </c>
      <c r="F261" s="107" t="s">
        <v>133</v>
      </c>
      <c r="G261" s="107" t="s">
        <v>134</v>
      </c>
      <c r="H261" s="107" t="s">
        <v>130</v>
      </c>
      <c r="I261" s="105" t="s">
        <v>10</v>
      </c>
      <c r="J261" s="66"/>
      <c r="K261" s="67"/>
      <c r="L261" s="65"/>
      <c r="M261" s="65"/>
      <c r="N261" s="64" t="s">
        <v>129</v>
      </c>
      <c r="O261" s="68">
        <v>122300</v>
      </c>
      <c r="P261" s="69"/>
      <c r="Q261" s="104"/>
      <c r="R261" s="131" t="str">
        <f>IF(AND(C261="pv",D261='UNC - PV'!$Q$2,LEFT(E261,1)="u",'UNC - PV'!$O$2="vnđ",TH!P261&lt;&gt;""),"p",IF(AND(C261="pv",D261='UNC - PV'!$Q$2,LEFT(E261,1)="u",'UNC - PV'!$O$2="usd",TH!O261&lt;&gt;""),"p1",IF(AND(C261="pv",D261='LC - PV'!$P$2,LEFT(E261,1)="l"),"p2",IF(AND(LEFT(C261,3)="EIB",D261='UNC - EIB'!$T$2,LEFT(E261,1)="u",'UNC - EIB'!$R$2="vnđ",TH!P261&lt;&gt;""),"e",IF(AND(LEFT(C261,3)="EIB",D261='UNC - EIB'!$T$2,LEFT(E261,1)="U",'UNC - EIB'!$R$2="usd",TH!O261&lt;&gt;""),"e1",IF(AND(LEFT(C261,3)="EIB",D261='LC - EIB'!$S$2,LEFT(E261,1)="l"),"e2",""))))))</f>
        <v/>
      </c>
    </row>
    <row r="262" spans="1:18" s="57" customFormat="1" ht="18.75" customHeight="1">
      <c r="A262" s="55" t="str">
        <f>IF(AND(C262="pv",E262='UNC - PV'!$S$2,D262='UNC - PV'!$Q$2),"x",IF(AND(LEFT(C262,3)="eib",E262='UNC - EIB'!$V$2,D262='UNC - EIB'!$T$2),"x1",IF(AND(C262="pv",E262='LC - PV'!$R$2,D262='LC - PV'!$P$2),"x2",IF(AND(LEFT(C262,3)="eib",E262='LC - EIB'!$U$2,D262='LC - EIB'!$S$2),"x3",""))))</f>
        <v/>
      </c>
      <c r="B262" s="62">
        <f t="shared" si="18"/>
        <v>259</v>
      </c>
      <c r="C262" s="62" t="s">
        <v>144</v>
      </c>
      <c r="D262" s="67">
        <v>43091</v>
      </c>
      <c r="E262" s="65" t="s">
        <v>23</v>
      </c>
      <c r="F262" s="107" t="s">
        <v>132</v>
      </c>
      <c r="G262" s="71" t="s">
        <v>405</v>
      </c>
      <c r="H262" s="64" t="s">
        <v>163</v>
      </c>
      <c r="I262" s="105" t="s">
        <v>10</v>
      </c>
      <c r="J262" s="56"/>
      <c r="K262" s="67"/>
      <c r="L262" s="65"/>
      <c r="M262" s="65"/>
      <c r="N262" s="64" t="s">
        <v>463</v>
      </c>
      <c r="O262" s="68"/>
      <c r="P262" s="69">
        <f>23662*22702</f>
        <v>537174724</v>
      </c>
      <c r="Q262" s="104"/>
      <c r="R262" s="131" t="str">
        <f>IF(AND(C262="pv",D262='UNC - PV'!$Q$2,LEFT(E262,1)="u",'UNC - PV'!$O$2="vnđ",TH!P262&lt;&gt;""),"p",IF(AND(C262="pv",D262='UNC - PV'!$Q$2,LEFT(E262,1)="u",'UNC - PV'!$O$2="usd",TH!O262&lt;&gt;""),"p1",IF(AND(C262="pv",D262='LC - PV'!$P$2,LEFT(E262,1)="l"),"p2",IF(AND(LEFT(C262,3)="EIB",D262='UNC - EIB'!$T$2,LEFT(E262,1)="u",'UNC - EIB'!$R$2="vnđ",TH!P262&lt;&gt;""),"e",IF(AND(LEFT(C262,3)="EIB",D262='UNC - EIB'!$T$2,LEFT(E262,1)="U",'UNC - EIB'!$R$2="usd",TH!O262&lt;&gt;""),"e1",IF(AND(LEFT(C262,3)="EIB",D262='LC - EIB'!$S$2,LEFT(E262,1)="l"),"e2",""))))))</f>
        <v/>
      </c>
    </row>
    <row r="263" spans="1:18" s="57" customFormat="1" ht="18.75" customHeight="1">
      <c r="A263" s="55" t="str">
        <f>IF(AND(C263="pv",E263='UNC - PV'!$S$2,D263='UNC - PV'!$Q$2),"x",IF(AND(LEFT(C263,3)="eib",E263='UNC - EIB'!$V$2,D263='UNC - EIB'!$T$2),"x1",IF(AND(C263="pv",E263='LC - PV'!$R$2,D263='LC - PV'!$P$2),"x2",IF(AND(LEFT(C263,3)="eib",E263='LC - EIB'!$U$2,D263='LC - EIB'!$S$2),"x3",""))))</f>
        <v/>
      </c>
      <c r="B263" s="62">
        <f t="shared" si="18"/>
        <v>260</v>
      </c>
      <c r="C263" s="62" t="s">
        <v>144</v>
      </c>
      <c r="D263" s="67">
        <v>43091</v>
      </c>
      <c r="E263" s="65" t="s">
        <v>24</v>
      </c>
      <c r="F263" s="107" t="s">
        <v>132</v>
      </c>
      <c r="G263" s="71" t="s">
        <v>405</v>
      </c>
      <c r="H263" s="64" t="s">
        <v>163</v>
      </c>
      <c r="I263" s="105" t="s">
        <v>10</v>
      </c>
      <c r="J263" s="56"/>
      <c r="K263" s="67"/>
      <c r="L263" s="65"/>
      <c r="M263" s="65"/>
      <c r="N263" s="64" t="s">
        <v>464</v>
      </c>
      <c r="O263" s="68"/>
      <c r="P263" s="69">
        <f>92500*22702</f>
        <v>2099935000</v>
      </c>
      <c r="Q263" s="104"/>
      <c r="R263" s="131" t="str">
        <f>IF(AND(C263="pv",D263='UNC - PV'!$Q$2,LEFT(E263,1)="u",'UNC - PV'!$O$2="vnđ",TH!P263&lt;&gt;""),"p",IF(AND(C263="pv",D263='UNC - PV'!$Q$2,LEFT(E263,1)="u",'UNC - PV'!$O$2="usd",TH!O263&lt;&gt;""),"p1",IF(AND(C263="pv",D263='LC - PV'!$P$2,LEFT(E263,1)="l"),"p2",IF(AND(LEFT(C263,3)="EIB",D263='UNC - EIB'!$T$2,LEFT(E263,1)="u",'UNC - EIB'!$R$2="vnđ",TH!P263&lt;&gt;""),"e",IF(AND(LEFT(C263,3)="EIB",D263='UNC - EIB'!$T$2,LEFT(E263,1)="U",'UNC - EIB'!$R$2="usd",TH!O263&lt;&gt;""),"e1",IF(AND(LEFT(C263,3)="EIB",D263='LC - EIB'!$S$2,LEFT(E263,1)="l"),"e2",""))))))</f>
        <v/>
      </c>
    </row>
    <row r="264" spans="1:18" s="57" customFormat="1" ht="18.75" customHeight="1">
      <c r="A264" s="55" t="str">
        <f>IF(AND(C264="pv",E264='UNC - PV'!$S$2,D264='UNC - PV'!$Q$2),"x",IF(AND(LEFT(C264,3)="eib",E264='UNC - EIB'!$V$2,D264='UNC - EIB'!$T$2),"x1",IF(AND(C264="pv",E264='LC - PV'!$R$2,D264='LC - PV'!$P$2),"x2",IF(AND(LEFT(C264,3)="eib",E264='LC - EIB'!$U$2,D264='LC - EIB'!$S$2),"x3",""))))</f>
        <v/>
      </c>
      <c r="B264" s="62">
        <f t="shared" si="18"/>
        <v>261</v>
      </c>
      <c r="C264" s="62" t="s">
        <v>144</v>
      </c>
      <c r="D264" s="67">
        <v>43095</v>
      </c>
      <c r="E264" s="65" t="s">
        <v>23</v>
      </c>
      <c r="F264" s="107" t="s">
        <v>133</v>
      </c>
      <c r="G264" s="107" t="s">
        <v>134</v>
      </c>
      <c r="H264" s="107" t="s">
        <v>130</v>
      </c>
      <c r="I264" s="105" t="s">
        <v>10</v>
      </c>
      <c r="J264" s="66"/>
      <c r="K264" s="67"/>
      <c r="L264" s="65"/>
      <c r="M264" s="65"/>
      <c r="N264" s="107" t="s">
        <v>334</v>
      </c>
      <c r="O264" s="68"/>
      <c r="P264" s="69">
        <v>3590000000</v>
      </c>
      <c r="Q264" s="104"/>
      <c r="R264" s="131" t="str">
        <f>IF(AND(C264="pv",D264='UNC - PV'!$Q$2,LEFT(E264,1)="u",'UNC - PV'!$O$2="vnđ",TH!P264&lt;&gt;""),"p",IF(AND(C264="pv",D264='UNC - PV'!$Q$2,LEFT(E264,1)="u",'UNC - PV'!$O$2="usd",TH!O264&lt;&gt;""),"p1",IF(AND(C264="pv",D264='LC - PV'!$P$2,LEFT(E264,1)="l"),"p2",IF(AND(LEFT(C264,3)="EIB",D264='UNC - EIB'!$T$2,LEFT(E264,1)="u",'UNC - EIB'!$R$2="vnđ",TH!P264&lt;&gt;""),"e",IF(AND(LEFT(C264,3)="EIB",D264='UNC - EIB'!$T$2,LEFT(E264,1)="U",'UNC - EIB'!$R$2="usd",TH!O264&lt;&gt;""),"e1",IF(AND(LEFT(C264,3)="EIB",D264='LC - EIB'!$S$2,LEFT(E264,1)="l"),"e2",""))))))</f>
        <v/>
      </c>
    </row>
    <row r="265" spans="1:18" s="57" customFormat="1" ht="18.75" customHeight="1">
      <c r="A265" s="55" t="str">
        <f>IF(AND(C265="pv",E265='UNC - PV'!$S$2,D265='UNC - PV'!$Q$2),"x",IF(AND(LEFT(C265,3)="eib",E265='UNC - EIB'!$V$2,D265='UNC - EIB'!$T$2),"x1",IF(AND(C265="pv",E265='LC - PV'!$R$2,D265='LC - PV'!$P$2),"x2",IF(AND(LEFT(C265,3)="eib",E265='LC - EIB'!$U$2,D265='LC - EIB'!$S$2),"x3",""))))</f>
        <v/>
      </c>
      <c r="B265" s="62">
        <f t="shared" ref="B265" si="20">IF(C265&lt;&gt;"",ROW()-3,"")</f>
        <v>262</v>
      </c>
      <c r="C265" s="62" t="s">
        <v>104</v>
      </c>
      <c r="D265" s="67">
        <v>43096</v>
      </c>
      <c r="E265" s="65" t="s">
        <v>23</v>
      </c>
      <c r="F265" s="107" t="s">
        <v>133</v>
      </c>
      <c r="G265" s="107" t="s">
        <v>134</v>
      </c>
      <c r="H265" s="107" t="s">
        <v>130</v>
      </c>
      <c r="I265" s="105" t="s">
        <v>10</v>
      </c>
      <c r="J265" s="66"/>
      <c r="K265" s="67"/>
      <c r="L265" s="65"/>
      <c r="M265" s="65"/>
      <c r="N265" s="64" t="s">
        <v>129</v>
      </c>
      <c r="O265" s="68">
        <v>258500</v>
      </c>
      <c r="P265" s="69"/>
      <c r="Q265" s="104"/>
      <c r="R265" s="131" t="str">
        <f>IF(AND(C265="pv",D265='UNC - PV'!$Q$2,LEFT(E265,1)="u",'UNC - PV'!$O$2="vnđ",TH!P265&lt;&gt;""),"p",IF(AND(C265="pv",D265='UNC - PV'!$Q$2,LEFT(E265,1)="u",'UNC - PV'!$O$2="usd",TH!O265&lt;&gt;""),"p1",IF(AND(C265="pv",D265='LC - PV'!$P$2,LEFT(E265,1)="l"),"p2",IF(AND(LEFT(C265,3)="EIB",D265='UNC - EIB'!$T$2,LEFT(E265,1)="u",'UNC - EIB'!$R$2="vnđ",TH!P265&lt;&gt;""),"e",IF(AND(LEFT(C265,3)="EIB",D265='UNC - EIB'!$T$2,LEFT(E265,1)="U",'UNC - EIB'!$R$2="usd",TH!O265&lt;&gt;""),"e1",IF(AND(LEFT(C265,3)="EIB",D265='LC - EIB'!$S$2,LEFT(E265,1)="l"),"e2",""))))))</f>
        <v/>
      </c>
    </row>
    <row r="266" spans="1:18" s="57" customFormat="1" ht="18.75" customHeight="1">
      <c r="A266" s="55" t="str">
        <f>IF(AND(C266="pv",E266='UNC - PV'!$S$2,D266='UNC - PV'!$Q$2),"x",IF(AND(LEFT(C266,3)="eib",E266='UNC - EIB'!$V$2,D266='UNC - EIB'!$T$2),"x1",IF(AND(C266="pv",E266='LC - PV'!$R$2,D266='LC - PV'!$P$2),"x2",IF(AND(LEFT(C266,3)="eib",E266='LC - EIB'!$U$2,D266='LC - EIB'!$S$2),"x3",""))))</f>
        <v/>
      </c>
      <c r="B266" s="62">
        <f t="shared" si="18"/>
        <v>263</v>
      </c>
      <c r="C266" s="62" t="s">
        <v>128</v>
      </c>
      <c r="D266" s="67">
        <v>43097</v>
      </c>
      <c r="E266" s="65" t="s">
        <v>23</v>
      </c>
      <c r="F266" s="107" t="s">
        <v>133</v>
      </c>
      <c r="G266" s="107" t="s">
        <v>134</v>
      </c>
      <c r="H266" s="107" t="s">
        <v>130</v>
      </c>
      <c r="I266" s="105" t="s">
        <v>10</v>
      </c>
      <c r="J266" s="66"/>
      <c r="K266" s="67"/>
      <c r="L266" s="65"/>
      <c r="M266" s="65"/>
      <c r="N266" s="107" t="s">
        <v>334</v>
      </c>
      <c r="O266" s="68"/>
      <c r="P266" s="69">
        <v>5619134000</v>
      </c>
      <c r="Q266" s="104"/>
      <c r="R266" s="131" t="str">
        <f>IF(AND(C266="pv",D266='UNC - PV'!$Q$2,LEFT(E266,1)="u",'UNC - PV'!$O$2="vnđ",TH!P266&lt;&gt;""),"p",IF(AND(C266="pv",D266='UNC - PV'!$Q$2,LEFT(E266,1)="u",'UNC - PV'!$O$2="usd",TH!O266&lt;&gt;""),"p1",IF(AND(C266="pv",D266='LC - PV'!$P$2,LEFT(E266,1)="l"),"p2",IF(AND(LEFT(C266,3)="EIB",D266='UNC - EIB'!$T$2,LEFT(E266,1)="u",'UNC - EIB'!$R$2="vnđ",TH!P266&lt;&gt;""),"e",IF(AND(LEFT(C266,3)="EIB",D266='UNC - EIB'!$T$2,LEFT(E266,1)="U",'UNC - EIB'!$R$2="usd",TH!O266&lt;&gt;""),"e1",IF(AND(LEFT(C266,3)="EIB",D266='LC - EIB'!$S$2,LEFT(E266,1)="l"),"e2",""))))))</f>
        <v/>
      </c>
    </row>
    <row r="267" spans="1:18" s="57" customFormat="1" ht="18.75" customHeight="1">
      <c r="A267" s="55" t="str">
        <f>IF(AND(C267="pv",E267='UNC - PV'!$S$2,D267='UNC - PV'!$Q$2),"x",IF(AND(LEFT(C267,3)="eib",E267='UNC - EIB'!$V$2,D267='UNC - EIB'!$T$2),"x1",IF(AND(C267="pv",E267='LC - PV'!$R$2,D267='LC - PV'!$P$2),"x2",IF(AND(LEFT(C267,3)="eib",E267='LC - EIB'!$U$2,D267='LC - EIB'!$S$2),"x3",""))))</f>
        <v/>
      </c>
      <c r="B267" s="62">
        <f t="shared" si="18"/>
        <v>264</v>
      </c>
      <c r="C267" s="62" t="s">
        <v>144</v>
      </c>
      <c r="D267" s="67">
        <v>43097</v>
      </c>
      <c r="E267" s="65" t="s">
        <v>24</v>
      </c>
      <c r="F267" s="107" t="s">
        <v>132</v>
      </c>
      <c r="G267" s="71" t="s">
        <v>405</v>
      </c>
      <c r="H267" s="64" t="s">
        <v>163</v>
      </c>
      <c r="I267" s="105" t="s">
        <v>10</v>
      </c>
      <c r="J267" s="56"/>
      <c r="K267" s="67"/>
      <c r="L267" s="65"/>
      <c r="M267" s="65"/>
      <c r="N267" s="64" t="s">
        <v>465</v>
      </c>
      <c r="O267" s="68"/>
      <c r="P267" s="69">
        <f>26200*22700</f>
        <v>594740000</v>
      </c>
      <c r="Q267" s="104"/>
      <c r="R267" s="131" t="str">
        <f>IF(AND(C267="pv",D267='UNC - PV'!$Q$2,LEFT(E267,1)="u",'UNC - PV'!$O$2="vnđ",TH!P267&lt;&gt;""),"p",IF(AND(C267="pv",D267='UNC - PV'!$Q$2,LEFT(E267,1)="u",'UNC - PV'!$O$2="usd",TH!O267&lt;&gt;""),"p1",IF(AND(C267="pv",D267='LC - PV'!$P$2,LEFT(E267,1)="l"),"p2",IF(AND(LEFT(C267,3)="EIB",D267='UNC - EIB'!$T$2,LEFT(E267,1)="u",'UNC - EIB'!$R$2="vnđ",TH!P267&lt;&gt;""),"e",IF(AND(LEFT(C267,3)="EIB",D267='UNC - EIB'!$T$2,LEFT(E267,1)="U",'UNC - EIB'!$R$2="usd",TH!O267&lt;&gt;""),"e1",IF(AND(LEFT(C267,3)="EIB",D267='LC - EIB'!$S$2,LEFT(E267,1)="l"),"e2",""))))))</f>
        <v/>
      </c>
    </row>
    <row r="268" spans="1:18" s="57" customFormat="1" ht="18.75" customHeight="1">
      <c r="A268" s="55" t="str">
        <f>IF(AND(C268="pv",E268='UNC - PV'!$S$2,D268='UNC - PV'!$Q$2),"x",IF(AND(LEFT(C268,3)="eib",E268='UNC - EIB'!$V$2,D268='UNC - EIB'!$T$2),"x1",IF(AND(C268="pv",E268='LC - PV'!$R$2,D268='LC - PV'!$P$2),"x2",IF(AND(LEFT(C268,3)="eib",E268='LC - EIB'!$U$2,D268='LC - EIB'!$S$2),"x3",""))))</f>
        <v/>
      </c>
      <c r="B268" s="62">
        <f t="shared" si="18"/>
        <v>265</v>
      </c>
      <c r="C268" s="62" t="s">
        <v>144</v>
      </c>
      <c r="D268" s="67">
        <v>43098</v>
      </c>
      <c r="E268" s="65" t="s">
        <v>23</v>
      </c>
      <c r="F268" s="64" t="s">
        <v>275</v>
      </c>
      <c r="G268" s="64" t="s">
        <v>276</v>
      </c>
      <c r="H268" s="64" t="s">
        <v>277</v>
      </c>
      <c r="I268" s="65" t="s">
        <v>278</v>
      </c>
      <c r="J268" s="66"/>
      <c r="K268" s="67"/>
      <c r="L268" s="65"/>
      <c r="M268" s="65"/>
      <c r="N268" s="64" t="s">
        <v>274</v>
      </c>
      <c r="O268" s="68"/>
      <c r="P268" s="69">
        <v>44307122</v>
      </c>
      <c r="Q268" s="104"/>
      <c r="R268" s="131" t="str">
        <f>IF(AND(C268="pv",D268='UNC - PV'!$Q$2,LEFT(E268,1)="u",'UNC - PV'!$O$2="vnđ",TH!P268&lt;&gt;""),"p",IF(AND(C268="pv",D268='UNC - PV'!$Q$2,LEFT(E268,1)="u",'UNC - PV'!$O$2="usd",TH!O268&lt;&gt;""),"p1",IF(AND(C268="pv",D268='LC - PV'!$P$2,LEFT(E268,1)="l"),"p2",IF(AND(LEFT(C268,3)="EIB",D268='UNC - EIB'!$T$2,LEFT(E268,1)="u",'UNC - EIB'!$R$2="vnđ",TH!P268&lt;&gt;""),"e",IF(AND(LEFT(C268,3)="EIB",D268='UNC - EIB'!$T$2,LEFT(E268,1)="U",'UNC - EIB'!$R$2="usd",TH!O268&lt;&gt;""),"e1",IF(AND(LEFT(C268,3)="EIB",D268='LC - EIB'!$S$2,LEFT(E268,1)="l"),"e2",""))))))</f>
        <v/>
      </c>
    </row>
    <row r="269" spans="1:18" s="57" customFormat="1" ht="18.75" customHeight="1">
      <c r="A269" s="55" t="str">
        <f>IF(AND(C269="pv",E269='UNC - PV'!$S$2,D269='UNC - PV'!$Q$2),"x",IF(AND(LEFT(C269,3)="eib",E269='UNC - EIB'!$V$2,D269='UNC - EIB'!$T$2),"x1",IF(AND(C269="pv",E269='LC - PV'!$R$2,D269='LC - PV'!$P$2),"x2",IF(AND(LEFT(C269,3)="eib",E269='LC - EIB'!$U$2,D269='LC - EIB'!$S$2),"x3",""))))</f>
        <v/>
      </c>
      <c r="B269" s="62">
        <f t="shared" si="18"/>
        <v>266</v>
      </c>
      <c r="C269" s="62" t="s">
        <v>144</v>
      </c>
      <c r="D269" s="67">
        <v>43098</v>
      </c>
      <c r="E269" s="65" t="s">
        <v>24</v>
      </c>
      <c r="F269" s="107" t="s">
        <v>132</v>
      </c>
      <c r="G269" s="71" t="s">
        <v>405</v>
      </c>
      <c r="H269" s="64" t="s">
        <v>163</v>
      </c>
      <c r="I269" s="105" t="s">
        <v>10</v>
      </c>
      <c r="J269" s="56"/>
      <c r="K269" s="67"/>
      <c r="L269" s="65"/>
      <c r="M269" s="65"/>
      <c r="N269" s="64" t="s">
        <v>466</v>
      </c>
      <c r="O269" s="68"/>
      <c r="P269" s="69">
        <f>25080*22700</f>
        <v>569316000</v>
      </c>
      <c r="Q269" s="104"/>
      <c r="R269" s="131" t="str">
        <f>IF(AND(C269="pv",D269='UNC - PV'!$Q$2,LEFT(E269,1)="u",'UNC - PV'!$O$2="vnđ",TH!P269&lt;&gt;""),"p",IF(AND(C269="pv",D269='UNC - PV'!$Q$2,LEFT(E269,1)="u",'UNC - PV'!$O$2="usd",TH!O269&lt;&gt;""),"p1",IF(AND(C269="pv",D269='LC - PV'!$P$2,LEFT(E269,1)="l"),"p2",IF(AND(LEFT(C269,3)="EIB",D269='UNC - EIB'!$T$2,LEFT(E269,1)="u",'UNC - EIB'!$R$2="vnđ",TH!P269&lt;&gt;""),"e",IF(AND(LEFT(C269,3)="EIB",D269='UNC - EIB'!$T$2,LEFT(E269,1)="U",'UNC - EIB'!$R$2="usd",TH!O269&lt;&gt;""),"e1",IF(AND(LEFT(C269,3)="EIB",D269='LC - EIB'!$S$2,LEFT(E269,1)="l"),"e2",""))))))</f>
        <v/>
      </c>
    </row>
    <row r="270" spans="1:18" s="57" customFormat="1" ht="18.75" customHeight="1">
      <c r="A270" s="55" t="str">
        <f>IF(AND(C270="pv",E270='UNC - PV'!$S$2,D270='UNC - PV'!$Q$2),"x",IF(AND(LEFT(C270,3)="eib",E270='UNC - EIB'!$V$2,D270='UNC - EIB'!$T$2),"x1",IF(AND(C270="pv",E270='LC - PV'!$R$2,D270='LC - PV'!$P$2),"x2",IF(AND(LEFT(C270,3)="eib",E270='LC - EIB'!$U$2,D270='LC - EIB'!$S$2),"x3",""))))</f>
        <v/>
      </c>
      <c r="B270" s="62">
        <f t="shared" si="10"/>
        <v>267</v>
      </c>
      <c r="C270" s="62" t="s">
        <v>144</v>
      </c>
      <c r="D270" s="67">
        <v>43098</v>
      </c>
      <c r="E270" s="65" t="s">
        <v>25</v>
      </c>
      <c r="F270" s="64" t="s">
        <v>366</v>
      </c>
      <c r="G270" s="71" t="s">
        <v>408</v>
      </c>
      <c r="H270" s="64" t="s">
        <v>368</v>
      </c>
      <c r="I270" s="65" t="s">
        <v>35</v>
      </c>
      <c r="J270" s="66"/>
      <c r="K270" s="67"/>
      <c r="L270" s="65"/>
      <c r="M270" s="65"/>
      <c r="N270" s="64" t="s">
        <v>467</v>
      </c>
      <c r="O270" s="68"/>
      <c r="P270" s="69">
        <f>30915720+25284270</f>
        <v>56199990</v>
      </c>
      <c r="Q270" s="104"/>
      <c r="R270" s="131" t="str">
        <f>IF(AND(C270="pv",D270='UNC - PV'!$Q$2,LEFT(E270,1)="u",'UNC - PV'!$O$2="vnđ",TH!P270&lt;&gt;""),"p",IF(AND(C270="pv",D270='UNC - PV'!$Q$2,LEFT(E270,1)="u",'UNC - PV'!$O$2="usd",TH!O270&lt;&gt;""),"p1",IF(AND(C270="pv",D270='LC - PV'!$P$2,LEFT(E270,1)="l"),"p2",IF(AND(LEFT(C270,3)="EIB",D270='UNC - EIB'!$T$2,LEFT(E270,1)="u",'UNC - EIB'!$R$2="vnđ",TH!P270&lt;&gt;""),"e",IF(AND(LEFT(C270,3)="EIB",D270='UNC - EIB'!$T$2,LEFT(E270,1)="U",'UNC - EIB'!$R$2="usd",TH!O270&lt;&gt;""),"e1",IF(AND(LEFT(C270,3)="EIB",D270='LC - EIB'!$S$2,LEFT(E270,1)="l"),"e2",""))))))</f>
        <v/>
      </c>
    </row>
    <row r="271" spans="1:18" s="57" customFormat="1" ht="18.75" customHeight="1">
      <c r="A271" s="55" t="str">
        <f>IF(AND(C271="pv",E271='UNC - PV'!$S$2,D271='UNC - PV'!$Q$2),"x",IF(AND(LEFT(C271,3)="eib",E271='UNC - EIB'!$V$2,D271='UNC - EIB'!$T$2),"x1",IF(AND(C271="pv",E271='LC - PV'!$R$2,D271='LC - PV'!$P$2),"x2",IF(AND(LEFT(C271,3)="eib",E271='LC - EIB'!$U$2,D271='LC - EIB'!$S$2),"x3",""))))</f>
        <v>x1</v>
      </c>
      <c r="B271" s="62">
        <f t="shared" si="10"/>
        <v>268</v>
      </c>
      <c r="C271" s="62" t="s">
        <v>104</v>
      </c>
      <c r="D271" s="67">
        <v>43103</v>
      </c>
      <c r="E271" s="65" t="s">
        <v>23</v>
      </c>
      <c r="F271" s="107" t="s">
        <v>133</v>
      </c>
      <c r="G271" s="107" t="s">
        <v>134</v>
      </c>
      <c r="H271" s="107" t="s">
        <v>130</v>
      </c>
      <c r="I271" s="105" t="s">
        <v>10</v>
      </c>
      <c r="J271" s="66"/>
      <c r="K271" s="67"/>
      <c r="L271" s="65"/>
      <c r="M271" s="65"/>
      <c r="N271" s="64" t="s">
        <v>129</v>
      </c>
      <c r="O271" s="68">
        <v>98200</v>
      </c>
      <c r="P271" s="69"/>
      <c r="Q271" s="104"/>
      <c r="R271" s="131" t="str">
        <f>IF(AND(C271="pv",D271='UNC - PV'!$Q$2,LEFT(E271,1)="u",'UNC - PV'!$O$2="vnđ",TH!P271&lt;&gt;""),"p",IF(AND(C271="pv",D271='UNC - PV'!$Q$2,LEFT(E271,1)="u",'UNC - PV'!$O$2="usd",TH!O271&lt;&gt;""),"p1",IF(AND(C271="pv",D271='LC - PV'!$P$2,LEFT(E271,1)="l"),"p2",IF(AND(LEFT(C271,3)="EIB",D271='UNC - EIB'!$T$2,LEFT(E271,1)="u",'UNC - EIB'!$R$2="vnđ",TH!P271&lt;&gt;""),"e",IF(AND(LEFT(C271,3)="EIB",D271='UNC - EIB'!$T$2,LEFT(E271,1)="U",'UNC - EIB'!$R$2="usd",TH!O271&lt;&gt;""),"e1",IF(AND(LEFT(C271,3)="EIB",D271='LC - EIB'!$S$2,LEFT(E271,1)="l"),"e2",""))))))</f>
        <v>e1</v>
      </c>
    </row>
    <row r="272" spans="1:18" s="57" customFormat="1" ht="18.75" customHeight="1">
      <c r="A272" s="55" t="str">
        <f>IF(AND(C272="pv",E272='UNC - PV'!$S$2,D272='UNC - PV'!$Q$2),"x",IF(AND(LEFT(C272,3)="eib",E272='UNC - EIB'!$V$2,D272='UNC - EIB'!$T$2),"x1",IF(AND(C272="pv",E272='LC - PV'!$R$2,D272='LC - PV'!$P$2),"x2",IF(AND(LEFT(C272,3)="eib",E272='LC - EIB'!$U$2,D272='LC - EIB'!$S$2),"x3",""))))</f>
        <v/>
      </c>
      <c r="B272" s="62">
        <f t="shared" si="10"/>
        <v>269</v>
      </c>
      <c r="C272" s="62" t="s">
        <v>144</v>
      </c>
      <c r="D272" s="67">
        <v>43104</v>
      </c>
      <c r="E272" s="65" t="s">
        <v>23</v>
      </c>
      <c r="F272" s="64" t="s">
        <v>330</v>
      </c>
      <c r="G272" s="71" t="s">
        <v>441</v>
      </c>
      <c r="H272" s="64" t="s">
        <v>332</v>
      </c>
      <c r="I272" s="65" t="s">
        <v>333</v>
      </c>
      <c r="J272" s="66"/>
      <c r="K272" s="67"/>
      <c r="L272" s="65"/>
      <c r="M272" s="65"/>
      <c r="N272" s="64" t="s">
        <v>334</v>
      </c>
      <c r="O272" s="68"/>
      <c r="P272" s="69">
        <f>32898*39500</f>
        <v>1299471000</v>
      </c>
      <c r="Q272" s="104"/>
      <c r="R272" s="131" t="str">
        <f>IF(AND(C272="pv",D272='UNC - PV'!$Q$2,LEFT(E272,1)="u",'UNC - PV'!$O$2="vnđ",TH!P272&lt;&gt;""),"p",IF(AND(C272="pv",D272='UNC - PV'!$Q$2,LEFT(E272,1)="u",'UNC - PV'!$O$2="usd",TH!O272&lt;&gt;""),"p1",IF(AND(C272="pv",D272='LC - PV'!$P$2,LEFT(E272,1)="l"),"p2",IF(AND(LEFT(C272,3)="EIB",D272='UNC - EIB'!$T$2,LEFT(E272,1)="u",'UNC - EIB'!$R$2="vnđ",TH!P272&lt;&gt;""),"e",IF(AND(LEFT(C272,3)="EIB",D272='UNC - EIB'!$T$2,LEFT(E272,1)="U",'UNC - EIB'!$R$2="usd",TH!O272&lt;&gt;""),"e1",IF(AND(LEFT(C272,3)="EIB",D272='LC - EIB'!$S$2,LEFT(E272,1)="l"),"e2",""))))))</f>
        <v/>
      </c>
    </row>
    <row r="273" spans="1:18" s="57" customFormat="1" ht="18.75" customHeight="1">
      <c r="A273" s="55" t="str">
        <f>IF(AND(C273="pv",E273='UNC - PV'!$S$2,D273='UNC - PV'!$Q$2),"x",IF(AND(LEFT(C273,3)="eib",E273='UNC - EIB'!$V$2,D273='UNC - EIB'!$T$2),"x1",IF(AND(C273="pv",E273='LC - PV'!$R$2,D273='LC - PV'!$P$2),"x2",IF(AND(LEFT(C273,3)="eib",E273='LC - EIB'!$U$2,D273='LC - EIB'!$S$2),"x3",""))))</f>
        <v/>
      </c>
      <c r="B273" s="62">
        <f t="shared" si="10"/>
        <v>270</v>
      </c>
      <c r="C273" s="62" t="s">
        <v>144</v>
      </c>
      <c r="D273" s="67">
        <v>43104</v>
      </c>
      <c r="E273" s="65" t="s">
        <v>24</v>
      </c>
      <c r="F273" s="107" t="s">
        <v>132</v>
      </c>
      <c r="G273" s="71" t="s">
        <v>405</v>
      </c>
      <c r="H273" s="64" t="s">
        <v>163</v>
      </c>
      <c r="I273" s="105" t="s">
        <v>10</v>
      </c>
      <c r="J273" s="56"/>
      <c r="K273" s="67"/>
      <c r="L273" s="65"/>
      <c r="M273" s="65"/>
      <c r="N273" s="64" t="s">
        <v>468</v>
      </c>
      <c r="O273" s="68"/>
      <c r="P273" s="69">
        <f>48700*22699</f>
        <v>1105441300</v>
      </c>
      <c r="Q273" s="104"/>
      <c r="R273" s="131" t="str">
        <f>IF(AND(C273="pv",D273='UNC - PV'!$Q$2,LEFT(E273,1)="u",'UNC - PV'!$O$2="vnđ",TH!P273&lt;&gt;""),"p",IF(AND(C273="pv",D273='UNC - PV'!$Q$2,LEFT(E273,1)="u",'UNC - PV'!$O$2="usd",TH!O273&lt;&gt;""),"p1",IF(AND(C273="pv",D273='LC - PV'!$P$2,LEFT(E273,1)="l"),"p2",IF(AND(LEFT(C273,3)="EIB",D273='UNC - EIB'!$T$2,LEFT(E273,1)="u",'UNC - EIB'!$R$2="vnđ",TH!P273&lt;&gt;""),"e",IF(AND(LEFT(C273,3)="EIB",D273='UNC - EIB'!$T$2,LEFT(E273,1)="U",'UNC - EIB'!$R$2="usd",TH!O273&lt;&gt;""),"e1",IF(AND(LEFT(C273,3)="EIB",D273='LC - EIB'!$S$2,LEFT(E273,1)="l"),"e2",""))))))</f>
        <v/>
      </c>
    </row>
    <row r="274" spans="1:18" s="57" customFormat="1" ht="18.75" customHeight="1">
      <c r="A274" s="55" t="str">
        <f>IF(AND(C274="pv",E274='UNC - PV'!$S$2,D274='UNC - PV'!$Q$2),"x",IF(AND(LEFT(C274,3)="eib",E274='UNC - EIB'!$V$2,D274='UNC - EIB'!$T$2),"x1",IF(AND(C274="pv",E274='LC - PV'!$R$2,D274='LC - PV'!$P$2),"x2",IF(AND(LEFT(C274,3)="eib",E274='LC - EIB'!$U$2,D274='LC - EIB'!$S$2),"x3",""))))</f>
        <v/>
      </c>
      <c r="B274" s="62">
        <f t="shared" si="10"/>
        <v>271</v>
      </c>
      <c r="C274" s="62" t="s">
        <v>144</v>
      </c>
      <c r="D274" s="67">
        <v>43105</v>
      </c>
      <c r="E274" s="65" t="s">
        <v>23</v>
      </c>
      <c r="F274" s="107" t="s">
        <v>132</v>
      </c>
      <c r="G274" s="71" t="s">
        <v>405</v>
      </c>
      <c r="H274" s="64" t="s">
        <v>163</v>
      </c>
      <c r="I274" s="105" t="s">
        <v>10</v>
      </c>
      <c r="J274" s="56"/>
      <c r="K274" s="67"/>
      <c r="L274" s="65"/>
      <c r="M274" s="65"/>
      <c r="N274" s="64" t="s">
        <v>470</v>
      </c>
      <c r="O274" s="68"/>
      <c r="P274" s="69">
        <f>63000*22707</f>
        <v>1430541000</v>
      </c>
      <c r="Q274" s="104"/>
      <c r="R274" s="131" t="str">
        <f>IF(AND(C274="pv",D274='UNC - PV'!$Q$2,LEFT(E274,1)="u",'UNC - PV'!$O$2="vnđ",TH!P274&lt;&gt;""),"p",IF(AND(C274="pv",D274='UNC - PV'!$Q$2,LEFT(E274,1)="u",'UNC - PV'!$O$2="usd",TH!O274&lt;&gt;""),"p1",IF(AND(C274="pv",D274='LC - PV'!$P$2,LEFT(E274,1)="l"),"p2",IF(AND(LEFT(C274,3)="EIB",D274='UNC - EIB'!$T$2,LEFT(E274,1)="u",'UNC - EIB'!$R$2="vnđ",TH!P274&lt;&gt;""),"e",IF(AND(LEFT(C274,3)="EIB",D274='UNC - EIB'!$T$2,LEFT(E274,1)="U",'UNC - EIB'!$R$2="usd",TH!O274&lt;&gt;""),"e1",IF(AND(LEFT(C274,3)="EIB",D274='LC - EIB'!$S$2,LEFT(E274,1)="l"),"e2",""))))))</f>
        <v/>
      </c>
    </row>
    <row r="275" spans="1:18" s="57" customFormat="1" ht="18.75" customHeight="1">
      <c r="A275" s="55" t="str">
        <f>IF(AND(C275="pv",E275='UNC - PV'!$S$2,D275='UNC - PV'!$Q$2),"x",IF(AND(LEFT(C275,3)="eib",E275='UNC - EIB'!$V$2,D275='UNC - EIB'!$T$2),"x1",IF(AND(C275="pv",E275='LC - PV'!$R$2,D275='LC - PV'!$P$2),"x2",IF(AND(LEFT(C275,3)="eib",E275='LC - EIB'!$U$2,D275='LC - EIB'!$S$2),"x3",""))))</f>
        <v/>
      </c>
      <c r="B275" s="62">
        <f t="shared" si="10"/>
        <v>272</v>
      </c>
      <c r="C275" s="62" t="s">
        <v>144</v>
      </c>
      <c r="D275" s="67">
        <v>43115</v>
      </c>
      <c r="E275" s="65" t="s">
        <v>23</v>
      </c>
      <c r="F275" s="107" t="s">
        <v>132</v>
      </c>
      <c r="G275" s="71" t="s">
        <v>405</v>
      </c>
      <c r="H275" s="64" t="s">
        <v>163</v>
      </c>
      <c r="I275" s="105" t="s">
        <v>10</v>
      </c>
      <c r="J275" s="56"/>
      <c r="K275" s="67"/>
      <c r="L275" s="65"/>
      <c r="M275" s="65"/>
      <c r="N275" s="64" t="s">
        <v>471</v>
      </c>
      <c r="O275" s="68"/>
      <c r="P275" s="69">
        <f>83500*22700</f>
        <v>1895450000</v>
      </c>
      <c r="Q275" s="104"/>
      <c r="R275" s="131" t="str">
        <f>IF(AND(C275="pv",D275='UNC - PV'!$Q$2,LEFT(E275,1)="u",'UNC - PV'!$O$2="vnđ",TH!P275&lt;&gt;""),"p",IF(AND(C275="pv",D275='UNC - PV'!$Q$2,LEFT(E275,1)="u",'UNC - PV'!$O$2="usd",TH!O275&lt;&gt;""),"p1",IF(AND(C275="pv",D275='LC - PV'!$P$2,LEFT(E275,1)="l"),"p2",IF(AND(LEFT(C275,3)="EIB",D275='UNC - EIB'!$T$2,LEFT(E275,1)="u",'UNC - EIB'!$R$2="vnđ",TH!P275&lt;&gt;""),"e",IF(AND(LEFT(C275,3)="EIB",D275='UNC - EIB'!$T$2,LEFT(E275,1)="U",'UNC - EIB'!$R$2="usd",TH!O275&lt;&gt;""),"e1",IF(AND(LEFT(C275,3)="EIB",D275='LC - EIB'!$S$2,LEFT(E275,1)="l"),"e2",""))))))</f>
        <v/>
      </c>
    </row>
    <row r="276" spans="1:18" s="57" customFormat="1" ht="18.75" customHeight="1">
      <c r="A276" s="55" t="str">
        <f>IF(AND(C276="pv",E276='UNC - PV'!$S$2,D276='UNC - PV'!$Q$2),"x",IF(AND(LEFT(C276,3)="eib",E276='UNC - EIB'!$V$2,D276='UNC - EIB'!$T$2),"x1",IF(AND(C276="pv",E276='LC - PV'!$R$2,D276='LC - PV'!$P$2),"x2",IF(AND(LEFT(C276,3)="eib",E276='LC - EIB'!$U$2,D276='LC - EIB'!$S$2),"x3",""))))</f>
        <v/>
      </c>
      <c r="B276" s="62">
        <f t="shared" ref="B276:B281" si="21">IF(C276&lt;&gt;"",ROW()-3,"")</f>
        <v>273</v>
      </c>
      <c r="C276" s="62" t="s">
        <v>144</v>
      </c>
      <c r="D276" s="67">
        <v>43118</v>
      </c>
      <c r="E276" s="65" t="s">
        <v>23</v>
      </c>
      <c r="F276" s="107" t="s">
        <v>132</v>
      </c>
      <c r="G276" s="71" t="s">
        <v>405</v>
      </c>
      <c r="H276" s="64" t="s">
        <v>163</v>
      </c>
      <c r="I276" s="105" t="s">
        <v>10</v>
      </c>
      <c r="J276" s="56"/>
      <c r="K276" s="67"/>
      <c r="L276" s="65"/>
      <c r="M276" s="65"/>
      <c r="N276" s="64" t="s">
        <v>472</v>
      </c>
      <c r="O276" s="68"/>
      <c r="P276" s="69">
        <f>56000*22704</f>
        <v>1271424000</v>
      </c>
      <c r="Q276" s="104"/>
      <c r="R276" s="131" t="str">
        <f>IF(AND(C276="pv",D276='UNC - PV'!$Q$2,LEFT(E276,1)="u",'UNC - PV'!$O$2="vnđ",TH!P276&lt;&gt;""),"p",IF(AND(C276="pv",D276='UNC - PV'!$Q$2,LEFT(E276,1)="u",'UNC - PV'!$O$2="usd",TH!O276&lt;&gt;""),"p1",IF(AND(C276="pv",D276='LC - PV'!$P$2,LEFT(E276,1)="l"),"p2",IF(AND(LEFT(C276,3)="EIB",D276='UNC - EIB'!$T$2,LEFT(E276,1)="u",'UNC - EIB'!$R$2="vnđ",TH!P276&lt;&gt;""),"e",IF(AND(LEFT(C276,3)="EIB",D276='UNC - EIB'!$T$2,LEFT(E276,1)="U",'UNC - EIB'!$R$2="usd",TH!O276&lt;&gt;""),"e1",IF(AND(LEFT(C276,3)="EIB",D276='LC - EIB'!$S$2,LEFT(E276,1)="l"),"e2",""))))))</f>
        <v/>
      </c>
    </row>
    <row r="277" spans="1:18" s="57" customFormat="1" ht="18.75" customHeight="1">
      <c r="A277" s="55" t="str">
        <f>IF(AND(C277="pv",E277='UNC - PV'!$S$2,D277='UNC - PV'!$Q$2),"x",IF(AND(LEFT(C277,3)="eib",E277='UNC - EIB'!$V$2,D277='UNC - EIB'!$T$2),"x1",IF(AND(C277="pv",E277='LC - PV'!$R$2,D277='LC - PV'!$P$2),"x2",IF(AND(LEFT(C277,3)="eib",E277='LC - EIB'!$U$2,D277='LC - EIB'!$S$2),"x3",""))))</f>
        <v>x</v>
      </c>
      <c r="B277" s="62">
        <f t="shared" si="21"/>
        <v>274</v>
      </c>
      <c r="C277" s="62" t="s">
        <v>144</v>
      </c>
      <c r="D277" s="67">
        <v>43119</v>
      </c>
      <c r="E277" s="65" t="s">
        <v>23</v>
      </c>
      <c r="F277" s="64" t="s">
        <v>370</v>
      </c>
      <c r="G277" s="71" t="s">
        <v>407</v>
      </c>
      <c r="H277" s="64" t="s">
        <v>372</v>
      </c>
      <c r="I277" s="105" t="s">
        <v>10</v>
      </c>
      <c r="J277" s="66"/>
      <c r="K277" s="67"/>
      <c r="L277" s="65"/>
      <c r="M277" s="65"/>
      <c r="N277" s="64" t="s">
        <v>373</v>
      </c>
      <c r="O277" s="68"/>
      <c r="P277" s="69">
        <v>500000000</v>
      </c>
      <c r="Q277" s="104"/>
      <c r="R277" s="131" t="str">
        <f>IF(AND(C277="pv",D277='UNC - PV'!$Q$2,LEFT(E277,1)="u",'UNC - PV'!$O$2="vnđ",TH!P277&lt;&gt;""),"p",IF(AND(C277="pv",D277='UNC - PV'!$Q$2,LEFT(E277,1)="u",'UNC - PV'!$O$2="usd",TH!O277&lt;&gt;""),"p1",IF(AND(C277="pv",D277='LC - PV'!$P$2,LEFT(E277,1)="l"),"p2",IF(AND(LEFT(C277,3)="EIB",D277='UNC - EIB'!$T$2,LEFT(E277,1)="u",'UNC - EIB'!$R$2="vnđ",TH!P277&lt;&gt;""),"e",IF(AND(LEFT(C277,3)="EIB",D277='UNC - EIB'!$T$2,LEFT(E277,1)="U",'UNC - EIB'!$R$2="usd",TH!O277&lt;&gt;""),"e1",IF(AND(LEFT(C277,3)="EIB",D277='LC - EIB'!$S$2,LEFT(E277,1)="l"),"e2",""))))))</f>
        <v>p</v>
      </c>
    </row>
    <row r="278" spans="1:18" s="57" customFormat="1" ht="18.75" customHeight="1">
      <c r="A278" s="55" t="str">
        <f>IF(AND(C278="pv",E278='UNC - PV'!$S$2,D278='UNC - PV'!$Q$2),"x",IF(AND(LEFT(C278,3)="eib",E278='UNC - EIB'!$V$2,D278='UNC - EIB'!$T$2),"x1",IF(AND(C278="pv",E278='LC - PV'!$R$2,D278='LC - PV'!$P$2),"x2",IF(AND(LEFT(C278,3)="eib",E278='LC - EIB'!$U$2,D278='LC - EIB'!$S$2),"x3",""))))</f>
        <v/>
      </c>
      <c r="B278" s="62" t="str">
        <f t="shared" si="21"/>
        <v/>
      </c>
      <c r="C278" s="62"/>
      <c r="D278" s="67"/>
      <c r="E278" s="65"/>
      <c r="F278" s="64"/>
      <c r="G278" s="64"/>
      <c r="H278" s="64"/>
      <c r="I278" s="65"/>
      <c r="J278" s="66"/>
      <c r="K278" s="67"/>
      <c r="L278" s="65"/>
      <c r="M278" s="65"/>
      <c r="N278" s="64"/>
      <c r="O278" s="68"/>
      <c r="P278" s="69"/>
      <c r="Q278" s="104"/>
      <c r="R278" s="131" t="str">
        <f>IF(AND(C278="pv",D278='UNC - PV'!$Q$2,LEFT(E278,1)="u",'UNC - PV'!$O$2="vnđ",TH!P278&lt;&gt;""),"p",IF(AND(C278="pv",D278='UNC - PV'!$Q$2,LEFT(E278,1)="u",'UNC - PV'!$O$2="usd",TH!O278&lt;&gt;""),"p1",IF(AND(C278="pv",D278='LC - PV'!$P$2,LEFT(E278,1)="l"),"p2",IF(AND(LEFT(C278,3)="EIB",D278='UNC - EIB'!$T$2,LEFT(E278,1)="u",'UNC - EIB'!$R$2="vnđ",TH!P278&lt;&gt;""),"e",IF(AND(LEFT(C278,3)="EIB",D278='UNC - EIB'!$T$2,LEFT(E278,1)="U",'UNC - EIB'!$R$2="usd",TH!O278&lt;&gt;""),"e1",IF(AND(LEFT(C278,3)="EIB",D278='LC - EIB'!$S$2,LEFT(E278,1)="l"),"e2",""))))))</f>
        <v/>
      </c>
    </row>
    <row r="279" spans="1:18" s="57" customFormat="1" ht="18.75" customHeight="1">
      <c r="A279" s="55" t="str">
        <f>IF(AND(C279="pv",E279='UNC - PV'!$S$2,D279='UNC - PV'!$Q$2),"x",IF(AND(LEFT(C279,3)="eib",E279='UNC - EIB'!$V$2,D279='UNC - EIB'!$T$2),"x1",IF(AND(C279="pv",E279='LC - PV'!$R$2,D279='LC - PV'!$P$2),"x2",IF(AND(LEFT(C279,3)="eib",E279='LC - EIB'!$U$2,D279='LC - EIB'!$S$2),"x3",""))))</f>
        <v/>
      </c>
      <c r="B279" s="62" t="str">
        <f t="shared" si="21"/>
        <v/>
      </c>
      <c r="C279" s="62"/>
      <c r="D279" s="67"/>
      <c r="E279" s="65"/>
      <c r="F279" s="64"/>
      <c r="G279" s="64"/>
      <c r="H279" s="64"/>
      <c r="I279" s="65"/>
      <c r="J279" s="66"/>
      <c r="K279" s="67"/>
      <c r="L279" s="65"/>
      <c r="M279" s="65"/>
      <c r="N279" s="64"/>
      <c r="O279" s="68"/>
      <c r="P279" s="69"/>
      <c r="Q279" s="104"/>
      <c r="R279" s="131" t="str">
        <f>IF(AND(C279="pv",D279='UNC - PV'!$Q$2,LEFT(E279,1)="u",'UNC - PV'!$O$2="vnđ",TH!P279&lt;&gt;""),"p",IF(AND(C279="pv",D279='UNC - PV'!$Q$2,LEFT(E279,1)="u",'UNC - PV'!$O$2="usd",TH!O279&lt;&gt;""),"p1",IF(AND(C279="pv",D279='LC - PV'!$P$2,LEFT(E279,1)="l"),"p2",IF(AND(LEFT(C279,3)="EIB",D279='UNC - EIB'!$T$2,LEFT(E279,1)="u",'UNC - EIB'!$R$2="vnđ",TH!P279&lt;&gt;""),"e",IF(AND(LEFT(C279,3)="EIB",D279='UNC - EIB'!$T$2,LEFT(E279,1)="U",'UNC - EIB'!$R$2="usd",TH!O279&lt;&gt;""),"e1",IF(AND(LEFT(C279,3)="EIB",D279='LC - EIB'!$S$2,LEFT(E279,1)="l"),"e2",""))))))</f>
        <v/>
      </c>
    </row>
    <row r="280" spans="1:18" s="57" customFormat="1" ht="18.75" customHeight="1">
      <c r="A280" s="55" t="str">
        <f>IF(AND(C280="pv",E280='UNC - PV'!$S$2,D280='UNC - PV'!$Q$2),"x",IF(AND(LEFT(C280,3)="eib",E280='UNC - EIB'!$V$2,D280='UNC - EIB'!$T$2),"x1",IF(AND(C280="pv",E280='LC - PV'!$R$2,D280='LC - PV'!$P$2),"x2",IF(AND(LEFT(C280,3)="eib",E280='LC - EIB'!$U$2,D280='LC - EIB'!$S$2),"x3",""))))</f>
        <v/>
      </c>
      <c r="B280" s="62" t="str">
        <f t="shared" si="21"/>
        <v/>
      </c>
      <c r="C280" s="62"/>
      <c r="D280" s="67"/>
      <c r="E280" s="65"/>
      <c r="F280" s="64"/>
      <c r="G280" s="64"/>
      <c r="H280" s="64"/>
      <c r="I280" s="65"/>
      <c r="J280" s="66"/>
      <c r="K280" s="67"/>
      <c r="L280" s="65"/>
      <c r="M280" s="65"/>
      <c r="N280" s="64"/>
      <c r="O280" s="68"/>
      <c r="P280" s="69"/>
      <c r="Q280" s="104"/>
      <c r="R280" s="131" t="str">
        <f>IF(AND(C280="pv",D280='UNC - PV'!$Q$2,LEFT(E280,1)="u",'UNC - PV'!$O$2="vnđ",TH!P280&lt;&gt;""),"p",IF(AND(C280="pv",D280='UNC - PV'!$Q$2,LEFT(E280,1)="u",'UNC - PV'!$O$2="usd",TH!O280&lt;&gt;""),"p1",IF(AND(C280="pv",D280='LC - PV'!$P$2,LEFT(E280,1)="l"),"p2",IF(AND(LEFT(C280,3)="EIB",D280='UNC - EIB'!$T$2,LEFT(E280,1)="u",'UNC - EIB'!$R$2="vnđ",TH!P280&lt;&gt;""),"e",IF(AND(LEFT(C280,3)="EIB",D280='UNC - EIB'!$T$2,LEFT(E280,1)="U",'UNC - EIB'!$R$2="usd",TH!O280&lt;&gt;""),"e1",IF(AND(LEFT(C280,3)="EIB",D280='LC - EIB'!$S$2,LEFT(E280,1)="l"),"e2",""))))))</f>
        <v/>
      </c>
    </row>
    <row r="281" spans="1:18" s="57" customFormat="1" ht="18.75" customHeight="1">
      <c r="A281" s="55" t="str">
        <f>IF(AND(C281="pv",E281='UNC - PV'!$S$2,D281='UNC - PV'!$Q$2),"x",IF(AND(LEFT(C281,3)="eib",E281='UNC - EIB'!$V$2,D281='UNC - EIB'!$T$2),"x1",IF(AND(C281="pv",E281='LC - PV'!$R$2,D281='LC - PV'!$P$2),"x2",IF(AND(LEFT(C281,3)="eib",E281='LC - EIB'!$U$2,D281='LC - EIB'!$S$2),"x3",""))))</f>
        <v/>
      </c>
      <c r="B281" s="62" t="str">
        <f t="shared" si="21"/>
        <v/>
      </c>
      <c r="C281" s="62"/>
      <c r="D281" s="67"/>
      <c r="E281" s="65"/>
      <c r="F281" s="64"/>
      <c r="G281" s="64"/>
      <c r="H281" s="64"/>
      <c r="I281" s="65"/>
      <c r="J281" s="66"/>
      <c r="K281" s="67"/>
      <c r="L281" s="65"/>
      <c r="M281" s="65"/>
      <c r="N281" s="64"/>
      <c r="O281" s="68"/>
      <c r="P281" s="69"/>
      <c r="Q281" s="104"/>
      <c r="R281" s="131" t="str">
        <f>IF(AND(C281="pv",D281='UNC - PV'!$Q$2,LEFT(E281,1)="u",'UNC - PV'!$O$2="vnđ",TH!P281&lt;&gt;""),"p",IF(AND(C281="pv",D281='UNC - PV'!$Q$2,LEFT(E281,1)="u",'UNC - PV'!$O$2="usd",TH!O281&lt;&gt;""),"p1",IF(AND(C281="pv",D281='LC - PV'!$P$2,LEFT(E281,1)="l"),"p2",IF(AND(LEFT(C281,3)="EIB",D281='UNC - EIB'!$T$2,LEFT(E281,1)="u",'UNC - EIB'!$R$2="vnđ",TH!P281&lt;&gt;""),"e",IF(AND(LEFT(C281,3)="EIB",D281='UNC - EIB'!$T$2,LEFT(E281,1)="U",'UNC - EIB'!$R$2="usd",TH!O281&lt;&gt;""),"e1",IF(AND(LEFT(C281,3)="EIB",D281='LC - EIB'!$S$2,LEFT(E281,1)="l"),"e2",""))))))</f>
        <v/>
      </c>
    </row>
    <row r="282" spans="1:18" s="57" customFormat="1" ht="18.75" customHeight="1">
      <c r="A282" s="55" t="str">
        <f>IF(AND(C282="pv",E282='UNC - PV'!$S$2,D282='UNC - PV'!$Q$2),"x",IF(AND(LEFT(C282,3)="eib",E282='UNC - EIB'!$V$2,D282='UNC - EIB'!$T$2),"x1",IF(AND(C282="pv",E282='LC - PV'!$R$2,D282='LC - PV'!$P$2),"x2",IF(AND(LEFT(C282,3)="eib",E282='LC - EIB'!$U$2,D282='LC - EIB'!$S$2),"x3",""))))</f>
        <v/>
      </c>
      <c r="B282" s="62" t="str">
        <f t="shared" si="10"/>
        <v/>
      </c>
      <c r="C282" s="62"/>
      <c r="D282" s="67"/>
      <c r="E282" s="65"/>
      <c r="F282" s="64"/>
      <c r="G282" s="64"/>
      <c r="H282" s="64"/>
      <c r="I282" s="65"/>
      <c r="J282" s="66"/>
      <c r="K282" s="67"/>
      <c r="L282" s="65"/>
      <c r="M282" s="65"/>
      <c r="N282" s="64"/>
      <c r="O282" s="68"/>
      <c r="P282" s="69"/>
      <c r="Q282" s="104"/>
      <c r="R282" s="131" t="str">
        <f>IF(AND(C282="pv",D282='UNC - PV'!$Q$2,LEFT(E282,1)="u",'UNC - PV'!$O$2="vnđ",TH!P282&lt;&gt;""),"p",IF(AND(C282="pv",D282='UNC - PV'!$Q$2,LEFT(E282,1)="u",'UNC - PV'!$O$2="usd",TH!O282&lt;&gt;""),"p1",IF(AND(C282="pv",D282='LC - PV'!$P$2,LEFT(E282,1)="l"),"p2",IF(AND(LEFT(C282,3)="EIB",D282='UNC - EIB'!$T$2,LEFT(E282,1)="u",'UNC - EIB'!$R$2="vnđ",TH!P282&lt;&gt;""),"e",IF(AND(LEFT(C282,3)="EIB",D282='UNC - EIB'!$T$2,LEFT(E282,1)="U",'UNC - EIB'!$R$2="usd",TH!O282&lt;&gt;""),"e1",IF(AND(LEFT(C282,3)="EIB",D282='LC - EIB'!$S$2,LEFT(E282,1)="l"),"e2",""))))))</f>
        <v/>
      </c>
    </row>
    <row r="283" spans="1:18" s="57" customFormat="1" ht="18.75" customHeight="1">
      <c r="A283" s="55" t="str">
        <f>IF(AND(C283="pv",E283='UNC - PV'!$S$2,D283='UNC - PV'!$Q$2),"x",IF(AND(LEFT(C283,3)="eib",E283='UNC - EIB'!$V$2,D283='UNC - EIB'!$T$2),"x1",IF(AND(C283="pv",E283='LC - PV'!$R$2,D283='LC - PV'!$P$2),"x2",IF(AND(LEFT(C283,3)="eib",E283='LC - EIB'!$U$2,D283='LC - EIB'!$S$2),"x3",""))))</f>
        <v/>
      </c>
      <c r="B283" s="62" t="str">
        <f t="shared" si="10"/>
        <v/>
      </c>
      <c r="C283" s="62"/>
      <c r="D283" s="67"/>
      <c r="E283" s="65"/>
      <c r="F283" s="64"/>
      <c r="G283" s="64"/>
      <c r="H283" s="64"/>
      <c r="I283" s="65"/>
      <c r="J283" s="66"/>
      <c r="K283" s="67"/>
      <c r="L283" s="65"/>
      <c r="M283" s="65"/>
      <c r="N283" s="64"/>
      <c r="O283" s="68"/>
      <c r="P283" s="69"/>
      <c r="Q283" s="104"/>
      <c r="R283" s="131" t="str">
        <f>IF(AND(C283="pv",D283='UNC - PV'!$Q$2,LEFT(E283,1)="u",'UNC - PV'!$O$2="vnđ",TH!P283&lt;&gt;""),"p",IF(AND(C283="pv",D283='UNC - PV'!$Q$2,LEFT(E283,1)="u",'UNC - PV'!$O$2="usd",TH!O283&lt;&gt;""),"p1",IF(AND(C283="pv",D283='LC - PV'!$P$2,LEFT(E283,1)="l"),"p2",IF(AND(LEFT(C283,3)="EIB",D283='UNC - EIB'!$T$2,LEFT(E283,1)="u",'UNC - EIB'!$R$2="vnđ",TH!P283&lt;&gt;""),"e",IF(AND(LEFT(C283,3)="EIB",D283='UNC - EIB'!$T$2,LEFT(E283,1)="U",'UNC - EIB'!$R$2="usd",TH!O283&lt;&gt;""),"e1",IF(AND(LEFT(C283,3)="EIB",D283='LC - EIB'!$S$2,LEFT(E283,1)="l"),"e2",""))))))</f>
        <v/>
      </c>
    </row>
    <row r="284" spans="1:18" s="57" customFormat="1" ht="18.75" customHeight="1">
      <c r="A284" s="55" t="str">
        <f>IF(AND(C284="pv",E284='UNC - PV'!$S$2,D284='UNC - PV'!$Q$2),"x",IF(AND(LEFT(C284,3)="eib",E284='UNC - EIB'!$V$2,D284='UNC - EIB'!$T$2),"x1",IF(AND(C284="pv",E284='LC - PV'!$R$2,D284='LC - PV'!$P$2),"x2",IF(AND(LEFT(C284,3)="eib",E284='LC - EIB'!$U$2,D284='LC - EIB'!$S$2),"x3",""))))</f>
        <v/>
      </c>
      <c r="B284" s="62" t="str">
        <f t="shared" si="0"/>
        <v/>
      </c>
      <c r="C284" s="62"/>
      <c r="D284" s="67"/>
      <c r="E284" s="65"/>
      <c r="F284" s="64"/>
      <c r="G284" s="64"/>
      <c r="H284" s="64"/>
      <c r="I284" s="65"/>
      <c r="J284" s="66"/>
      <c r="K284" s="67"/>
      <c r="L284" s="65"/>
      <c r="M284" s="65"/>
      <c r="N284" s="64"/>
      <c r="O284" s="68"/>
      <c r="P284" s="69"/>
      <c r="Q284" s="104"/>
      <c r="R284" s="131" t="str">
        <f>IF(AND(C284="pv",D284='UNC - PV'!$Q$2,LEFT(E284,1)="u",'UNC - PV'!$O$2="vnđ",TH!P284&lt;&gt;""),"p",IF(AND(C284="pv",D284='UNC - PV'!$Q$2,LEFT(E284,1)="u",'UNC - PV'!$O$2="usd",TH!O284&lt;&gt;""),"p1",IF(AND(C284="pv",D284='LC - PV'!$P$2,LEFT(E284,1)="l"),"p2",IF(AND(LEFT(C284,3)="EIB",D284='UNC - EIB'!$T$2,LEFT(E284,1)="u",'UNC - EIB'!$R$2="vnđ",TH!P284&lt;&gt;""),"e",IF(AND(LEFT(C284,3)="EIB",D284='UNC - EIB'!$T$2,LEFT(E284,1)="U",'UNC - EIB'!$R$2="usd",TH!O284&lt;&gt;""),"e1",IF(AND(LEFT(C284,3)="EIB",D284='LC - EIB'!$S$2,LEFT(E284,1)="l"),"e2",""))))))</f>
        <v/>
      </c>
    </row>
    <row r="285" spans="1:18" s="57" customFormat="1" ht="18.75" customHeight="1">
      <c r="A285" s="55" t="str">
        <f>IF(AND(C285="pv",E285='UNC - PV'!$S$2,D285='UNC - PV'!$Q$2),"x",IF(AND(LEFT(C285,3)="eib",E285='UNC - EIB'!$V$2,D285='UNC - EIB'!$T$2),"x1",IF(AND(C285="pv",E285='LC - PV'!$R$2,D285='LC - PV'!$P$2),"x2",IF(AND(LEFT(C285,3)="eib",E285='LC - EIB'!$U$2,D285='LC - EIB'!$S$2),"x3",""))))</f>
        <v/>
      </c>
      <c r="B285" s="62" t="str">
        <f t="shared" ref="B285" si="22">IF(C285&lt;&gt;"",ROW()-3,"")</f>
        <v/>
      </c>
      <c r="C285" s="62"/>
      <c r="D285" s="67"/>
      <c r="E285" s="65"/>
      <c r="F285" s="64"/>
      <c r="G285" s="64"/>
      <c r="H285" s="64"/>
      <c r="I285" s="65"/>
      <c r="J285" s="66"/>
      <c r="K285" s="67"/>
      <c r="L285" s="65"/>
      <c r="M285" s="65"/>
      <c r="N285" s="64"/>
      <c r="O285" s="68"/>
      <c r="P285" s="69"/>
      <c r="Q285" s="104"/>
      <c r="R285" s="131" t="str">
        <f>IF(AND(C285="pv",D285='UNC - PV'!$Q$2,LEFT(E285,1)="u",'UNC - PV'!$O$2="vnđ",TH!P285&lt;&gt;""),"p",IF(AND(C285="pv",D285='UNC - PV'!$Q$2,LEFT(E285,1)="u",'UNC - PV'!$O$2="usd",TH!O285&lt;&gt;""),"p1",IF(AND(C285="pv",D285='LC - PV'!$P$2,LEFT(E285,1)="l"),"p2",IF(AND(LEFT(C285,3)="EIB",D285='UNC - EIB'!$T$2,LEFT(E285,1)="u",'UNC - EIB'!$R$2="vnđ",TH!P285&lt;&gt;""),"e",IF(AND(LEFT(C285,3)="EIB",D285='UNC - EIB'!$T$2,LEFT(E285,1)="U",'UNC - EIB'!$R$2="usd",TH!O285&lt;&gt;""),"e1",IF(AND(LEFT(C285,3)="EIB",D285='LC - EIB'!$S$2,LEFT(E285,1)="l"),"e2",""))))))</f>
        <v/>
      </c>
    </row>
    <row r="286" spans="1:18" s="57" customFormat="1" ht="18.75" customHeight="1">
      <c r="A286" s="55" t="str">
        <f>IF(AND(C286="pv",E286='UNC - PV'!$S$2,D286='UNC - PV'!$Q$2),"x",IF(AND(LEFT(C286,3)="eib",E286='UNC - EIB'!$V$2,D286='UNC - EIB'!$T$2),"x1",IF(AND(C286="pv",E286='LC - PV'!$R$2,D286='LC - PV'!$P$2),"x2",IF(AND(LEFT(C286,3)="eib",E286='LC - EIB'!$U$2,D286='LC - EIB'!$S$2),"x3",""))))</f>
        <v/>
      </c>
      <c r="B286" s="62" t="str">
        <f t="shared" ref="B286" si="23">IF(C286&lt;&gt;"",ROW()-3,"")</f>
        <v/>
      </c>
      <c r="C286" s="62"/>
      <c r="D286" s="67"/>
      <c r="E286" s="65"/>
      <c r="F286" s="64"/>
      <c r="G286" s="64"/>
      <c r="H286" s="64"/>
      <c r="I286" s="65"/>
      <c r="J286" s="66"/>
      <c r="K286" s="67"/>
      <c r="L286" s="65"/>
      <c r="M286" s="65"/>
      <c r="N286" s="64"/>
      <c r="O286" s="68"/>
      <c r="P286" s="69"/>
      <c r="Q286" s="104"/>
      <c r="R286" s="131" t="str">
        <f>IF(AND(C286="pv",D286='UNC - PV'!$Q$2,LEFT(E286,1)="u",'UNC - PV'!$O$2="vnđ",TH!P286&lt;&gt;""),"p",IF(AND(C286="pv",D286='UNC - PV'!$Q$2,LEFT(E286,1)="u",'UNC - PV'!$O$2="usd",TH!O286&lt;&gt;""),"p1",IF(AND(C286="pv",D286='LC - PV'!$P$2,LEFT(E286,1)="l"),"p2",IF(AND(LEFT(C286,3)="EIB",D286='UNC - EIB'!$T$2,LEFT(E286,1)="u",'UNC - EIB'!$R$2="vnđ",TH!P286&lt;&gt;""),"e",IF(AND(LEFT(C286,3)="EIB",D286='UNC - EIB'!$T$2,LEFT(E286,1)="U",'UNC - EIB'!$R$2="usd",TH!O286&lt;&gt;""),"e1",IF(AND(LEFT(C286,3)="EIB",D286='LC - EIB'!$S$2,LEFT(E286,1)="l"),"e2",""))))))</f>
        <v/>
      </c>
    </row>
    <row r="287" spans="1:18" s="57" customFormat="1" ht="18.75" customHeight="1">
      <c r="A287" s="55" t="str">
        <f>IF(AND(C287="pv",E287='UNC - PV'!$S$2,D287='UNC - PV'!$Q$2),"x",IF(AND(LEFT(C287,3)="eib",E287='UNC - EIB'!$V$2,D287='UNC - EIB'!$T$2),"x1",IF(AND(C287="pv",E287='LC - PV'!$R$2,D287='LC - PV'!$P$2),"x2",IF(AND(LEFT(C287,3)="eib",E287='LC - EIB'!$U$2,D287='LC - EIB'!$S$2),"x3",""))))</f>
        <v/>
      </c>
      <c r="B287" s="62" t="str">
        <f t="shared" si="0"/>
        <v/>
      </c>
      <c r="C287" s="62"/>
      <c r="D287" s="67"/>
      <c r="E287" s="65"/>
      <c r="F287" s="64"/>
      <c r="G287" s="64"/>
      <c r="H287" s="64"/>
      <c r="I287" s="65"/>
      <c r="J287" s="66"/>
      <c r="K287" s="67"/>
      <c r="L287" s="65"/>
      <c r="M287" s="65"/>
      <c r="N287" s="64"/>
      <c r="O287" s="68"/>
      <c r="P287" s="69"/>
      <c r="Q287" s="104"/>
      <c r="R287" s="131" t="str">
        <f>IF(AND(C287="pv",D287='UNC - PV'!$Q$2,LEFT(E287,1)="u",'UNC - PV'!$O$2="vnđ",TH!P287&lt;&gt;""),"p",IF(AND(C287="pv",D287='UNC - PV'!$Q$2,LEFT(E287,1)="u",'UNC - PV'!$O$2="usd",TH!O287&lt;&gt;""),"p1",IF(AND(C287="pv",D287='LC - PV'!$P$2,LEFT(E287,1)="l"),"p2",IF(AND(LEFT(C287,3)="EIB",D287='UNC - EIB'!$T$2,LEFT(E287,1)="u",'UNC - EIB'!$R$2="vnđ",TH!P287&lt;&gt;""),"e",IF(AND(LEFT(C287,3)="EIB",D287='UNC - EIB'!$T$2,LEFT(E287,1)="U",'UNC - EIB'!$R$2="usd",TH!O287&lt;&gt;""),"e1",IF(AND(LEFT(C287,3)="EIB",D287='LC - EIB'!$S$2,LEFT(E287,1)="l"),"e2",""))))))</f>
        <v/>
      </c>
    </row>
  </sheetData>
  <autoFilter ref="B3:X288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287">
      <formula1>"PV,EIB-Q4,EIB-Q11,EIB-TV"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6"/>
  <sheetViews>
    <sheetView view="pageBreakPreview" zoomScaleSheetLayoutView="100" workbookViewId="0">
      <pane ySplit="17" topLeftCell="A18" activePane="bottomLeft" state="frozen"/>
      <selection pane="bottomLeft" activeCell="Q3" sqref="Q3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2.28515625" style="1" customWidth="1"/>
    <col min="5" max="5" width="6.14062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9.28515625" style="1" customWidth="1"/>
    <col min="11" max="11" width="6.85546875" style="1" customWidth="1"/>
    <col min="12" max="12" width="6.5703125" style="1" customWidth="1"/>
    <col min="13" max="13" width="13.140625" style="1" customWidth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</v>
      </c>
      <c r="N1" s="8"/>
    </row>
    <row r="2" spans="1:19" ht="20.25" customHeight="1" thickBot="1">
      <c r="O2" s="13" t="s">
        <v>29</v>
      </c>
      <c r="Q2" s="10">
        <v>43119</v>
      </c>
      <c r="R2" s="11"/>
      <c r="S2" s="12" t="s">
        <v>23</v>
      </c>
    </row>
    <row r="4" spans="1:19" ht="10.5" customHeight="1"/>
    <row r="5" spans="1:19" ht="18.75" customHeight="1">
      <c r="G5" s="1" t="s">
        <v>2</v>
      </c>
    </row>
    <row r="6" spans="1:19" ht="17.25" customHeight="1">
      <c r="E6" s="2" t="str">
        <f>IF($O$2="USD"," 1    0    1    0    0   0    2    6    8    6    1    4",IF($O$2="VNĐ"," 1    0    7    0    0    0    2    6    8    6    1    5"," 2    5    7    0    0    0    0    4    8    0    1    5"))</f>
        <v xml:space="preserve"> 1    0    7    0    0    0    2    6    8    6    1    5</v>
      </c>
      <c r="L6" s="1" t="s">
        <v>7</v>
      </c>
    </row>
    <row r="7" spans="1:19" ht="22.5" customHeight="1">
      <c r="F7" s="180">
        <f>IF(OR($O$2="VNĐ",$O$2="TAMP"),VLOOKUP("X",DS,16,0),VLOOKUP("X",DS,15,0))</f>
        <v>500000000</v>
      </c>
      <c r="G7" s="180"/>
      <c r="K7" s="1" t="str">
        <f>IF(OR(O2="vnđ",O2="TAMP"),"x","")</f>
        <v>x</v>
      </c>
      <c r="L7" s="1" t="str">
        <f>IF(O2="usd","x","")</f>
        <v/>
      </c>
    </row>
    <row r="8" spans="1:19" ht="17.25" customHeight="1">
      <c r="F8" s="1" t="str">
        <f>[1]!VND(F7,FALSE)&amp;IF($O$2="USD"," đô la mỹ."," đồng.")</f>
        <v>Năm trăm triệu đồng.</v>
      </c>
    </row>
    <row r="9" spans="1:19" ht="16.5" customHeight="1">
      <c r="G9" s="1" t="s">
        <v>3</v>
      </c>
    </row>
    <row r="10" spans="1:19" ht="21" customHeight="1">
      <c r="F10" s="1" t="str">
        <f>VLOOKUP("X",DS,14,0)</f>
        <v>Thanh toán cước vận chuyển và phí liên quan – Ánh Dương</v>
      </c>
    </row>
    <row r="12" spans="1:19" ht="25.5" customHeight="1">
      <c r="F12" s="14" t="str">
        <f>VLOOKUP("X",DS,6,0)</f>
        <v>CÔNG TY TNHH GIAO NHẬN VẬN CHUYỂN ÁNH DƯƠNG</v>
      </c>
      <c r="G12" s="14"/>
    </row>
    <row r="13" spans="1:19" ht="17.25" customHeight="1"/>
    <row r="14" spans="1:19" ht="16.5" customHeight="1"/>
    <row r="15" spans="1:19" ht="24" customHeight="1">
      <c r="C15" s="1" t="s">
        <v>3</v>
      </c>
      <c r="E15" s="1" t="str">
        <f>VLOOKUP("X",DS,7,0)</f>
        <v>0531002503669</v>
      </c>
    </row>
    <row r="16" spans="1:19" ht="15" customHeight="1">
      <c r="E16" s="1" t="str">
        <f>VLOOKUP("X",DS,8,0)&amp;", "&amp;VLOOKUP("X",DS,9,0)</f>
        <v>Vietcombank – CN Đông Sài Gòn, TPHCM</v>
      </c>
    </row>
  </sheetData>
  <dataConsolidate/>
  <mergeCells count="1">
    <mergeCell ref="F7:G7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15"/>
  <sheetViews>
    <sheetView view="pageBreakPreview" zoomScaleSheetLayoutView="100" workbookViewId="0">
      <pane ySplit="16" topLeftCell="A17" activePane="bottomLeft" state="frozen"/>
      <selection pane="bottomLeft" activeCell="L9" sqref="L9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2.28515625" style="1" customWidth="1"/>
    <col min="5" max="5" width="6.14062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9.28515625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384" width="9.140625" style="1"/>
  </cols>
  <sheetData>
    <row r="1" spans="1:15" ht="15" customHeight="1" thickBot="1">
      <c r="A1" s="8" t="str">
        <f>IF($O$2="vnđ","p","p1")</f>
        <v>p</v>
      </c>
      <c r="N1" s="8"/>
    </row>
    <row r="2" spans="1:15" ht="20.25" customHeight="1" thickBot="1">
      <c r="O2" s="13" t="s">
        <v>29</v>
      </c>
    </row>
    <row r="3" spans="1:15" ht="19.5" customHeight="1"/>
    <row r="4" spans="1:15" ht="18.75" customHeight="1">
      <c r="G4" s="1" t="s">
        <v>2</v>
      </c>
    </row>
    <row r="5" spans="1:15" ht="17.25" customHeight="1">
      <c r="E5" s="2" t="str">
        <f>IF($O$2="USD"," 1    0    1    0    0   0    2    6    8    6    1    4",IF($O$2="VNĐ"," 1    0    7    0    0    0    2    6    8    6    1    5"," 2    5    7    0    0    0    0    4    8    0    1    5"))</f>
        <v xml:space="preserve"> 1    0    7    0    0    0    2    6    8    6    1    5</v>
      </c>
      <c r="L5" s="1" t="s">
        <v>7</v>
      </c>
    </row>
    <row r="6" spans="1:15" ht="22.5" customHeight="1">
      <c r="F6" s="180">
        <f>IF(OR($O$2="VNĐ",$O$2="TAMP"),VLOOKUP("X",DS,16,0),VLOOKUP("X",DS,15,0))</f>
        <v>500000000</v>
      </c>
      <c r="G6" s="180"/>
      <c r="K6" s="1" t="str">
        <f>IF(OR(O2="vnđ",O2="TAMP"),"x","")</f>
        <v>x</v>
      </c>
      <c r="L6" s="1" t="str">
        <f>IF(O2="usd","x","")</f>
        <v/>
      </c>
    </row>
    <row r="7" spans="1:15" ht="17.25" customHeight="1">
      <c r="F7" s="1" t="str">
        <f>[1]!VND(F6,FALSE)&amp;IF($O$2="USD"," đô la mỹ."," đồng.")</f>
        <v>Năm trăm triệu đồng.</v>
      </c>
    </row>
    <row r="8" spans="1:15" ht="16.5" customHeight="1">
      <c r="G8" s="1" t="s">
        <v>3</v>
      </c>
    </row>
    <row r="9" spans="1:15" ht="21" customHeight="1">
      <c r="F9" s="1" t="str">
        <f>VLOOKUP("X",DS,14,0)</f>
        <v>Thanh toán cước vận chuyển và phí liên quan – Ánh Dương</v>
      </c>
    </row>
    <row r="11" spans="1:15" ht="25.5" customHeight="1">
      <c r="F11" s="14" t="str">
        <f>VLOOKUP("X",DS,6,0)</f>
        <v>CÔNG TY TNHH GIAO NHẬN VẬN CHUYỂN ÁNH DƯƠNG</v>
      </c>
      <c r="G11" s="14"/>
    </row>
    <row r="12" spans="1:15" ht="17.25" customHeight="1"/>
    <row r="13" spans="1:15" ht="16.5" customHeight="1"/>
    <row r="14" spans="1:15" ht="24" customHeight="1">
      <c r="C14" s="1" t="s">
        <v>3</v>
      </c>
      <c r="E14" s="1" t="str">
        <f>VLOOKUP("X",DS,7,0)</f>
        <v>0531002503669</v>
      </c>
    </row>
    <row r="15" spans="1:15" ht="15" customHeight="1">
      <c r="E15" s="1" t="str">
        <f>VLOOKUP("X",DS,8,0)&amp;", "&amp;VLOOKUP("X",DS,9,0)</f>
        <v>Vietcombank – CN Đông Sài Gòn, TPHCM</v>
      </c>
    </row>
  </sheetData>
  <dataConsolidate/>
  <mergeCells count="1">
    <mergeCell ref="F6:G6"/>
  </mergeCells>
  <dataValidations count="1"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15"/>
  <sheetViews>
    <sheetView tabSelected="1" view="pageBreakPreview" zoomScaleSheetLayoutView="100" workbookViewId="0">
      <pane ySplit="16" topLeftCell="A17" activePane="bottomLeft" state="frozen"/>
      <selection pane="bottomLeft" activeCell="O2" sqref="O2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2.28515625" style="1" customWidth="1"/>
    <col min="5" max="5" width="6.140625" style="1" customWidth="1"/>
    <col min="6" max="6" width="8.42578125" style="1" customWidth="1"/>
    <col min="7" max="7" width="7.5703125" style="1" customWidth="1"/>
    <col min="8" max="8" width="9.140625" style="1"/>
    <col min="9" max="9" width="9.85546875" style="1" customWidth="1"/>
    <col min="10" max="10" width="9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384" width="9.140625" style="1"/>
  </cols>
  <sheetData>
    <row r="1" spans="1:15" ht="15" customHeight="1" thickBot="1">
      <c r="A1" s="8" t="str">
        <f>IF($O$2="vnđ","p","p1")</f>
        <v>p</v>
      </c>
      <c r="N1" s="8"/>
    </row>
    <row r="2" spans="1:15" ht="20.25" customHeight="1" thickBot="1">
      <c r="O2" s="13" t="s">
        <v>29</v>
      </c>
    </row>
    <row r="3" spans="1:15" ht="23.25" customHeight="1"/>
    <row r="4" spans="1:15" ht="18.75" customHeight="1">
      <c r="G4" s="1" t="s">
        <v>2</v>
      </c>
    </row>
    <row r="5" spans="1:15" ht="18.75" customHeight="1">
      <c r="E5" s="2" t="str">
        <f>IF($O$2="USD"," 1    0    1    0    0   0    2    6    8    6    1    4",IF($O$2="VNĐ"," 1    0    7    0    0    0    2    6    8    6    1    5"," 2    5    7    0    0    0    0    4    8    0    1    5"))</f>
        <v xml:space="preserve"> 1    0    7    0    0    0    2    6    8    6    1    5</v>
      </c>
      <c r="L5" s="1" t="s">
        <v>7</v>
      </c>
    </row>
    <row r="6" spans="1:15" ht="22.5" customHeight="1">
      <c r="F6" s="180">
        <f>IF(OR($O$2="VNĐ",$O$2="TAMP"),VLOOKUP("X",DS,16,0),VLOOKUP("X",DS,15,0))</f>
        <v>500000000</v>
      </c>
      <c r="G6" s="180"/>
      <c r="K6" s="1" t="str">
        <f>IF(OR(O2="vnđ",O2="TAMP"),"x","")</f>
        <v>x</v>
      </c>
      <c r="L6" s="1" t="str">
        <f>IF(O2="usd","x","")</f>
        <v/>
      </c>
    </row>
    <row r="7" spans="1:15" ht="16.5" customHeight="1">
      <c r="F7" s="1" t="str">
        <f>[1]!VND(F6,FALSE)&amp;IF($O$2="USD"," đô la mỹ."," đồng.")</f>
        <v>Năm trăm triệu đồng.</v>
      </c>
    </row>
    <row r="8" spans="1:15" ht="19.5" customHeight="1">
      <c r="G8" s="1" t="s">
        <v>3</v>
      </c>
    </row>
    <row r="9" spans="1:15" ht="17.25" customHeight="1">
      <c r="L9" s="151" t="str">
        <f>VLOOKUP("X",DS,14,0)</f>
        <v>Thanh toán cước vận chuyển và phí liên quan – Ánh Dương</v>
      </c>
      <c r="M9" s="151"/>
    </row>
    <row r="10" spans="1:15" ht="18" customHeight="1">
      <c r="F10" s="14" t="str">
        <f>VLOOKUP("X",DS,6,0)</f>
        <v>CÔNG TY TNHH GIAO NHẬN VẬN CHUYỂN ÁNH DƯƠNG</v>
      </c>
      <c r="G10" s="14"/>
    </row>
    <row r="11" spans="1:15" ht="17.25" customHeight="1"/>
    <row r="12" spans="1:15" ht="16.5" customHeight="1"/>
    <row r="13" spans="1:15" ht="21.75" customHeight="1"/>
    <row r="14" spans="1:15" ht="24" customHeight="1">
      <c r="C14" s="1" t="s">
        <v>3</v>
      </c>
      <c r="E14" s="1" t="str">
        <f>VLOOKUP("X",DS,7,0)</f>
        <v>0531002503669</v>
      </c>
    </row>
    <row r="15" spans="1:15" ht="15" customHeight="1">
      <c r="E15" s="1" t="str">
        <f>VLOOKUP("X",DS,8,0)&amp;", "&amp;VLOOKUP("X",DS,9,0)</f>
        <v>Vietcombank – CN Đông Sài Gòn, TPHCM</v>
      </c>
    </row>
  </sheetData>
  <dataConsolidate/>
  <mergeCells count="1">
    <mergeCell ref="F6:G6"/>
  </mergeCells>
  <dataValidations count="1"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17"/>
  <sheetViews>
    <sheetView view="pageBreakPreview" zoomScaleSheetLayoutView="100" workbookViewId="0">
      <pane ySplit="18" topLeftCell="A19" activePane="bottomLeft" state="frozen"/>
      <selection activeCell="T4" sqref="T4"/>
      <selection pane="bottomLeft" activeCell="I10" sqref="I10"/>
    </sheetView>
  </sheetViews>
  <sheetFormatPr defaultRowHeight="15"/>
  <cols>
    <col min="1" max="1" width="4.5703125" style="1" customWidth="1"/>
    <col min="2" max="2" width="3.5703125" style="1" customWidth="1"/>
    <col min="3" max="3" width="9.85546875" style="1" customWidth="1"/>
    <col min="4" max="4" width="12.28515625" style="1" customWidth="1"/>
    <col min="5" max="5" width="6.28515625" style="1" customWidth="1"/>
    <col min="6" max="6" width="8.140625" style="1" customWidth="1"/>
    <col min="7" max="7" width="7.5703125" style="1" customWidth="1"/>
    <col min="8" max="8" width="9.140625" style="1"/>
    <col min="9" max="9" width="9.85546875" style="1" customWidth="1"/>
    <col min="10" max="10" width="8.7109375" style="1" customWidth="1"/>
    <col min="11" max="11" width="7.28515625" style="1" customWidth="1"/>
    <col min="12" max="12" width="5.5703125" style="1" customWidth="1"/>
    <col min="13" max="13" width="6.28515625" style="1" customWidth="1"/>
    <col min="14" max="16384" width="9.140625" style="1"/>
  </cols>
  <sheetData>
    <row r="1" spans="1:12" ht="15" customHeight="1">
      <c r="A1" s="8" t="e">
        <f>IF(#REF!="vnđ","p","p1")</f>
        <v>#REF!</v>
      </c>
    </row>
    <row r="2" spans="1:12" ht="18.75" customHeight="1"/>
    <row r="6" spans="1:12" ht="21" customHeight="1">
      <c r="G6" s="1" t="s">
        <v>2</v>
      </c>
    </row>
    <row r="7" spans="1:12" ht="17.25" customHeight="1">
      <c r="E7" s="2" t="str">
        <f>IF('UNC - PV'!$O$2="USD"," 1    0    1    0    0   0    2    6    8    6    1    4",IF('UNC - PV'!$O$2="VNĐ"," 1    0    7    0    0    0   2    6    8    6    1    5"," 2    5    7    0    0    0   0    4    8    0    1    5"))</f>
        <v xml:space="preserve"> 1    0    7    0    0    0   2    6    8    6    1    5</v>
      </c>
      <c r="L7" s="7" t="s">
        <v>7</v>
      </c>
    </row>
    <row r="8" spans="1:12" ht="20.25" customHeight="1">
      <c r="F8" s="180">
        <f>IF(OR('UNC - PV'!$O$2="VNĐ",'UNC - PV'!$O$2="TAMP"),VLOOKUP("X",DS,16,0),VLOOKUP("X",DS,15,0))</f>
        <v>500000000</v>
      </c>
      <c r="G8" s="180"/>
      <c r="K8" s="7" t="str">
        <f>IF(OR('UNC - PV'!$O$2="VNĐ",'UNC - PV'!$O$2="TAMP"),"x","")</f>
        <v>x</v>
      </c>
      <c r="L8" s="7" t="str">
        <f>IF('UNC - PV'!$O$2="usd","x","")</f>
        <v/>
      </c>
    </row>
    <row r="9" spans="1:12" ht="16.5" customHeight="1">
      <c r="F9" s="7" t="str">
        <f>[1]!VND(F8,FALSE)&amp;IF('UNC - PV'!$O$2="USD"," đô la mỹ."," đồng.")</f>
        <v>Năm trăm triệu đồng.</v>
      </c>
    </row>
    <row r="10" spans="1:12" ht="17.25" customHeight="1">
      <c r="G10" s="1" t="s">
        <v>3</v>
      </c>
    </row>
    <row r="11" spans="1:12" ht="17.25" customHeight="1">
      <c r="F11" s="7" t="str">
        <f>VLOOKUP("X",DS,14,0)</f>
        <v>Thanh toán cước vận chuyển và phí liên quan – Ánh Dương</v>
      </c>
    </row>
    <row r="13" spans="1:12" ht="21" customHeight="1">
      <c r="F13" s="133" t="str">
        <f>VLOOKUP("X",DS,6,0)</f>
        <v>CÔNG TY TNHH GIAO NHẬN VẬN CHUYỂN ÁNH DƯƠNG</v>
      </c>
      <c r="G13" s="14"/>
    </row>
    <row r="14" spans="1:12" ht="17.25" customHeight="1"/>
    <row r="16" spans="1:12" ht="21.75" customHeight="1">
      <c r="C16" s="1" t="s">
        <v>3</v>
      </c>
      <c r="E16" s="1" t="str">
        <f>VLOOKUP("X",DS,7,0)</f>
        <v>0531002503669</v>
      </c>
    </row>
    <row r="17" spans="5:5" ht="15" customHeight="1">
      <c r="E17" s="7" t="str">
        <f>VLOOKUP("X",DS,8,0)&amp;", "&amp;VLOOKUP("X",DS,9,0)</f>
        <v>Vietcombank – CN Đông Sài Gòn, TPHCM</v>
      </c>
    </row>
  </sheetData>
  <dataConsolidate/>
  <mergeCells count="1">
    <mergeCell ref="F8:G8"/>
  </mergeCells>
  <pageMargins left="0" right="0" top="0" bottom="0" header="0" footer="0"/>
  <pageSetup paperSize="9" scale="98" orientation="portrait" r:id="rId1"/>
  <headerFooter>
    <oddHeader>&amp;L&amp;G</oddHeader>
  </headerFooter>
  <legacyDrawingHF r:id="rId2"/>
  <picture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G25" sqref="G25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E1</v>
      </c>
    </row>
    <row r="2" spans="1:22" ht="21.75" customHeight="1" thickBot="1">
      <c r="A2" s="16"/>
      <c r="B2" s="16"/>
      <c r="G2" s="24"/>
      <c r="H2" s="51" t="s">
        <v>54</v>
      </c>
      <c r="M2" s="27" t="s">
        <v>125</v>
      </c>
      <c r="N2" s="27"/>
      <c r="R2" s="13" t="s">
        <v>28</v>
      </c>
      <c r="T2" s="10">
        <v>43103</v>
      </c>
      <c r="U2" s="11"/>
      <c r="V2" s="12" t="s">
        <v>23</v>
      </c>
    </row>
    <row r="3" spans="1:22" ht="12.75" customHeight="1">
      <c r="G3" s="26"/>
      <c r="H3" s="26" t="s">
        <v>55</v>
      </c>
      <c r="I3" s="25"/>
      <c r="M3" s="27" t="s">
        <v>126</v>
      </c>
      <c r="N3" s="27"/>
    </row>
    <row r="4" spans="1:22" ht="12.75" customHeight="1">
      <c r="A4" s="17"/>
      <c r="B4" s="17"/>
    </row>
    <row r="5" spans="1:22" ht="11.25" customHeight="1">
      <c r="A5" s="17" t="s">
        <v>46</v>
      </c>
      <c r="B5" s="17"/>
    </row>
    <row r="6" spans="1:22" s="47" customFormat="1" ht="13.5" customHeight="1">
      <c r="A6" s="17" t="s">
        <v>47</v>
      </c>
      <c r="B6" s="29"/>
      <c r="C6" s="46" t="str">
        <f>"CTY TNHH HẢI SẢN AN LẠC "&amp;IF(RIGHT(VLOOKUP("X1",DS,3,0),1)="V","TRÀ VINH","")</f>
        <v>CTY TNHH HẢI SẢN AN LẠC TRÀ VINH</v>
      </c>
      <c r="G6" s="49"/>
      <c r="H6" s="49"/>
    </row>
    <row r="7" spans="1:22" ht="9" customHeight="1">
      <c r="A7" s="28" t="s">
        <v>37</v>
      </c>
      <c r="B7" s="28"/>
    </row>
    <row r="8" spans="1:22" s="7" customFormat="1" ht="12" customHeight="1">
      <c r="A8" s="17" t="s">
        <v>48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1402 148 5102 8153</v>
      </c>
    </row>
    <row r="9" spans="1:22" ht="9.75" customHeight="1">
      <c r="A9" s="28" t="s">
        <v>38</v>
      </c>
      <c r="B9" s="28"/>
    </row>
    <row r="10" spans="1:22" s="7" customFormat="1" ht="12" customHeight="1">
      <c r="A10" s="17" t="s">
        <v>58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39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49</v>
      </c>
      <c r="B12" s="17"/>
      <c r="C12" s="43" t="str">
        <f>VLOOKUP("X1",DS,6,0)</f>
        <v>CTY TNHH HẢI SẢN AN LẠC TRÀ VINH</v>
      </c>
    </row>
    <row r="13" spans="1:22" ht="8.25" customHeight="1">
      <c r="A13" s="28" t="s">
        <v>40</v>
      </c>
      <c r="B13" s="28"/>
      <c r="H13" s="31"/>
    </row>
    <row r="14" spans="1:22" s="7" customFormat="1" ht="12" customHeight="1">
      <c r="A14" s="88" t="s">
        <v>56</v>
      </c>
      <c r="B14" s="17" t="s">
        <v>57</v>
      </c>
      <c r="C14" s="53" t="str">
        <f>VLOOKUP("X1",DS,7,0)</f>
        <v>1402 148 5100 7445</v>
      </c>
      <c r="H14" s="45"/>
      <c r="I14" s="7" t="s">
        <v>56</v>
      </c>
      <c r="J14" s="17" t="s">
        <v>79</v>
      </c>
      <c r="K14" s="17"/>
      <c r="L14" s="17"/>
    </row>
    <row r="15" spans="1:22" ht="9" customHeight="1">
      <c r="A15" s="18" t="s">
        <v>41</v>
      </c>
      <c r="B15" s="28"/>
      <c r="H15" s="31"/>
      <c r="J15" s="18" t="s">
        <v>59</v>
      </c>
      <c r="K15" s="18"/>
      <c r="L15" s="18"/>
    </row>
    <row r="16" spans="1:22" ht="12.75" customHeight="1">
      <c r="A16" s="17" t="s">
        <v>50</v>
      </c>
      <c r="B16" s="17"/>
      <c r="C16" s="52" t="str">
        <f>VLOOKUP("X1",DS,8,0)</f>
        <v>Eximbank - CN Q4</v>
      </c>
      <c r="D16" s="19"/>
      <c r="E16" s="19"/>
      <c r="H16" s="31"/>
      <c r="J16" s="19" t="s">
        <v>81</v>
      </c>
      <c r="K16" s="19"/>
      <c r="L16" s="19"/>
    </row>
    <row r="17" spans="1:16" ht="8.25" customHeight="1">
      <c r="A17" s="18" t="s">
        <v>42</v>
      </c>
      <c r="B17" s="18"/>
      <c r="H17" s="31"/>
      <c r="J17" s="28" t="s">
        <v>60</v>
      </c>
      <c r="K17" s="28"/>
      <c r="L17" s="28"/>
    </row>
    <row r="18" spans="1:16" ht="12" customHeight="1">
      <c r="A18" s="17" t="s">
        <v>51</v>
      </c>
      <c r="B18" s="17"/>
      <c r="C18" s="53" t="str">
        <f>VLOOKUP("X1",DS,9,0)</f>
        <v>TPHCM</v>
      </c>
      <c r="H18" s="31"/>
      <c r="J18" s="19" t="s">
        <v>80</v>
      </c>
      <c r="K18" s="19"/>
      <c r="L18" s="19"/>
    </row>
    <row r="19" spans="1:16" ht="8.25" customHeight="1">
      <c r="A19" s="18" t="s">
        <v>43</v>
      </c>
      <c r="B19" s="18"/>
      <c r="C19" s="39"/>
      <c r="H19" s="40"/>
      <c r="J19" s="28" t="s">
        <v>61</v>
      </c>
      <c r="K19" s="28"/>
      <c r="L19" s="28"/>
    </row>
    <row r="20" spans="1:16" ht="14.25" customHeight="1">
      <c r="A20" s="33" t="s">
        <v>62</v>
      </c>
      <c r="B20" s="34"/>
      <c r="C20" s="52" t="str">
        <f>[1]!VND($N$22,FALSE)&amp;IF($R$2="USD"," đô la mỹ."," đồng.")</f>
        <v>Chín mươi tám ngàn, hai trăm đô la mỹ.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181" t="s">
        <v>63</v>
      </c>
      <c r="O20" s="181"/>
      <c r="P20" s="37"/>
    </row>
    <row r="21" spans="1:16" ht="9" customHeight="1">
      <c r="A21" s="28" t="s">
        <v>52</v>
      </c>
      <c r="B21" s="17"/>
      <c r="C21" s="20" t="s">
        <v>44</v>
      </c>
      <c r="D21" s="20"/>
      <c r="E21" s="20"/>
      <c r="M21" s="31"/>
      <c r="N21" s="182" t="s">
        <v>64</v>
      </c>
      <c r="O21" s="182"/>
      <c r="P21" s="32"/>
    </row>
    <row r="22" spans="1:16">
      <c r="A22" s="18"/>
      <c r="B22" s="18"/>
      <c r="M22" s="31"/>
      <c r="N22" s="152">
        <f>IF($R$2="VNĐ",VLOOKUP("X1",DS,16,0),VLOOKUP("X1",DS,15,0))</f>
        <v>98200</v>
      </c>
      <c r="O22" s="44" t="str">
        <f>R2</f>
        <v>USD</v>
      </c>
      <c r="P22" s="32"/>
    </row>
    <row r="23" spans="1:16" ht="15" customHeight="1">
      <c r="A23" s="17" t="s">
        <v>65</v>
      </c>
      <c r="B23" s="15"/>
      <c r="C23" s="52" t="str">
        <f>VLOOKUP("X1",DS,14,0)</f>
        <v>BÁN NT</v>
      </c>
      <c r="M23" s="31"/>
      <c r="P23" s="32"/>
    </row>
    <row r="24" spans="1:16" ht="9" customHeight="1">
      <c r="A24" s="28" t="s">
        <v>45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103</v>
      </c>
      <c r="B26" s="22"/>
      <c r="E26" s="45"/>
      <c r="F26" s="17" t="s">
        <v>76</v>
      </c>
      <c r="K26" s="45"/>
      <c r="L26" s="17" t="s">
        <v>77</v>
      </c>
    </row>
    <row r="27" spans="1:16" ht="8.25" customHeight="1">
      <c r="A27" s="42" t="s">
        <v>53</v>
      </c>
      <c r="B27" s="21"/>
      <c r="C27" s="23"/>
      <c r="D27" s="23"/>
      <c r="E27" s="41"/>
      <c r="F27" s="28" t="s">
        <v>70</v>
      </c>
      <c r="K27" s="31"/>
      <c r="L27" s="28" t="s">
        <v>75</v>
      </c>
    </row>
    <row r="28" spans="1:16" ht="11.25" customHeight="1">
      <c r="A28" s="27" t="s">
        <v>66</v>
      </c>
      <c r="B28" s="22"/>
      <c r="C28" s="27" t="s">
        <v>68</v>
      </c>
      <c r="E28" s="31"/>
      <c r="F28" s="27" t="s">
        <v>71</v>
      </c>
      <c r="H28" s="27" t="s">
        <v>73</v>
      </c>
      <c r="K28" s="31"/>
      <c r="L28" s="27" t="s">
        <v>71</v>
      </c>
      <c r="O28" s="27" t="s">
        <v>73</v>
      </c>
    </row>
    <row r="29" spans="1:16" ht="9" customHeight="1">
      <c r="A29" s="28" t="s">
        <v>67</v>
      </c>
      <c r="B29" s="21"/>
      <c r="C29" s="28" t="s">
        <v>69</v>
      </c>
      <c r="E29" s="31"/>
      <c r="F29" s="28" t="s">
        <v>72</v>
      </c>
      <c r="H29" s="28" t="s">
        <v>74</v>
      </c>
      <c r="K29" s="31"/>
      <c r="L29" s="28" t="s">
        <v>72</v>
      </c>
      <c r="O29" s="28" t="s">
        <v>74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27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180">
        <f>VLOOKUP("X2",DS,16,0)</f>
        <v>1100000000</v>
      </c>
      <c r="F8" s="180"/>
      <c r="G8" s="5"/>
      <c r="L8" s="1" t="s">
        <v>3</v>
      </c>
    </row>
    <row r="9" spans="5:18" ht="17.25" customHeight="1">
      <c r="F9" s="1" t="str">
        <f>[1]!VND(E8,TRUE)</f>
        <v>Một tỷ, một trăm triệu đồng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str">
        <f>VLOOKUP("X2",DS,6,0)</f>
        <v>PHẠM THỊ ĐÔNG</v>
      </c>
    </row>
    <row r="13" spans="5:18" ht="19.5" customHeight="1">
      <c r="E13" s="3" t="str">
        <f>VLOOKUP("X2",DS,10,0)</f>
        <v>020999909</v>
      </c>
      <c r="H13" s="1">
        <f>DAY(VLOOKUP("X2",DS,11,0))</f>
        <v>22</v>
      </c>
      <c r="I13" s="3">
        <f>MONTH(VLOOKUP("X2",DS,11,0))</f>
        <v>5</v>
      </c>
      <c r="J13" s="1">
        <f>YEAR(VLOOKUP("X2",DS,11,0))</f>
        <v>2012</v>
      </c>
      <c r="N13" s="1" t="str">
        <f>VLOOKUP("X2",DS,12,0)</f>
        <v>TPHCM</v>
      </c>
    </row>
    <row r="14" spans="5:18" ht="20.25" customHeight="1">
      <c r="E14" s="1" t="str">
        <f>VLOOKUP("X2",DS,14,0)</f>
        <v>Rút tiền mặt</v>
      </c>
    </row>
    <row r="15" spans="5:18" ht="16.5" customHeight="1">
      <c r="H15" s="4"/>
    </row>
    <row r="16" spans="5:18" ht="21" customHeight="1">
      <c r="H16" s="1" t="str">
        <f>VLOOKUP("X2",DS,13,0)</f>
        <v>GUQ-AL/01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148</v>
      </c>
    </row>
    <row r="2" spans="1:21" ht="21.75" customHeight="1" thickBot="1">
      <c r="A2" s="16"/>
      <c r="B2" s="16"/>
      <c r="G2" s="24"/>
      <c r="H2" s="75" t="s">
        <v>106</v>
      </c>
      <c r="M2" s="27" t="s">
        <v>125</v>
      </c>
      <c r="N2" s="27"/>
      <c r="O2" s="27"/>
      <c r="S2" s="10">
        <v>42556</v>
      </c>
      <c r="T2" s="11"/>
      <c r="U2" s="12" t="s">
        <v>78</v>
      </c>
    </row>
    <row r="3" spans="1:21" ht="12.75" customHeight="1">
      <c r="G3" s="26"/>
      <c r="H3" s="26" t="s">
        <v>55</v>
      </c>
      <c r="I3" s="25"/>
      <c r="M3" s="27" t="s">
        <v>126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107</v>
      </c>
      <c r="B5" s="17"/>
      <c r="E5" s="80"/>
      <c r="F5" s="81" t="s">
        <v>109</v>
      </c>
      <c r="I5" s="85" t="s">
        <v>3</v>
      </c>
      <c r="J5" s="81" t="s">
        <v>110</v>
      </c>
    </row>
    <row r="6" spans="1:21" s="7" customFormat="1" ht="8.25" customHeight="1">
      <c r="A6" s="76" t="s">
        <v>108</v>
      </c>
      <c r="B6" s="17"/>
      <c r="F6" s="76" t="s">
        <v>111</v>
      </c>
      <c r="J6" s="76" t="s">
        <v>112</v>
      </c>
    </row>
    <row r="7" spans="1:21" s="47" customFormat="1" ht="13.5" customHeight="1">
      <c r="A7" s="17" t="s">
        <v>47</v>
      </c>
      <c r="B7" s="29"/>
      <c r="C7" s="46" t="str">
        <f>"CTY TNHH HẢI SẢN AN LẠC "&amp;IF(RIGHT(VLOOKUP("X3",DS,3,0),1)="V","TRÀ VINH","")</f>
        <v xml:space="preserve">CTY TNHH HẢI SẢN AN LẠC </v>
      </c>
      <c r="G7" s="49"/>
      <c r="H7" s="49"/>
    </row>
    <row r="8" spans="1:21" ht="8.25" customHeight="1">
      <c r="A8" s="28" t="s">
        <v>37</v>
      </c>
      <c r="B8" s="28"/>
    </row>
    <row r="9" spans="1:21" ht="12.75" customHeight="1">
      <c r="A9" s="17" t="s">
        <v>48</v>
      </c>
      <c r="B9" s="29"/>
      <c r="C9" s="52" t="str">
        <f>IF(RIGHT(VLOOKUP("X3",DS,3,0),1)="1","1015 148 5100 9180",IF(RIGHT(VLOOKUP("X3",DS,3,0),1)="4","1402 148 5100 9465",IF(RIGHT(VLOOKUP("X3",DS,3,0),1)="V","1402 148 5100 7445","")))</f>
        <v>1015 148 5100 9180</v>
      </c>
    </row>
    <row r="10" spans="1:21" ht="8.25" customHeight="1">
      <c r="A10" s="28" t="s">
        <v>38</v>
      </c>
      <c r="B10" s="28"/>
    </row>
    <row r="11" spans="1:21" ht="12.75" customHeight="1">
      <c r="A11" s="17" t="s">
        <v>58</v>
      </c>
      <c r="B11" s="17"/>
      <c r="H11" s="52" t="str">
        <f>IF(RIGHT(VLOOKUP("X3",DS,3,0),1)="1","CHI NHÁNH QUẬN 11",IF(RIGHT(VLOOKUP("X3",DS,3,0),1)="4","CHI NHÁNH QUẬN 4",IF(RIGHT(VLOOKUP("X3",DS,3,0),1)="V","CHI NHÁNH QUẬN 4","")))</f>
        <v>CHI NHÁNH QUẬN 11</v>
      </c>
    </row>
    <row r="12" spans="1:21" ht="9" customHeight="1">
      <c r="A12" s="38" t="s">
        <v>39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49</v>
      </c>
      <c r="B13" s="17"/>
      <c r="C13" s="43" t="str">
        <f>VLOOKUP("X3",DS,6,0)</f>
        <v>PHẠM THỊ ĐÔNG</v>
      </c>
    </row>
    <row r="14" spans="1:21" ht="8.25" customHeight="1">
      <c r="A14" s="28" t="s">
        <v>40</v>
      </c>
      <c r="B14" s="28"/>
      <c r="H14" s="31"/>
    </row>
    <row r="15" spans="1:21" ht="12" customHeight="1">
      <c r="A15" s="30" t="s">
        <v>56</v>
      </c>
      <c r="B15" s="17" t="s">
        <v>113</v>
      </c>
      <c r="C15" s="52"/>
      <c r="H15" s="31"/>
      <c r="I15" s="7" t="s">
        <v>56</v>
      </c>
      <c r="J15" s="17" t="s">
        <v>117</v>
      </c>
      <c r="K15" s="17"/>
      <c r="L15" s="54" t="str">
        <f>VLOOKUP("X3",DS,10,0)</f>
        <v>020999909</v>
      </c>
    </row>
    <row r="16" spans="1:21" ht="8.25" customHeight="1">
      <c r="A16" s="18" t="s">
        <v>41</v>
      </c>
      <c r="B16" s="28"/>
      <c r="H16" s="31"/>
      <c r="J16" s="18" t="s">
        <v>59</v>
      </c>
      <c r="K16" s="18"/>
      <c r="L16" s="18"/>
    </row>
    <row r="17" spans="1:17" ht="11.25" customHeight="1">
      <c r="A17" s="17" t="s">
        <v>114</v>
      </c>
      <c r="B17" s="17"/>
      <c r="C17" s="52"/>
      <c r="D17" s="19"/>
      <c r="E17" s="19"/>
      <c r="H17" s="31"/>
      <c r="J17" s="20" t="s">
        <v>115</v>
      </c>
      <c r="K17" s="82"/>
      <c r="L17" s="186">
        <f>VLOOKUP("X3",DS,11,0)</f>
        <v>41051</v>
      </c>
      <c r="M17" s="186"/>
    </row>
    <row r="18" spans="1:17" ht="8.25" customHeight="1">
      <c r="A18" s="18" t="s">
        <v>42</v>
      </c>
      <c r="B18" s="18"/>
      <c r="H18" s="31"/>
      <c r="J18" s="28" t="s">
        <v>60</v>
      </c>
      <c r="K18" s="28"/>
      <c r="L18" s="28"/>
    </row>
    <row r="19" spans="1:17" ht="11.25" customHeight="1">
      <c r="A19" s="17" t="s">
        <v>124</v>
      </c>
      <c r="B19" s="17"/>
      <c r="C19" s="53"/>
      <c r="H19" s="31"/>
      <c r="J19" s="20" t="s">
        <v>116</v>
      </c>
      <c r="K19" s="19"/>
      <c r="L19" s="54" t="str">
        <f>VLOOKUP("X3",DS,12,0)</f>
        <v>TPHCM</v>
      </c>
    </row>
    <row r="20" spans="1:17" ht="8.25" customHeight="1">
      <c r="A20" s="18" t="s">
        <v>43</v>
      </c>
      <c r="B20" s="18"/>
      <c r="C20" s="39"/>
      <c r="H20" s="40"/>
      <c r="J20" s="28" t="s">
        <v>61</v>
      </c>
      <c r="K20" s="28"/>
      <c r="L20" s="28"/>
    </row>
    <row r="21" spans="1:17">
      <c r="A21" s="33" t="s">
        <v>62</v>
      </c>
      <c r="B21" s="34"/>
      <c r="C21" s="52" t="str">
        <f>[1]!VND(O23,TRUE)</f>
        <v>Ba trăm triệu đồng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183" t="s">
        <v>63</v>
      </c>
      <c r="O21" s="184"/>
      <c r="P21" s="184"/>
      <c r="Q21" s="37"/>
    </row>
    <row r="22" spans="1:17" ht="9" customHeight="1">
      <c r="A22" s="28" t="s">
        <v>52</v>
      </c>
      <c r="B22" s="17"/>
      <c r="C22" s="20" t="s">
        <v>44</v>
      </c>
      <c r="D22" s="20"/>
      <c r="E22" s="20"/>
      <c r="L22" s="48"/>
      <c r="M22" s="48"/>
      <c r="N22" s="185" t="s">
        <v>64</v>
      </c>
      <c r="O22" s="182"/>
      <c r="P22" s="182"/>
      <c r="Q22" s="32"/>
    </row>
    <row r="23" spans="1:17">
      <c r="A23" s="18"/>
      <c r="B23" s="18"/>
      <c r="L23" s="48"/>
      <c r="M23" s="48"/>
      <c r="N23" s="84"/>
      <c r="O23" s="50">
        <f>VLOOKUP("X3",DS,16,0)</f>
        <v>300000000</v>
      </c>
      <c r="P23" s="44" t="s">
        <v>29</v>
      </c>
      <c r="Q23" s="32"/>
    </row>
    <row r="24" spans="1:17" s="7" customFormat="1" ht="12.75" customHeight="1">
      <c r="A24" s="17" t="s">
        <v>65</v>
      </c>
      <c r="B24" s="86"/>
      <c r="C24" s="53" t="str">
        <f>VLOOKUP("X3",DS,14,0)</f>
        <v>Rút tiền mặt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45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103</v>
      </c>
      <c r="B27" s="22"/>
      <c r="E27" s="45"/>
      <c r="F27" s="17" t="s">
        <v>76</v>
      </c>
      <c r="K27" s="83"/>
      <c r="L27" s="17"/>
      <c r="N27" s="45"/>
      <c r="O27" s="79" t="s">
        <v>123</v>
      </c>
    </row>
    <row r="28" spans="1:17" ht="8.25" customHeight="1">
      <c r="A28" s="42" t="s">
        <v>53</v>
      </c>
      <c r="B28" s="21"/>
      <c r="C28" s="23"/>
      <c r="D28" s="23"/>
      <c r="E28" s="41"/>
      <c r="F28" s="28" t="s">
        <v>70</v>
      </c>
      <c r="K28" s="48"/>
      <c r="L28" s="28"/>
      <c r="N28" s="31"/>
      <c r="O28" s="77" t="s">
        <v>120</v>
      </c>
    </row>
    <row r="29" spans="1:17" ht="11.25" customHeight="1">
      <c r="A29" s="27" t="s">
        <v>66</v>
      </c>
      <c r="B29" s="22"/>
      <c r="C29" s="27" t="s">
        <v>68</v>
      </c>
      <c r="E29" s="31"/>
      <c r="F29" s="27" t="s">
        <v>71</v>
      </c>
      <c r="H29" s="27" t="s">
        <v>73</v>
      </c>
      <c r="K29" s="81" t="s">
        <v>118</v>
      </c>
      <c r="L29" s="27"/>
      <c r="N29" s="31"/>
      <c r="O29" s="79" t="s">
        <v>121</v>
      </c>
      <c r="P29" s="27"/>
    </row>
    <row r="30" spans="1:17" ht="9" customHeight="1">
      <c r="A30" s="28" t="s">
        <v>67</v>
      </c>
      <c r="B30" s="21"/>
      <c r="C30" s="28" t="s">
        <v>69</v>
      </c>
      <c r="E30" s="31"/>
      <c r="F30" s="28" t="s">
        <v>72</v>
      </c>
      <c r="H30" s="28" t="s">
        <v>74</v>
      </c>
      <c r="K30" s="77" t="s">
        <v>119</v>
      </c>
      <c r="L30" s="28"/>
      <c r="N30" s="31"/>
      <c r="O30" s="77" t="s">
        <v>122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19" sqref="B19"/>
    </sheetView>
  </sheetViews>
  <sheetFormatPr defaultRowHeight="23.25" customHeight="1"/>
  <cols>
    <col min="1" max="1" width="35.7109375" style="121" customWidth="1"/>
    <col min="2" max="2" width="35.28515625" style="121" customWidth="1"/>
    <col min="3" max="4" width="35.5703125" style="121" customWidth="1"/>
    <col min="5" max="16384" width="9.140625" style="121"/>
  </cols>
  <sheetData>
    <row r="1" spans="1:4" s="117" customFormat="1" ht="23.25" customHeight="1">
      <c r="A1" s="116" t="s">
        <v>235</v>
      </c>
      <c r="B1" s="116" t="s">
        <v>236</v>
      </c>
      <c r="C1" s="116" t="s">
        <v>237</v>
      </c>
      <c r="D1" s="116"/>
    </row>
    <row r="2" spans="1:4" s="117" customFormat="1" ht="23.25" customHeight="1">
      <c r="A2" s="118" t="s">
        <v>238</v>
      </c>
      <c r="B2" s="118" t="s">
        <v>239</v>
      </c>
      <c r="C2" s="118" t="s">
        <v>239</v>
      </c>
      <c r="D2" s="118" t="s">
        <v>240</v>
      </c>
    </row>
    <row r="3" spans="1:4" s="117" customFormat="1" ht="23.25" customHeight="1">
      <c r="A3" s="119" t="s">
        <v>241</v>
      </c>
      <c r="B3" s="119" t="s">
        <v>242</v>
      </c>
      <c r="C3" s="119" t="s">
        <v>243</v>
      </c>
      <c r="D3" s="119" t="s">
        <v>244</v>
      </c>
    </row>
    <row r="4" spans="1:4" s="117" customFormat="1" ht="23.25" customHeight="1">
      <c r="A4" s="120" t="s">
        <v>245</v>
      </c>
      <c r="B4" s="120" t="s">
        <v>246</v>
      </c>
      <c r="C4" s="120" t="s">
        <v>247</v>
      </c>
      <c r="D4" s="120" t="s">
        <v>248</v>
      </c>
    </row>
    <row r="5" spans="1:4" s="117" customFormat="1" ht="23.25" customHeight="1">
      <c r="A5" s="116"/>
      <c r="B5" s="116" t="s">
        <v>249</v>
      </c>
      <c r="C5" s="116" t="s">
        <v>250</v>
      </c>
      <c r="D5" s="116"/>
    </row>
    <row r="6" spans="1:4" s="117" customFormat="1" ht="23.25" customHeight="1">
      <c r="A6" s="118" t="s">
        <v>240</v>
      </c>
      <c r="B6" s="118" t="s">
        <v>251</v>
      </c>
      <c r="C6" s="118" t="s">
        <v>251</v>
      </c>
      <c r="D6" s="118" t="s">
        <v>240</v>
      </c>
    </row>
    <row r="7" spans="1:4" s="117" customFormat="1" ht="23.25" customHeight="1">
      <c r="A7" s="119" t="s">
        <v>244</v>
      </c>
      <c r="B7" s="119" t="s">
        <v>252</v>
      </c>
      <c r="C7" s="119" t="s">
        <v>253</v>
      </c>
      <c r="D7" s="119" t="s">
        <v>244</v>
      </c>
    </row>
    <row r="8" spans="1:4" s="117" customFormat="1" ht="23.25" customHeight="1">
      <c r="A8" s="120" t="s">
        <v>248</v>
      </c>
      <c r="B8" s="120" t="s">
        <v>254</v>
      </c>
      <c r="C8" s="120" t="s">
        <v>255</v>
      </c>
      <c r="D8" s="120" t="s">
        <v>248</v>
      </c>
    </row>
    <row r="9" spans="1:4" s="117" customFormat="1" ht="23.25" customHeight="1">
      <c r="A9" s="116"/>
      <c r="B9" s="116" t="s">
        <v>256</v>
      </c>
      <c r="C9" s="116" t="s">
        <v>257</v>
      </c>
      <c r="D9" s="116"/>
    </row>
    <row r="10" spans="1:4" s="117" customFormat="1" ht="23.25" customHeight="1">
      <c r="A10" s="118" t="s">
        <v>240</v>
      </c>
      <c r="B10" s="118" t="s">
        <v>258</v>
      </c>
      <c r="C10" s="118" t="s">
        <v>258</v>
      </c>
      <c r="D10" s="118" t="s">
        <v>240</v>
      </c>
    </row>
    <row r="11" spans="1:4" s="117" customFormat="1" ht="23.25" customHeight="1">
      <c r="A11" s="119" t="s">
        <v>244</v>
      </c>
      <c r="B11" s="119" t="s">
        <v>259</v>
      </c>
      <c r="C11" s="119" t="s">
        <v>260</v>
      </c>
      <c r="D11" s="119" t="s">
        <v>244</v>
      </c>
    </row>
    <row r="12" spans="1:4" s="117" customFormat="1" ht="23.25" customHeight="1">
      <c r="A12" s="120" t="s">
        <v>248</v>
      </c>
      <c r="B12" s="120" t="s">
        <v>254</v>
      </c>
      <c r="C12" s="120" t="s">
        <v>255</v>
      </c>
      <c r="D12" s="120" t="s">
        <v>248</v>
      </c>
    </row>
    <row r="13" spans="1:4" s="117" customFormat="1" ht="23.25" customHeight="1">
      <c r="A13" s="116"/>
      <c r="B13" s="116"/>
      <c r="C13" s="116"/>
      <c r="D13" s="116"/>
    </row>
    <row r="14" spans="1:4" s="117" customFormat="1" ht="23.25" customHeight="1">
      <c r="A14" s="118" t="s">
        <v>240</v>
      </c>
      <c r="B14" s="118" t="s">
        <v>240</v>
      </c>
      <c r="C14" s="118" t="s">
        <v>240</v>
      </c>
      <c r="D14" s="118" t="s">
        <v>240</v>
      </c>
    </row>
    <row r="15" spans="1:4" s="117" customFormat="1" ht="23.25" customHeight="1">
      <c r="A15" s="119" t="s">
        <v>244</v>
      </c>
      <c r="B15" s="119" t="s">
        <v>244</v>
      </c>
      <c r="C15" s="119" t="s">
        <v>244</v>
      </c>
      <c r="D15" s="119" t="s">
        <v>244</v>
      </c>
    </row>
    <row r="16" spans="1:4" s="117" customFormat="1" ht="23.25" customHeight="1">
      <c r="A16" s="120" t="s">
        <v>248</v>
      </c>
      <c r="B16" s="120" t="s">
        <v>248</v>
      </c>
      <c r="C16" s="120" t="s">
        <v>248</v>
      </c>
      <c r="D16" s="120" t="s">
        <v>248</v>
      </c>
    </row>
  </sheetData>
  <pageMargins left="0.16" right="0.15" top="0.31" bottom="0.15" header="0.16" footer="0.1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TH</vt:lpstr>
      <vt:lpstr>UNC - PV</vt:lpstr>
      <vt:lpstr>UNC - PV (3)</vt:lpstr>
      <vt:lpstr>UNC - PV (2)</vt:lpstr>
      <vt:lpstr>UNC - KM</vt:lpstr>
      <vt:lpstr>UNC - EIB</vt:lpstr>
      <vt:lpstr>LC - PV</vt:lpstr>
      <vt:lpstr>LC - EIB</vt:lpstr>
      <vt:lpstr>U&amp;P</vt:lpstr>
      <vt:lpstr>DS</vt:lpstr>
      <vt:lpstr>N_1</vt:lpstr>
      <vt:lpstr>'LC - EIB'!Print_Area</vt:lpstr>
      <vt:lpstr>'LC - PV'!Print_Area</vt:lpstr>
      <vt:lpstr>'UNC - EIB'!Print_Area</vt:lpstr>
      <vt:lpstr>'UNC - KM'!Print_Area</vt:lpstr>
      <vt:lpstr>'UNC - PV'!Print_Area</vt:lpstr>
      <vt:lpstr>'UNC - PV (2)'!Print_Area</vt:lpstr>
      <vt:lpstr>'UNC - PV (3)'!Print_Area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2018-01-19T06:04:29Z</cp:lastPrinted>
  <dcterms:created xsi:type="dcterms:W3CDTF">2016-07-02T08:51:17Z</dcterms:created>
  <dcterms:modified xsi:type="dcterms:W3CDTF">2018-01-19T06:11:34Z</dcterms:modified>
</cp:coreProperties>
</file>