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85" windowWidth="19440" windowHeight="8595" tabRatio="760" activeTab="10"/>
  </bookViews>
  <sheets>
    <sheet name="TD-TQ 2016" sheetId="1" r:id="rId1"/>
    <sheet name="CT-2016" sheetId="5" r:id="rId2"/>
    <sheet name="GC - TQ 2016" sheetId="2" r:id="rId3"/>
    <sheet name="BSHĐ - 2016" sheetId="6" r:id="rId4"/>
    <sheet name="ZHOUSHAN - 2017" sheetId="8" r:id="rId5"/>
    <sheet name="ZHOUSHAN - CT-2017" sheetId="9" r:id="rId6"/>
    <sheet name="HUNAM - 2017" sheetId="11" r:id="rId7"/>
    <sheet name="HUNAM - CT-2017" sheetId="12" r:id="rId8"/>
    <sheet name="BSHĐ - 2017" sheetId="10" r:id="rId9"/>
    <sheet name="CP-TQ" sheetId="14" r:id="rId10"/>
    <sheet name="Sheet1" sheetId="15" r:id="rId11"/>
  </sheets>
  <definedNames>
    <definedName name="_Fill" localSheetId="8" hidden="1">#REF!</definedName>
    <definedName name="_Fill" localSheetId="9" hidden="1">#REF!</definedName>
    <definedName name="_Fill" localSheetId="1" hidden="1">#REF!</definedName>
    <definedName name="_Fill" localSheetId="2" hidden="1">#REF!</definedName>
    <definedName name="_Fill" localSheetId="6" hidden="1">#REF!</definedName>
    <definedName name="_Fill" localSheetId="7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6" hidden="1">'HUNAM - 2017'!$A$3:$T$37</definedName>
    <definedName name="_xlnm._FilterDatabase" localSheetId="4" hidden="1">'ZHOUSHAN - 2017'!$A$3:$V$174</definedName>
    <definedName name="_xlnm._FilterDatabase" localSheetId="5" hidden="1">'ZHOUSHAN - CT-2017'!$A$287:$T$297</definedName>
    <definedName name="_xlnm.Print_Area" localSheetId="3">'BSHĐ - 2016'!$A$67:$I$89</definedName>
    <definedName name="_xlnm.Print_Area" localSheetId="8">'BSHĐ - 2017'!$A$118:$J$137</definedName>
    <definedName name="_xlnm.Print_Area" localSheetId="1">'CT-2016'!$A$522:$E$535</definedName>
    <definedName name="_xlnm.Print_Area" localSheetId="7">'HUNAM - CT-2017'!$A$1:$S$40</definedName>
    <definedName name="_xlnm.Print_Area" localSheetId="5">'ZHOUSHAN - CT-2017'!$A$495:$G$511</definedName>
    <definedName name="_xlnm.Print_Titles" localSheetId="6">'HUNAM - 2017'!$2:$3</definedName>
    <definedName name="_xlnm.Print_Titles" localSheetId="0">'TD-TQ 2016'!$17:$18</definedName>
    <definedName name="_xlnm.Print_Titles" localSheetId="4">'ZHOUSHAN - 2017'!$2:$3</definedName>
  </definedNames>
  <calcPr calcId="144525"/>
</workbook>
</file>

<file path=xl/calcChain.xml><?xml version="1.0" encoding="utf-8"?>
<calcChain xmlns="http://schemas.openxmlformats.org/spreadsheetml/2006/main">
  <c r="H18" i="15" l="1"/>
  <c r="C15" i="15"/>
  <c r="G4" i="15" l="1"/>
  <c r="G18" i="15" s="1"/>
  <c r="B18" i="15" s="1"/>
  <c r="F7" i="12"/>
  <c r="F9" i="12"/>
  <c r="F8" i="12"/>
  <c r="F12" i="12"/>
  <c r="G23" i="12"/>
  <c r="C23" i="12"/>
  <c r="C26" i="12" s="1"/>
  <c r="M5" i="12"/>
  <c r="M9" i="12"/>
  <c r="M10" i="12"/>
  <c r="M11" i="12"/>
  <c r="M14" i="12"/>
  <c r="M15" i="12"/>
  <c r="M16" i="12"/>
  <c r="M17" i="12"/>
  <c r="M18" i="12"/>
  <c r="M19" i="12"/>
  <c r="N19" i="12" s="1"/>
  <c r="M20" i="12"/>
  <c r="R20" i="12" s="1"/>
  <c r="M21" i="12"/>
  <c r="R21" i="12" s="1"/>
  <c r="R22" i="12"/>
  <c r="S22" i="12" s="1"/>
  <c r="M23" i="12"/>
  <c r="M24" i="12"/>
  <c r="M25" i="12"/>
  <c r="M26" i="12"/>
  <c r="M28" i="12"/>
  <c r="M29" i="12"/>
  <c r="M33" i="12"/>
  <c r="M34" i="12"/>
  <c r="M35" i="12"/>
  <c r="M36" i="12"/>
  <c r="M37" i="12"/>
  <c r="N37" i="12" s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9" i="12"/>
  <c r="Q21" i="12"/>
  <c r="Q22" i="12"/>
  <c r="Q23" i="12"/>
  <c r="Q24" i="12"/>
  <c r="O20" i="12"/>
  <c r="Q20" i="12" s="1"/>
  <c r="P20" i="12"/>
  <c r="P21" i="12"/>
  <c r="O18" i="12"/>
  <c r="Q18" i="12" s="1"/>
  <c r="P19" i="12"/>
  <c r="P37" i="12"/>
  <c r="Q37" i="12"/>
  <c r="P38" i="12"/>
  <c r="Q38" i="12"/>
  <c r="R38" i="12"/>
  <c r="S38" i="12"/>
  <c r="F11" i="12"/>
  <c r="F10" i="12"/>
  <c r="N21" i="12" l="1"/>
  <c r="N20" i="12"/>
  <c r="S21" i="12"/>
  <c r="S20" i="12"/>
  <c r="P18" i="12"/>
  <c r="R18" i="12"/>
  <c r="S18" i="12" s="1"/>
  <c r="R19" i="12"/>
  <c r="S19" i="12" s="1"/>
  <c r="N18" i="12"/>
  <c r="S37" i="12"/>
  <c r="R37" i="12"/>
  <c r="C51" i="12"/>
  <c r="E45" i="12"/>
  <c r="E51" i="12" l="1"/>
  <c r="F51" i="12" s="1"/>
  <c r="F18" i="12"/>
  <c r="F17" i="12"/>
  <c r="E6" i="12" l="1"/>
  <c r="Q36" i="12"/>
  <c r="P36" i="12"/>
  <c r="R36" i="12"/>
  <c r="Q35" i="12"/>
  <c r="P35" i="12"/>
  <c r="S35" i="12"/>
  <c r="Q34" i="12"/>
  <c r="P34" i="12"/>
  <c r="R34" i="12"/>
  <c r="Q33" i="12"/>
  <c r="P33" i="12"/>
  <c r="S33" i="12"/>
  <c r="S32" i="12"/>
  <c r="R32" i="12"/>
  <c r="Q32" i="12"/>
  <c r="P32" i="12"/>
  <c r="N32" i="12"/>
  <c r="R31" i="12"/>
  <c r="S31" i="12" s="1"/>
  <c r="Q31" i="12"/>
  <c r="P31" i="12"/>
  <c r="N31" i="12"/>
  <c r="Q30" i="12"/>
  <c r="P30" i="12"/>
  <c r="R30" i="12"/>
  <c r="P29" i="12"/>
  <c r="O29" i="12"/>
  <c r="R29" i="12"/>
  <c r="Q28" i="12"/>
  <c r="P28" i="12"/>
  <c r="N28" i="12"/>
  <c r="Q27" i="12"/>
  <c r="P27" i="12"/>
  <c r="M27" i="12"/>
  <c r="Q26" i="12"/>
  <c r="P26" i="12"/>
  <c r="N26" i="12"/>
  <c r="Q25" i="12"/>
  <c r="P25" i="12"/>
  <c r="P24" i="12"/>
  <c r="P23" i="12"/>
  <c r="P22" i="12"/>
  <c r="N22" i="12"/>
  <c r="T7" i="11"/>
  <c r="Q29" i="12" l="1"/>
  <c r="Q39" i="12" s="1"/>
  <c r="O39" i="12"/>
  <c r="R23" i="12"/>
  <c r="S23" i="12" s="1"/>
  <c r="R24" i="12"/>
  <c r="S24" i="12" s="1"/>
  <c r="R26" i="12"/>
  <c r="S26" i="12" s="1"/>
  <c r="S29" i="12"/>
  <c r="N34" i="12"/>
  <c r="S34" i="12"/>
  <c r="S36" i="12"/>
  <c r="N36" i="12"/>
  <c r="N24" i="12"/>
  <c r="R25" i="12"/>
  <c r="S25" i="12" s="1"/>
  <c r="R27" i="12"/>
  <c r="S27" i="12" s="1"/>
  <c r="N30" i="12"/>
  <c r="S30" i="12"/>
  <c r="N23" i="12"/>
  <c r="N25" i="12"/>
  <c r="N27" i="12"/>
  <c r="N29" i="12"/>
  <c r="R28" i="12"/>
  <c r="S28" i="12" s="1"/>
  <c r="R33" i="12"/>
  <c r="R35" i="12"/>
  <c r="N33" i="12"/>
  <c r="N35" i="12"/>
  <c r="N5" i="11" l="1"/>
  <c r="P5" i="11"/>
  <c r="E5" i="12"/>
  <c r="F31" i="12"/>
  <c r="J12" i="11"/>
  <c r="J15" i="11"/>
  <c r="J18" i="11"/>
  <c r="J21" i="11"/>
  <c r="E156" i="10" l="1"/>
  <c r="E158" i="10" s="1"/>
  <c r="G154" i="10"/>
  <c r="H154" i="10" s="1"/>
  <c r="I154" i="10" s="1"/>
  <c r="G153" i="10"/>
  <c r="G152" i="10"/>
  <c r="G151" i="10"/>
  <c r="H151" i="10" s="1"/>
  <c r="I151" i="10" s="1"/>
  <c r="G150" i="10"/>
  <c r="H150" i="10" s="1"/>
  <c r="I150" i="10" s="1"/>
  <c r="G149" i="10"/>
  <c r="G148" i="10"/>
  <c r="G147" i="10"/>
  <c r="H147" i="10" s="1"/>
  <c r="I147" i="10" s="1"/>
  <c r="G146" i="10"/>
  <c r="H146" i="10" s="1"/>
  <c r="I146" i="10" s="1"/>
  <c r="G145" i="10"/>
  <c r="G144" i="10"/>
  <c r="G143" i="10"/>
  <c r="H143" i="10" s="1"/>
  <c r="I143" i="10" s="1"/>
  <c r="G142" i="10"/>
  <c r="H142" i="10" s="1"/>
  <c r="I142" i="10" s="1"/>
  <c r="G141" i="10"/>
  <c r="K21" i="11"/>
  <c r="K18" i="11"/>
  <c r="I18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H148" i="10" l="1"/>
  <c r="I148" i="10" s="1"/>
  <c r="H144" i="10"/>
  <c r="I144" i="10" s="1"/>
  <c r="H152" i="10"/>
  <c r="I152" i="10" s="1"/>
  <c r="G156" i="10"/>
  <c r="H141" i="10"/>
  <c r="H145" i="10"/>
  <c r="I145" i="10" s="1"/>
  <c r="H149" i="10"/>
  <c r="I149" i="10" s="1"/>
  <c r="H153" i="10"/>
  <c r="I153" i="10" s="1"/>
  <c r="I141" i="10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6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501" i="9"/>
  <c r="F499" i="9"/>
  <c r="F504" i="9" s="1"/>
  <c r="E498" i="9"/>
  <c r="E504" i="9" s="1"/>
  <c r="G507" i="9" l="1"/>
  <c r="J153" i="8"/>
  <c r="J151" i="8"/>
  <c r="J145" i="8"/>
  <c r="N115" i="8" l="1"/>
  <c r="P115" i="8" s="1"/>
  <c r="R115" i="8" s="1"/>
  <c r="O51" i="12" l="1"/>
  <c r="Q50" i="12"/>
  <c r="P50" i="12"/>
  <c r="M50" i="12"/>
  <c r="S50" i="12" s="1"/>
  <c r="Q49" i="12"/>
  <c r="P49" i="12"/>
  <c r="M49" i="12"/>
  <c r="R49" i="12" s="1"/>
  <c r="Q48" i="12"/>
  <c r="P48" i="12"/>
  <c r="M48" i="12"/>
  <c r="R48" i="12" s="1"/>
  <c r="Q47" i="12"/>
  <c r="P47" i="12"/>
  <c r="M47" i="12"/>
  <c r="R47" i="12" s="1"/>
  <c r="Q46" i="12"/>
  <c r="P46" i="12"/>
  <c r="M46" i="12"/>
  <c r="R46" i="12" s="1"/>
  <c r="Q45" i="12"/>
  <c r="P45" i="12"/>
  <c r="M45" i="12"/>
  <c r="R50" i="12" l="1"/>
  <c r="R45" i="12"/>
  <c r="P51" i="12"/>
  <c r="Q51" i="12"/>
  <c r="S52" i="12" s="1"/>
  <c r="N48" i="12"/>
  <c r="S48" i="12" s="1"/>
  <c r="N46" i="12"/>
  <c r="S46" i="12" s="1"/>
  <c r="N45" i="12"/>
  <c r="N47" i="12"/>
  <c r="S47" i="12" s="1"/>
  <c r="N49" i="12"/>
  <c r="S49" i="12" s="1"/>
  <c r="N50" i="12"/>
  <c r="K39" i="11"/>
  <c r="K15" i="11"/>
  <c r="I15" i="11"/>
  <c r="S45" i="12" l="1"/>
  <c r="S51" i="12" s="1"/>
  <c r="S54" i="12" s="1"/>
  <c r="K143" i="8"/>
  <c r="V114" i="8"/>
  <c r="T111" i="8"/>
  <c r="T110" i="8"/>
  <c r="T109" i="8"/>
  <c r="F486" i="9" l="1"/>
  <c r="F487" i="9"/>
  <c r="F485" i="9"/>
  <c r="F484" i="9"/>
  <c r="K12" i="11" l="1"/>
  <c r="K9" i="11"/>
  <c r="J9" i="11"/>
  <c r="I12" i="11"/>
  <c r="G12" i="11"/>
  <c r="G13" i="11"/>
  <c r="G14" i="11"/>
  <c r="G9" i="11"/>
  <c r="G10" i="11"/>
  <c r="G11" i="11"/>
  <c r="I9" i="11" s="1"/>
  <c r="G15" i="11"/>
  <c r="J143" i="8"/>
  <c r="J141" i="8"/>
  <c r="N109" i="8" l="1"/>
  <c r="P109" i="8" s="1"/>
  <c r="R109" i="8" s="1"/>
  <c r="G489" i="9"/>
  <c r="C489" i="9"/>
  <c r="F483" i="9"/>
  <c r="F489" i="9" s="1"/>
  <c r="E482" i="9"/>
  <c r="E489" i="9" s="1"/>
  <c r="P4" i="11"/>
  <c r="G492" i="9" l="1"/>
  <c r="P8" i="12"/>
  <c r="N8" i="12" l="1"/>
  <c r="R8" i="12"/>
  <c r="S8" i="12" s="1"/>
  <c r="P14" i="12"/>
  <c r="P15" i="12"/>
  <c r="P16" i="12"/>
  <c r="P17" i="12"/>
  <c r="P13" i="12"/>
  <c r="P12" i="12"/>
  <c r="P11" i="12"/>
  <c r="P5" i="12"/>
  <c r="P6" i="12"/>
  <c r="P7" i="12"/>
  <c r="P9" i="12"/>
  <c r="P10" i="12"/>
  <c r="P4" i="12"/>
  <c r="P39" i="12" l="1"/>
  <c r="M40" i="12" s="1"/>
  <c r="R12" i="12"/>
  <c r="S12" i="12" s="1"/>
  <c r="R7" i="12"/>
  <c r="S7" i="12" s="1"/>
  <c r="R5" i="12"/>
  <c r="S5" i="12" s="1"/>
  <c r="N15" i="12"/>
  <c r="R15" i="12"/>
  <c r="S15" i="12" s="1"/>
  <c r="R4" i="12"/>
  <c r="S4" i="12" s="1"/>
  <c r="R11" i="12"/>
  <c r="S11" i="12" s="1"/>
  <c r="R13" i="12"/>
  <c r="S13" i="12" s="1"/>
  <c r="R9" i="12"/>
  <c r="S9" i="12" s="1"/>
  <c r="N6" i="12"/>
  <c r="R6" i="12"/>
  <c r="S6" i="12" s="1"/>
  <c r="R16" i="12"/>
  <c r="S16" i="12" s="1"/>
  <c r="R14" i="12"/>
  <c r="S14" i="12" s="1"/>
  <c r="R17" i="12"/>
  <c r="S17" i="12" s="1"/>
  <c r="R10" i="12"/>
  <c r="S10" i="12" s="1"/>
  <c r="N13" i="12"/>
  <c r="N9" i="12"/>
  <c r="N17" i="12"/>
  <c r="N16" i="12"/>
  <c r="N14" i="12"/>
  <c r="N11" i="12"/>
  <c r="N7" i="12"/>
  <c r="N12" i="12"/>
  <c r="N5" i="12"/>
  <c r="N10" i="12"/>
  <c r="N4" i="12"/>
  <c r="E4" i="12"/>
  <c r="E23" i="12" s="1"/>
  <c r="F26" i="12" s="1"/>
  <c r="S39" i="12" l="1"/>
  <c r="F13" i="12" s="1"/>
  <c r="T4" i="11"/>
  <c r="J5" i="11"/>
  <c r="J6" i="11"/>
  <c r="J7" i="11"/>
  <c r="J8" i="11"/>
  <c r="J4" i="11"/>
  <c r="F23" i="12" l="1"/>
  <c r="F28" i="12" s="1"/>
  <c r="F34" i="12" s="1"/>
  <c r="K139" i="8"/>
  <c r="F467" i="9"/>
  <c r="S39" i="11"/>
  <c r="R39" i="11"/>
  <c r="F39" i="11"/>
  <c r="G37" i="11"/>
  <c r="I37" i="11" s="1"/>
  <c r="G36" i="11"/>
  <c r="I36" i="11" s="1"/>
  <c r="G35" i="11"/>
  <c r="I35" i="11" s="1"/>
  <c r="G34" i="11"/>
  <c r="I34" i="11" s="1"/>
  <c r="G33" i="11"/>
  <c r="I33" i="11" s="1"/>
  <c r="G32" i="11"/>
  <c r="I32" i="11" s="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5" i="11"/>
  <c r="I25" i="11" s="1"/>
  <c r="G24" i="11"/>
  <c r="I24" i="11" s="1"/>
  <c r="G23" i="11"/>
  <c r="G22" i="11"/>
  <c r="G21" i="11"/>
  <c r="I21" i="11" s="1"/>
  <c r="G20" i="11"/>
  <c r="G19" i="11"/>
  <c r="G18" i="11"/>
  <c r="G17" i="11"/>
  <c r="G16" i="11"/>
  <c r="G8" i="11"/>
  <c r="I8" i="11" s="1"/>
  <c r="G7" i="11"/>
  <c r="I7" i="11" s="1"/>
  <c r="G6" i="11"/>
  <c r="I6" i="11" s="1"/>
  <c r="G5" i="11"/>
  <c r="I5" i="11" s="1"/>
  <c r="G4" i="11"/>
  <c r="I4" i="11" s="1"/>
  <c r="M4" i="11" s="1"/>
  <c r="V98" i="8"/>
  <c r="V104" i="8"/>
  <c r="G475" i="9"/>
  <c r="J139" i="8"/>
  <c r="N99" i="8"/>
  <c r="P99" i="8"/>
  <c r="R99" i="8" s="1"/>
  <c r="C475" i="9"/>
  <c r="F466" i="9"/>
  <c r="E465" i="9"/>
  <c r="E475" i="9" s="1"/>
  <c r="F475" i="9" l="1"/>
  <c r="G478" i="9" s="1"/>
  <c r="I39" i="11"/>
  <c r="G39" i="11"/>
  <c r="M39" i="11"/>
  <c r="G443" i="9"/>
  <c r="F443" i="9"/>
  <c r="E436" i="9"/>
  <c r="E443" i="9" s="1"/>
  <c r="V92" i="8"/>
  <c r="M93" i="8"/>
  <c r="P93" i="8"/>
  <c r="R93" i="8" s="1"/>
  <c r="F451" i="9"/>
  <c r="F457" i="9" s="1"/>
  <c r="C457" i="9"/>
  <c r="G457" i="9"/>
  <c r="E450" i="9"/>
  <c r="E457" i="9" s="1"/>
  <c r="N39" i="11" l="1"/>
  <c r="N41" i="11" s="1"/>
  <c r="G446" i="9"/>
  <c r="G460" i="9"/>
  <c r="E432" i="9"/>
  <c r="P39" i="11" l="1"/>
  <c r="P89" i="8"/>
  <c r="R89" i="8" s="1"/>
  <c r="P85" i="8"/>
  <c r="R85" i="8"/>
  <c r="M89" i="8"/>
  <c r="G425" i="9"/>
  <c r="F425" i="9"/>
  <c r="E418" i="9"/>
  <c r="E425" i="9" s="1"/>
  <c r="J39" i="11" l="1"/>
  <c r="G428" i="9"/>
  <c r="C523" i="5"/>
  <c r="V88" i="8" l="1"/>
  <c r="F404" i="9"/>
  <c r="F405" i="9"/>
  <c r="M85" i="8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R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7" i="9" l="1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N81" i="8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S330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R370" i="9" l="1"/>
  <c r="N370" i="9"/>
  <c r="R366" i="9"/>
  <c r="S366" i="9" s="1"/>
  <c r="N366" i="9"/>
  <c r="R362" i="9"/>
  <c r="N362" i="9"/>
  <c r="R358" i="9"/>
  <c r="S358" i="9" s="1"/>
  <c r="N358" i="9"/>
  <c r="R387" i="9"/>
  <c r="N387" i="9"/>
  <c r="R383" i="9"/>
  <c r="S383" i="9" s="1"/>
  <c r="N383" i="9"/>
  <c r="R379" i="9"/>
  <c r="N379" i="9"/>
  <c r="R375" i="9"/>
  <c r="S375" i="9" s="1"/>
  <c r="N375" i="9"/>
  <c r="R373" i="9"/>
  <c r="N373" i="9"/>
  <c r="R395" i="9"/>
  <c r="N395" i="9"/>
  <c r="S391" i="9"/>
  <c r="R391" i="9"/>
  <c r="N391" i="9"/>
  <c r="S389" i="9"/>
  <c r="R389" i="9"/>
  <c r="N389" i="9"/>
  <c r="R352" i="9"/>
  <c r="S352" i="9" s="1"/>
  <c r="N352" i="9"/>
  <c r="R354" i="9"/>
  <c r="N354" i="9"/>
  <c r="R371" i="9"/>
  <c r="N371" i="9"/>
  <c r="R367" i="9"/>
  <c r="N367" i="9"/>
  <c r="R363" i="9"/>
  <c r="S363" i="9" s="1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S360" i="9" s="1"/>
  <c r="N360" i="9"/>
  <c r="N356" i="9"/>
  <c r="R356" i="9"/>
  <c r="R385" i="9"/>
  <c r="S385" i="9" s="1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79" i="9" l="1"/>
  <c r="S387" i="9"/>
  <c r="S362" i="9"/>
  <c r="S370" i="9"/>
  <c r="S355" i="9"/>
  <c r="S374" i="9"/>
  <c r="S369" i="9"/>
  <c r="S381" i="9"/>
  <c r="S364" i="9"/>
  <c r="S367" i="9"/>
  <c r="P397" i="9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M398" i="9"/>
  <c r="S290" i="9"/>
  <c r="S344" i="9"/>
  <c r="N344" i="9"/>
  <c r="G142" i="8"/>
  <c r="I142" i="8" s="1"/>
  <c r="G141" i="8"/>
  <c r="I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I127" i="8"/>
  <c r="G127" i="8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50" i="8"/>
  <c r="I150" i="8" s="1"/>
  <c r="G149" i="8"/>
  <c r="I149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/>
  <c r="G168" i="8"/>
  <c r="I168" i="8" s="1"/>
  <c r="G169" i="8"/>
  <c r="I169" i="8"/>
  <c r="G170" i="8"/>
  <c r="I170" i="8" s="1"/>
  <c r="G171" i="8"/>
  <c r="I171" i="8" s="1"/>
  <c r="G172" i="8"/>
  <c r="I172" i="8" s="1"/>
  <c r="G173" i="8"/>
  <c r="I173" i="8"/>
  <c r="G174" i="8"/>
  <c r="I174" i="8" s="1"/>
  <c r="P81" i="8"/>
  <c r="R81" i="8" s="1"/>
  <c r="P75" i="8"/>
  <c r="R75" i="8" s="1"/>
  <c r="S397" i="9" l="1"/>
  <c r="F356" i="9" s="1"/>
  <c r="K121" i="8" s="1"/>
  <c r="J127" i="8"/>
  <c r="J133" i="8"/>
  <c r="G299" i="9"/>
  <c r="E288" i="9"/>
  <c r="E299" i="9" s="1"/>
  <c r="F362" i="9" l="1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V84" i="8" s="1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J109" i="8"/>
  <c r="J121" i="8"/>
  <c r="J105" i="8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J89" i="8"/>
  <c r="J75" i="8"/>
  <c r="M75" i="8" s="1"/>
  <c r="G110" i="9"/>
  <c r="J81" i="8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I4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176" i="8"/>
  <c r="T176" i="8"/>
  <c r="Q176" i="8"/>
  <c r="F176" i="8"/>
  <c r="M176" i="8"/>
  <c r="F501" i="5"/>
  <c r="F502" i="5"/>
  <c r="F503" i="5"/>
  <c r="F498" i="5"/>
  <c r="F506" i="5" s="1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L222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N218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I26" i="1" l="1"/>
  <c r="K26" i="1" s="1"/>
  <c r="O103" i="1"/>
  <c r="E15" i="2"/>
  <c r="N307" i="5"/>
  <c r="K176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222" i="5"/>
  <c r="E218" i="5" s="1"/>
  <c r="E222" i="5" s="1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224" i="5"/>
  <c r="I229" i="5"/>
  <c r="I236" i="5" s="1"/>
  <c r="E53" i="5"/>
  <c r="E80" i="5"/>
  <c r="K86" i="1"/>
  <c r="K103" i="1" s="1"/>
  <c r="I103" i="1"/>
  <c r="E260" i="5"/>
  <c r="I264" i="5"/>
  <c r="I272" i="5" s="1"/>
  <c r="I186" i="5"/>
  <c r="I5" i="10"/>
  <c r="N4" i="8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H28" i="10" l="1"/>
  <c r="I192" i="5"/>
  <c r="I199" i="5" s="1"/>
  <c r="E175" i="5"/>
  <c r="N387" i="5"/>
  <c r="I404" i="5" s="1"/>
  <c r="I408" i="5" s="1"/>
  <c r="E75" i="5"/>
  <c r="E81" i="5"/>
  <c r="N176" i="8"/>
  <c r="E31" i="2"/>
  <c r="E33" i="2" s="1"/>
  <c r="J176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N178" i="8" l="1"/>
  <c r="E147" i="9"/>
  <c r="E156" i="9" s="1"/>
  <c r="G159" i="9" s="1"/>
  <c r="E30" i="5"/>
  <c r="E79" i="5"/>
  <c r="E83" i="5" s="1"/>
  <c r="I84" i="5" s="1"/>
  <c r="F88" i="5" s="1"/>
  <c r="F90" i="5" s="1"/>
  <c r="G79" i="9"/>
  <c r="P176" i="8"/>
  <c r="R4" i="8"/>
  <c r="I88" i="5" l="1"/>
  <c r="I90" i="5" s="1"/>
  <c r="R176" i="8"/>
  <c r="K178" i="8" s="1"/>
  <c r="V9" i="8"/>
</calcChain>
</file>

<file path=xl/sharedStrings.xml><?xml version="1.0" encoding="utf-8"?>
<sst xmlns="http://schemas.openxmlformats.org/spreadsheetml/2006/main" count="3037" uniqueCount="995">
  <si>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</si>
  <si>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</si>
  <si>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</si>
  <si>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</si>
  <si>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</si>
  <si>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</si>
  <si>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</si>
  <si>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</si>
  <si>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</si>
  <si>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</si>
  <si>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</si>
  <si>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</si>
  <si>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</si>
  <si>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</si>
  <si>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</si>
  <si>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</si>
  <si>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</si>
  <si>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</si>
  <si>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</si>
  <si>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</si>
  <si>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</si>
  <si>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</si>
  <si>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</si>
  <si>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</si>
  <si>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</si>
  <si>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</si>
  <si>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</si>
  <si>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</si>
  <si>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</si>
  <si>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</si>
  <si>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</si>
  <si>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</si>
  <si>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</si>
  <si>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</si>
  <si>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</si>
  <si>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</si>
  <si>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</si>
  <si>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</si>
  <si>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</si>
  <si>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</si>
  <si>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</si>
  <si>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</si>
  <si>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</si>
  <si>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</si>
  <si>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</si>
  <si>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</si>
  <si>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</si>
  <si>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</si>
  <si>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</si>
  <si>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</si>
  <si>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</si>
  <si>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</si>
  <si>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</si>
  <si>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</si>
  <si>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</si>
  <si>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</si>
  <si>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</si>
  <si>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</si>
  <si>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</si>
  <si>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</si>
  <si>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</si>
  <si>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</si>
  <si>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</si>
  <si>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</si>
  <si>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</si>
  <si>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</si>
  <si>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</si>
  <si>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</si>
  <si>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</si>
  <si>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</si>
  <si>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</si>
  <si>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</si>
  <si>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</si>
  <si>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</si>
  <si>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</si>
  <si>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</si>
  <si>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</si>
  <si>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</si>
  <si>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</si>
  <si>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</si>
  <si>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</si>
  <si>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</si>
  <si>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</si>
  <si>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</si>
  <si>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</si>
  <si>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</si>
  <si>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</si>
  <si>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</si>
  <si>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</si>
  <si>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</si>
  <si>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</si>
  <si>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</si>
  <si>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</si>
  <si>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</si>
  <si>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</si>
  <si>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</si>
  <si>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</si>
  <si>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</si>
  <si>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</si>
  <si>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</si>
  <si>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</si>
  <si>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</si>
  <si>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</si>
  <si>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</si>
  <si>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</si>
  <si>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</si>
  <si>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</si>
  <si>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</si>
  <si>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</si>
  <si>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</si>
  <si>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</si>
  <si>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</si>
  <si>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</si>
  <si>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</si>
  <si>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</si>
  <si>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</si>
  <si>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</si>
  <si>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</si>
  <si>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</si>
  <si>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</si>
  <si>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</si>
  <si>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</si>
  <si>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</si>
  <si>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</si>
  <si>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</si>
  <si>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</si>
  <si>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</si>
  <si>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</si>
  <si>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</si>
  <si>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</si>
  <si>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</si>
  <si>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</si>
  <si>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</si>
  <si>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</si>
  <si>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</si>
  <si>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</si>
  <si>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</si>
  <si>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</si>
  <si>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</si>
  <si>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</si>
  <si>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</si>
  <si>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</si>
  <si>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</si>
  <si>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</si>
  <si>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</si>
  <si>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</si>
  <si>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</si>
  <si>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</si>
  <si>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</si>
  <si>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</si>
  <si>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</si>
  <si>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</si>
  <si>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</si>
  <si>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</si>
  <si>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</si>
  <si>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</si>
  <si>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</si>
  <si>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</si>
  <si>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</si>
  <si>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</si>
  <si>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</si>
  <si>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</si>
  <si>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</si>
  <si>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</si>
  <si>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</si>
  <si>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</si>
  <si>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</si>
  <si>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</si>
  <si>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</si>
  <si>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</si>
  <si>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</si>
  <si>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</si>
  <si>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</si>
  <si>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</si>
  <si>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</si>
  <si>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</si>
  <si>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</si>
  <si>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</si>
  <si>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</si>
  <si>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</si>
  <si>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</si>
  <si>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</si>
  <si>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</si>
  <si>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</si>
  <si>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</si>
  <si>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</si>
  <si>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</si>
  <si>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</si>
  <si>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</si>
  <si>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</si>
  <si>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</si>
  <si>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</si>
  <si>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</si>
  <si>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</si>
  <si>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</si>
  <si>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</si>
  <si>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</si>
  <si>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</si>
  <si>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</si>
  <si>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</si>
  <si>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</si>
  <si>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</si>
  <si>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</si>
  <si>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</si>
  <si>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</si>
  <si>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</si>
  <si>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</si>
  <si>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</si>
  <si>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</si>
  <si>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</si>
  <si>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</si>
  <si>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</si>
  <si>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</si>
  <si>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</si>
  <si>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</si>
  <si>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</si>
  <si>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</si>
  <si>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</si>
  <si>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</si>
  <si>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</si>
  <si>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</si>
  <si>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</si>
  <si>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</si>
  <si>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</si>
  <si>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</si>
  <si>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</si>
  <si>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</si>
  <si>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</si>
  <si>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</si>
  <si>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</si>
  <si>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</si>
  <si>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</si>
  <si>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</si>
  <si>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</si>
  <si>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</si>
  <si>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</si>
  <si>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</si>
  <si>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</si>
  <si>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</si>
  <si>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</si>
  <si>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</si>
  <si>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</si>
  <si>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</si>
  <si>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</si>
  <si>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</si>
  <si>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</si>
  <si>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</si>
  <si>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</si>
  <si>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</si>
  <si>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</si>
  <si>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</si>
  <si>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</si>
  <si>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</si>
  <si>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</si>
  <si>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</si>
  <si>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</si>
  <si>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</si>
  <si>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</si>
  <si>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</si>
  <si>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</si>
  <si>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</si>
  <si>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</si>
  <si>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</si>
  <si>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</si>
  <si>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</si>
  <si>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</si>
  <si>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</si>
  <si>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</si>
  <si>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</si>
  <si>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</si>
  <si>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</si>
  <si>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</si>
  <si>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</si>
  <si>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</si>
  <si>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</si>
  <si>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</si>
  <si>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</si>
  <si>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</si>
  <si>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</si>
  <si>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</si>
  <si>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</si>
  <si>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</si>
  <si>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</si>
  <si>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</si>
  <si>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</si>
  <si>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</si>
  <si>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</si>
  <si>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</si>
  <si>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</si>
  <si>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</si>
  <si>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</si>
  <si>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</si>
  <si>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</si>
  <si>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</si>
  <si>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</si>
  <si>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</si>
  <si>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</si>
  <si>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</si>
  <si>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</si>
  <si>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</si>
  <si>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</si>
  <si>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</si>
  <si>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</si>
  <si>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</si>
  <si>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</si>
  <si>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</si>
  <si>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</si>
  <si>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</si>
  <si>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</si>
  <si>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</si>
  <si>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</si>
  <si>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</si>
  <si>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</si>
  <si>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</si>
  <si>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</si>
  <si>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</si>
  <si>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</si>
  <si>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</si>
  <si>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</si>
  <si>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</si>
  <si>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</si>
  <si>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</si>
  <si>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</si>
  <si>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</si>
  <si>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</si>
  <si>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</si>
  <si>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</si>
  <si>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</si>
  <si>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</si>
  <si>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</si>
  <si>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</si>
  <si>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</si>
  <si>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</si>
  <si>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</si>
  <si>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</si>
  <si>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</si>
  <si>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</si>
  <si>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</si>
  <si>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</si>
  <si>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</si>
  <si>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</si>
  <si>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</si>
  <si>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</si>
  <si>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</si>
  <si>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</si>
  <si>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</si>
  <si>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</si>
  <si>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</si>
  <si>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</si>
  <si>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</si>
  <si>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</si>
  <si>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</si>
  <si>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</si>
  <si>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</si>
  <si>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</si>
  <si>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</si>
  <si>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</si>
  <si>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</si>
  <si>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</si>
  <si>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</si>
  <si>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</si>
  <si>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</si>
  <si>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</si>
  <si>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</si>
  <si>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</si>
  <si>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</si>
  <si>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</si>
  <si>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</si>
  <si>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</si>
  <si>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</si>
  <si>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</si>
  <si>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</si>
  <si>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</si>
  <si>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</si>
  <si>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</si>
  <si>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</si>
  <si>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</si>
  <si>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</si>
  <si>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</si>
  <si>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</si>
  <si>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</si>
  <si>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</si>
  <si>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</si>
  <si>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</si>
  <si>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</si>
  <si>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</si>
  <si>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</si>
  <si>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</si>
  <si>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</si>
  <si>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</si>
  <si>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</si>
  <si>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</si>
  <si>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</si>
  <si>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</si>
  <si>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</si>
  <si>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</si>
  <si>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</si>
  <si>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</si>
  <si>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</si>
  <si>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</si>
  <si>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</si>
  <si>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</si>
  <si>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</si>
  <si>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</si>
  <si>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</si>
  <si>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</si>
  <si>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</si>
  <si>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</si>
  <si>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</si>
  <si>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</si>
  <si>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</si>
  <si>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</si>
  <si>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</si>
  <si>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</si>
  <si>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</si>
  <si>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</si>
  <si>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</si>
  <si>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</si>
  <si>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</si>
  <si>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</si>
  <si>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</si>
  <si>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</si>
  <si>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</si>
  <si>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</si>
  <si>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</si>
  <si>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</si>
  <si>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</si>
  <si>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</si>
  <si>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</si>
  <si>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</si>
  <si>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</si>
  <si>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</si>
  <si>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</si>
  <si>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</si>
  <si>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</si>
  <si>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</si>
  <si>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</si>
  <si>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</si>
  <si>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</si>
  <si>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</si>
  <si>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</si>
  <si>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</si>
  <si>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</si>
  <si>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</si>
  <si>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</si>
  <si>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</si>
  <si>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</si>
  <si>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</si>
  <si>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</si>
  <si>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</si>
  <si>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</si>
  <si>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</si>
  <si>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</si>
  <si>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</si>
  <si>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</si>
  <si>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</si>
  <si>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</si>
  <si>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</si>
  <si>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</si>
  <si>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</si>
  <si>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</si>
  <si>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</si>
  <si>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</si>
  <si>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</si>
  <si>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</si>
  <si>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</si>
  <si>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</si>
  <si>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</si>
  <si>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</si>
  <si>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</si>
  <si>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</si>
  <si>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</si>
  <si>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</si>
  <si>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</si>
  <si>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</si>
  <si>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</si>
  <si>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</si>
  <si>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</si>
  <si>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</si>
  <si>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</si>
  <si>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</si>
  <si>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</si>
  <si>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</si>
  <si>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</si>
  <si>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</si>
  <si>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</si>
  <si>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</si>
  <si>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</si>
  <si>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</si>
  <si>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</si>
  <si>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</si>
  <si>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</si>
  <si>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</si>
  <si>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</si>
  <si>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</si>
  <si>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</si>
  <si>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</si>
  <si>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</si>
  <si>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</si>
  <si>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</si>
  <si>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</si>
  <si>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</si>
  <si>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</si>
  <si>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</si>
  <si>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</si>
  <si>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</si>
  <si>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</si>
  <si>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</si>
  <si>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</si>
  <si>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</si>
  <si>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</si>
  <si>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</si>
  <si>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</si>
  <si>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</si>
  <si>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</si>
  <si>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</si>
  <si>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</si>
  <si>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</si>
  <si>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</si>
  <si>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</si>
  <si>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</si>
  <si>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</si>
  <si>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</si>
  <si>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</si>
  <si>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</si>
  <si>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</si>
  <si>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</si>
  <si>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</si>
  <si>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</si>
  <si>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</si>
  <si>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</si>
  <si>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</si>
  <si>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</si>
  <si>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</si>
  <si>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</si>
  <si>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</si>
  <si>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</si>
  <si>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</si>
  <si>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</si>
  <si>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</si>
  <si>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</si>
  <si>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</si>
  <si>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</si>
  <si>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</si>
  <si>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</si>
  <si>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</si>
  <si>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</si>
  <si>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</si>
  <si>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</si>
  <si>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</si>
  <si>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</si>
  <si>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</si>
  <si>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</si>
  <si>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</si>
  <si>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</si>
  <si>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</si>
  <si>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</si>
  <si>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</si>
  <si>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</si>
  <si>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</si>
  <si>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</si>
  <si>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</si>
  <si>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</si>
  <si>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</si>
  <si>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</si>
  <si>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</si>
  <si>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</si>
  <si>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</si>
  <si>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</si>
  <si>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</si>
  <si>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</si>
  <si>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</si>
  <si>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</si>
  <si>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</si>
  <si>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</si>
  <si>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</si>
  <si>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</si>
  <si>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</si>
  <si>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</si>
  <si>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</si>
  <si>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</si>
  <si>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</si>
  <si>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</si>
  <si>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</si>
  <si>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</si>
  <si>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</si>
  <si>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</si>
  <si>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</si>
  <si>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</si>
  <si>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</si>
  <si>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</si>
  <si>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</si>
  <si>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</si>
  <si>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</si>
  <si>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</si>
  <si>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</si>
  <si>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</si>
  <si>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</si>
  <si>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</si>
  <si>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</si>
  <si>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</si>
  <si>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</si>
  <si>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</si>
  <si>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</si>
  <si>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</si>
  <si>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</si>
  <si>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</si>
  <si>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</si>
  <si>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</si>
  <si>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</si>
  <si>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</si>
  <si>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</si>
  <si>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</si>
  <si>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</si>
  <si>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</si>
  <si>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</si>
  <si>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</si>
  <si>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</si>
  <si>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</si>
  <si>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</si>
  <si>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</si>
  <si>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</si>
  <si>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</si>
  <si>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</si>
  <si>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</si>
  <si>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</si>
  <si>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</si>
  <si>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</si>
  <si>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</si>
  <si>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</si>
  <si>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</si>
  <si>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</si>
  <si>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</si>
  <si>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</si>
  <si>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</si>
  <si>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</si>
  <si>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</si>
  <si>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</si>
  <si>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</si>
  <si>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</si>
  <si>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</si>
  <si>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</si>
  <si>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</si>
  <si>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</si>
  <si>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</si>
  <si>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</si>
  <si>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</si>
  <si>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</si>
  <si>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</si>
  <si>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</si>
  <si>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</si>
  <si>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</si>
  <si>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</si>
  <si>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</si>
  <si>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</si>
  <si>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</si>
  <si>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</si>
  <si>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</si>
  <si>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</si>
  <si>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</si>
  <si>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</si>
  <si>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</si>
  <si>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</si>
  <si>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</si>
  <si>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</si>
  <si>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</si>
  <si>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</si>
  <si>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</si>
  <si>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</si>
  <si>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</si>
  <si>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</si>
  <si>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</si>
  <si>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</si>
  <si>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</si>
  <si>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</si>
  <si>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</si>
  <si>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</si>
  <si>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</si>
  <si>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</si>
  <si>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</si>
  <si>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</si>
  <si>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</si>
  <si>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</si>
  <si>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</si>
  <si>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</si>
  <si>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</si>
  <si>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</si>
  <si>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</si>
  <si>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</si>
  <si>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</si>
  <si>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</si>
  <si>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</si>
  <si>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</si>
  <si>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</si>
  <si>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</si>
  <si>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</si>
  <si>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</si>
  <si>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</si>
  <si>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</si>
  <si>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</si>
  <si>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</si>
  <si>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</si>
  <si>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</si>
  <si>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</si>
  <si>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</si>
  <si>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</si>
  <si>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</si>
  <si>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</si>
  <si>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</si>
  <si>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</si>
  <si>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</si>
  <si>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</si>
  <si>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</si>
  <si>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</si>
  <si>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</si>
  <si>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</si>
  <si>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</si>
  <si>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</si>
  <si>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</si>
  <si>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</si>
  <si>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</si>
  <si>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</si>
  <si>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</si>
  <si>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</si>
  <si>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</si>
  <si>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</si>
  <si>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</si>
  <si>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</si>
  <si>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</si>
  <si>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</si>
  <si>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</si>
  <si>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</si>
  <si>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</si>
  <si>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</si>
  <si>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</si>
  <si>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</si>
  <si>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</si>
  <si>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</si>
  <si>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</si>
  <si>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</si>
  <si>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</si>
  <si>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</si>
  <si>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</si>
  <si>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</si>
  <si>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</si>
  <si>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</si>
  <si>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</si>
  <si>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</si>
  <si>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</si>
  <si>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</si>
  <si>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</si>
  <si>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</si>
  <si>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</si>
  <si>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</si>
  <si>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</si>
  <si>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</si>
  <si>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</si>
  <si>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</si>
  <si>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</si>
  <si>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</si>
  <si>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</si>
  <si>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</si>
  <si>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</si>
  <si>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</si>
  <si>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</si>
  <si>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</si>
  <si>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</si>
  <si>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</si>
  <si>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</si>
  <si>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</si>
  <si>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</si>
  <si>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</si>
  <si>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</si>
  <si>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</si>
  <si>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</si>
  <si>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</si>
  <si>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</si>
  <si>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</si>
  <si>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</si>
  <si>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</si>
  <si>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</si>
  <si>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</si>
  <si>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</si>
  <si>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</si>
  <si>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</si>
  <si>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</si>
  <si>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</si>
  <si>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</si>
  <si>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</si>
  <si>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</si>
  <si>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</si>
  <si>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</si>
  <si>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</si>
  <si>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</si>
  <si>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</si>
  <si>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</si>
  <si>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</si>
  <si>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</si>
  <si>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</si>
  <si>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</si>
  <si>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</si>
  <si>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</si>
  <si>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</si>
  <si>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</si>
  <si>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</si>
  <si>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</si>
  <si>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</si>
  <si>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</si>
  <si>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</si>
  <si>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</si>
  <si>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</si>
  <si>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</si>
  <si>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</si>
  <si>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</si>
  <si>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</si>
  <si>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</si>
  <si>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</si>
  <si>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</si>
  <si>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</si>
  <si>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</si>
  <si>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</si>
  <si>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</si>
  <si>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</si>
  <si>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</si>
  <si>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</si>
  <si>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</si>
  <si>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</si>
  <si>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</si>
  <si>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</si>
  <si>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</si>
  <si>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</si>
  <si>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</si>
  <si>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</si>
  <si>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</si>
  <si>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</si>
  <si>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</si>
  <si>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</si>
  <si>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</si>
  <si>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</si>
  <si>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</si>
  <si>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</si>
  <si>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</si>
  <si>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</si>
  <si>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</si>
  <si>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</si>
  <si>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</si>
  <si>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</si>
  <si>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</si>
  <si>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</si>
  <si>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</si>
  <si>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</si>
  <si>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</si>
  <si>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</si>
  <si>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</si>
  <si>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</si>
  <si>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</si>
  <si>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</si>
  <si>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</si>
  <si>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</si>
  <si>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</si>
  <si>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</si>
  <si>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</si>
  <si>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</si>
  <si>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</si>
  <si>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</si>
  <si>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</si>
  <si>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</si>
  <si>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</si>
  <si>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</si>
  <si>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</si>
  <si>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</si>
  <si>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</si>
  <si>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</si>
  <si>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</si>
  <si>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</si>
  <si>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</si>
  <si>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</si>
  <si>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</si>
  <si>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</si>
  <si>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</si>
  <si>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</si>
  <si>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</si>
  <si>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</si>
  <si>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</si>
  <si>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</si>
  <si>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</si>
  <si>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</si>
  <si>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</si>
  <si>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</si>
  <si>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</si>
  <si>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</si>
  <si>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</si>
  <si>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</si>
  <si>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</si>
  <si>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</si>
  <si>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</si>
  <si>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</si>
  <si>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</si>
  <si>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</si>
  <si>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</si>
  <si>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</si>
  <si>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</si>
  <si>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</si>
  <si>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</si>
  <si>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</si>
  <si>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</si>
  <si>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</si>
  <si>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</si>
  <si>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</si>
  <si>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</si>
  <si>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</si>
  <si>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</si>
  <si>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</si>
  <si>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</si>
  <si>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</si>
  <si>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</si>
  <si>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</si>
  <si>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</si>
  <si>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</si>
  <si>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</si>
  <si>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</si>
  <si>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</si>
  <si>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01-12/09/2017</t>
  </si>
  <si>
    <t>01-18/09/2017</t>
  </si>
  <si>
    <t>01-22/09/2017</t>
  </si>
  <si>
    <t>01-28/09/2017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</si>
  <si>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</si>
  <si>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</si>
  <si>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</si>
  <si>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</si>
  <si>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</si>
  <si>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</si>
  <si>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</si>
  <si>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</si>
  <si>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</si>
  <si>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</si>
  <si>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</si>
  <si>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</si>
  <si>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</si>
  <si>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</si>
  <si>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</si>
  <si>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</si>
  <si>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</si>
  <si>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</si>
  <si>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</si>
  <si>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</si>
  <si>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</si>
  <si>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</si>
  <si>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</si>
  <si>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</si>
  <si>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</si>
  <si>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</si>
  <si>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</si>
  <si>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</si>
  <si>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</si>
  <si>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</si>
  <si>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</si>
  <si>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</si>
  <si>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</si>
  <si>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</si>
  <si>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</si>
  <si>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</si>
  <si>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</si>
  <si>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</si>
  <si>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</si>
  <si>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</si>
  <si>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</si>
  <si>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</si>
  <si>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</si>
  <si>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</si>
  <si>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</si>
  <si>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</si>
  <si>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</si>
  <si>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</si>
  <si>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</si>
  <si>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</si>
  <si>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</si>
  <si>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</si>
  <si>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</si>
  <si>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</si>
  <si>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</si>
  <si>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DV Giao Nhận AAAS</t>
  </si>
  <si>
    <t>Cty TNHH TM Thuỷ Giang Sơn</t>
  </si>
  <si>
    <t>Cty TNHH TM DV SX Bao Bì Giấy Tân Minh Thư</t>
  </si>
  <si>
    <t>Cty TNHH SX TM Nghị Hòa</t>
  </si>
  <si>
    <t>Cty TNHH Hóa Chất Thành Phương</t>
  </si>
  <si>
    <t>Cty TNHH Giao Nhận Vận Chuyển Ánh Dương</t>
  </si>
  <si>
    <t>Cty TNHH TM Dịch Vụ Hải Trung Anh</t>
  </si>
  <si>
    <t>Tiền hóa đơn thùng</t>
  </si>
  <si>
    <t>Nga Minh Song</t>
  </si>
  <si>
    <t>Tiên KG</t>
  </si>
  <si>
    <t>Nhưt CM</t>
  </si>
  <si>
    <t>SỐ TIỀN CHUYỀN</t>
  </si>
  <si>
    <t>CÔNG NỢ</t>
  </si>
  <si>
    <t xml:space="preserve">BHXH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</si>
</sst>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  <xf numFmtId="0" fontId="6" fillId="0" borderId="0"/>
  </cellStyleXfs>
  <cellXfs count="725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5" borderId="2" xfId="0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wrapText="1"/>
    </xf>
    <xf numFmtId="164" fontId="28" fillId="5" borderId="2" xfId="1" applyNumberFormat="1" applyFont="1" applyFill="1" applyBorder="1" applyAlignment="1">
      <alignment horizontal="center" vertical="center"/>
    </xf>
    <xf numFmtId="43" fontId="28" fillId="5" borderId="3" xfId="1" applyFont="1" applyFill="1" applyBorder="1" applyAlignment="1">
      <alignment horizontal="center" vertical="center"/>
    </xf>
    <xf numFmtId="43" fontId="28" fillId="5" borderId="2" xfId="1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vertical="center"/>
    </xf>
    <xf numFmtId="43" fontId="28" fillId="5" borderId="3" xfId="1" applyFont="1" applyFill="1" applyBorder="1" applyAlignment="1">
      <alignment vertical="center"/>
    </xf>
    <xf numFmtId="164" fontId="28" fillId="5" borderId="3" xfId="1" applyNumberFormat="1" applyFont="1" applyFill="1" applyBorder="1" applyAlignment="1">
      <alignment vertical="center"/>
    </xf>
    <xf numFmtId="164" fontId="28" fillId="5" borderId="3" xfId="1" applyNumberFormat="1" applyFont="1" applyFill="1" applyBorder="1" applyAlignment="1">
      <alignment horizontal="center" vertical="center"/>
    </xf>
    <xf numFmtId="0" fontId="28" fillId="5" borderId="0" xfId="0" applyFont="1" applyFill="1" applyAlignment="1">
      <alignment horizontal="center" vertical="center"/>
    </xf>
    <xf numFmtId="0" fontId="28" fillId="5" borderId="2" xfId="0" applyFont="1" applyFill="1" applyBorder="1" applyAlignment="1">
      <alignment wrapText="1"/>
    </xf>
    <xf numFmtId="0" fontId="28" fillId="5" borderId="4" xfId="0" applyFont="1" applyFill="1" applyBorder="1" applyAlignment="1">
      <alignment wrapText="1"/>
    </xf>
    <xf numFmtId="0" fontId="28" fillId="5" borderId="4" xfId="0" applyFont="1" applyFill="1" applyBorder="1" applyAlignment="1">
      <alignment horizontal="center" vertical="center"/>
    </xf>
    <xf numFmtId="0" fontId="28" fillId="5" borderId="3" xfId="22" applyFont="1" applyFill="1" applyBorder="1" applyAlignment="1">
      <alignment vertical="center"/>
    </xf>
    <xf numFmtId="164" fontId="28" fillId="5" borderId="15" xfId="4" applyNumberFormat="1" applyFont="1" applyFill="1" applyBorder="1" applyAlignment="1">
      <alignment horizontal="center" vertical="center"/>
    </xf>
    <xf numFmtId="164" fontId="28" fillId="5" borderId="3" xfId="4" applyNumberFormat="1" applyFont="1" applyFill="1" applyBorder="1" applyAlignment="1">
      <alignment vertical="center"/>
    </xf>
    <xf numFmtId="0" fontId="28" fillId="5" borderId="5" xfId="0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3" fontId="23" fillId="0" borderId="3" xfId="17" applyFont="1" applyBorder="1" applyAlignment="1">
      <alignment vertical="center"/>
    </xf>
    <xf numFmtId="49" fontId="23" fillId="0" borderId="3" xfId="39" applyNumberFormat="1" applyFont="1" applyFill="1" applyBorder="1" applyAlignment="1">
      <alignment horizontal="left" vertical="center" wrapText="1"/>
    </xf>
    <xf numFmtId="49" fontId="23" fillId="0" borderId="3" xfId="40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0" xfId="0" applyNumberFormat="1" applyFont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43" fontId="28" fillId="5" borderId="5" xfId="1" applyFont="1" applyFill="1" applyBorder="1" applyAlignment="1">
      <alignment horizontal="center" vertical="center"/>
    </xf>
    <xf numFmtId="43" fontId="28" fillId="5" borderId="4" xfId="1" applyFont="1" applyFill="1" applyBorder="1" applyAlignment="1">
      <alignment horizontal="center" vertical="center"/>
    </xf>
    <xf numFmtId="43" fontId="28" fillId="5" borderId="2" xfId="1" applyFont="1" applyFill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14" xfId="22" applyNumberFormat="1" applyFont="1" applyBorder="1" applyAlignment="1">
      <alignment horizontal="center" vertical="center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</cellXfs>
  <cellStyles count="41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Normal_ketoanthucte_NhatKySoCai 2 2" xfId="40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70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630" t="s">
        <v>428</v>
      </c>
      <c r="B17" s="630" t="s">
        <v>434</v>
      </c>
      <c r="C17" s="631" t="s">
        <v>2</v>
      </c>
      <c r="D17" s="631"/>
      <c r="E17" s="631"/>
      <c r="F17" s="631" t="s">
        <v>435</v>
      </c>
      <c r="G17" s="631"/>
      <c r="H17" s="631"/>
      <c r="I17" s="631"/>
      <c r="J17" s="630" t="s">
        <v>439</v>
      </c>
      <c r="K17" s="631"/>
      <c r="L17" s="631"/>
      <c r="M17" s="631"/>
      <c r="N17" s="631"/>
      <c r="O17" s="631"/>
      <c r="P17" s="631"/>
      <c r="Q17" s="630" t="s">
        <v>444</v>
      </c>
      <c r="R17" s="630"/>
      <c r="S17" s="630"/>
      <c r="T17" s="630" t="s">
        <v>449</v>
      </c>
      <c r="U17" s="630" t="s">
        <v>448</v>
      </c>
    </row>
    <row r="18" spans="1:21" s="279" customFormat="1" ht="48.75" customHeight="1">
      <c r="A18" s="630"/>
      <c r="B18" s="630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630"/>
      <c r="U18" s="630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632">
        <f>H19+H20</f>
        <v>148200</v>
      </c>
      <c r="J19" s="634">
        <v>42627</v>
      </c>
      <c r="K19" s="632">
        <f>I19-L19</f>
        <v>12</v>
      </c>
      <c r="L19" s="632">
        <v>148188</v>
      </c>
      <c r="M19" s="626">
        <v>22260</v>
      </c>
      <c r="N19" s="626">
        <f>L19*M19</f>
        <v>3298664880</v>
      </c>
      <c r="O19" s="626">
        <f>2780756/2</f>
        <v>1390378</v>
      </c>
      <c r="P19" s="626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626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632"/>
      <c r="J20" s="634"/>
      <c r="K20" s="632"/>
      <c r="L20" s="632"/>
      <c r="M20" s="626"/>
      <c r="N20" s="626"/>
      <c r="O20" s="626"/>
      <c r="P20" s="626"/>
      <c r="Q20" s="253" t="s">
        <v>55</v>
      </c>
      <c r="R20" s="242">
        <f t="shared" ref="R20:R21" si="1">S20*0.03%</f>
        <v>426587.39999999997</v>
      </c>
      <c r="S20" s="242">
        <v>1421958000</v>
      </c>
      <c r="T20" s="626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633"/>
      <c r="J21" s="635"/>
      <c r="K21" s="633"/>
      <c r="L21" s="633"/>
      <c r="M21" s="628"/>
      <c r="N21" s="628"/>
      <c r="O21" s="628"/>
      <c r="P21" s="628"/>
      <c r="Q21" s="253" t="s">
        <v>56</v>
      </c>
      <c r="R21" s="242">
        <f t="shared" si="1"/>
        <v>77210.117399999988</v>
      </c>
      <c r="S21" s="242">
        <v>257367058</v>
      </c>
      <c r="T21" s="628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632">
        <f>H22+H23</f>
        <v>148200</v>
      </c>
      <c r="J22" s="635">
        <v>42633</v>
      </c>
      <c r="K22" s="633">
        <f t="shared" ref="K22" si="3">I22-L22</f>
        <v>12</v>
      </c>
      <c r="L22" s="633">
        <v>148188</v>
      </c>
      <c r="M22" s="628">
        <v>22270</v>
      </c>
      <c r="N22" s="628">
        <f>L22*M22</f>
        <v>3300146760</v>
      </c>
      <c r="O22" s="628">
        <f>2780756/2</f>
        <v>1390378</v>
      </c>
      <c r="P22" s="626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628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633"/>
      <c r="J23" s="635"/>
      <c r="K23" s="633"/>
      <c r="L23" s="633"/>
      <c r="M23" s="628"/>
      <c r="N23" s="628"/>
      <c r="O23" s="628"/>
      <c r="P23" s="628"/>
      <c r="Q23" s="253" t="s">
        <v>395</v>
      </c>
      <c r="R23" s="254">
        <v>531976</v>
      </c>
      <c r="S23" s="255">
        <v>1791165000</v>
      </c>
      <c r="T23" s="628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632">
        <f>H24+H25</f>
        <v>145600</v>
      </c>
      <c r="J24" s="635">
        <v>42685</v>
      </c>
      <c r="K24" s="633">
        <f t="shared" ref="K24" si="5">I24-L24</f>
        <v>12</v>
      </c>
      <c r="L24" s="633">
        <v>145588</v>
      </c>
      <c r="M24" s="628">
        <v>22285</v>
      </c>
      <c r="N24" s="628">
        <f t="shared" ref="N24" si="6">L24*M24</f>
        <v>3244428580</v>
      </c>
      <c r="O24" s="628">
        <v>1791144</v>
      </c>
      <c r="P24" s="626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628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633"/>
      <c r="J25" s="635"/>
      <c r="K25" s="633"/>
      <c r="L25" s="633"/>
      <c r="M25" s="628"/>
      <c r="N25" s="628"/>
      <c r="O25" s="628"/>
      <c r="P25" s="628"/>
      <c r="Q25" s="253" t="s">
        <v>56</v>
      </c>
      <c r="R25" s="254">
        <v>176854.25586180002</v>
      </c>
      <c r="S25" s="255">
        <v>535745133.20413822</v>
      </c>
      <c r="T25" s="628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636">
        <f>H28+H27</f>
        <v>145600</v>
      </c>
      <c r="J26" s="638">
        <v>42689</v>
      </c>
      <c r="K26" s="636">
        <f t="shared" ref="K26" si="9">I26-L26</f>
        <v>12</v>
      </c>
      <c r="L26" s="636">
        <v>145588</v>
      </c>
      <c r="M26" s="624">
        <v>22290</v>
      </c>
      <c r="N26" s="624">
        <f t="shared" ref="N26" si="10">L26*M26</f>
        <v>3245156520</v>
      </c>
      <c r="O26" s="624">
        <v>1791144</v>
      </c>
      <c r="P26" s="624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637"/>
      <c r="J27" s="639"/>
      <c r="K27" s="637"/>
      <c r="L27" s="637"/>
      <c r="M27" s="625"/>
      <c r="N27" s="625"/>
      <c r="O27" s="625"/>
      <c r="P27" s="625"/>
      <c r="Q27" s="253" t="s">
        <v>131</v>
      </c>
      <c r="R27" s="254">
        <v>480480</v>
      </c>
      <c r="S27" s="255">
        <v>1456000000</v>
      </c>
      <c r="T27" s="624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632"/>
      <c r="J28" s="634"/>
      <c r="K28" s="632"/>
      <c r="L28" s="632"/>
      <c r="M28" s="626"/>
      <c r="N28" s="626"/>
      <c r="O28" s="626"/>
      <c r="P28" s="626"/>
      <c r="Q28" s="253" t="s">
        <v>56</v>
      </c>
      <c r="R28" s="254">
        <v>231033</v>
      </c>
      <c r="S28" s="255">
        <v>699867789</v>
      </c>
      <c r="T28" s="625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636">
        <f>SUM(H29:H32)</f>
        <v>291200</v>
      </c>
      <c r="J29" s="638">
        <v>42696</v>
      </c>
      <c r="K29" s="636">
        <f>I29-L29</f>
        <v>12</v>
      </c>
      <c r="L29" s="636">
        <v>291188</v>
      </c>
      <c r="M29" s="624">
        <v>22480</v>
      </c>
      <c r="N29" s="624">
        <f>L29*M29</f>
        <v>6545906240</v>
      </c>
      <c r="O29" s="624">
        <v>3582288</v>
      </c>
      <c r="P29" s="624">
        <f>N29-O29</f>
        <v>6542323952</v>
      </c>
      <c r="Q29" s="253" t="s">
        <v>142</v>
      </c>
      <c r="R29" s="254">
        <v>1450020</v>
      </c>
      <c r="S29" s="255">
        <v>4394000000</v>
      </c>
      <c r="T29" s="625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637"/>
      <c r="J30" s="639"/>
      <c r="K30" s="637"/>
      <c r="L30" s="637"/>
      <c r="M30" s="625"/>
      <c r="N30" s="625"/>
      <c r="O30" s="625"/>
      <c r="P30" s="625"/>
      <c r="Q30" s="253" t="s">
        <v>149</v>
      </c>
      <c r="R30" s="254">
        <v>133243</v>
      </c>
      <c r="S30" s="255">
        <v>403767000</v>
      </c>
      <c r="T30" s="625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637"/>
      <c r="J31" s="639"/>
      <c r="K31" s="637"/>
      <c r="L31" s="637"/>
      <c r="M31" s="625"/>
      <c r="N31" s="625"/>
      <c r="O31" s="625"/>
      <c r="P31" s="625"/>
      <c r="Q31" s="253" t="s">
        <v>150</v>
      </c>
      <c r="R31" s="254">
        <v>142501</v>
      </c>
      <c r="S31" s="255">
        <v>431821000</v>
      </c>
      <c r="T31" s="625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632"/>
      <c r="J32" s="634"/>
      <c r="K32" s="632"/>
      <c r="L32" s="632"/>
      <c r="M32" s="626"/>
      <c r="N32" s="626"/>
      <c r="O32" s="626"/>
      <c r="P32" s="626"/>
      <c r="Q32" s="253" t="s">
        <v>56</v>
      </c>
      <c r="R32" s="254">
        <v>298421</v>
      </c>
      <c r="S32" s="255">
        <v>904008247</v>
      </c>
      <c r="T32" s="626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636">
        <f>H33+H34</f>
        <v>145600</v>
      </c>
      <c r="J33" s="638">
        <v>42699</v>
      </c>
      <c r="K33" s="636">
        <f>I33-L33</f>
        <v>12</v>
      </c>
      <c r="L33" s="636">
        <v>145588</v>
      </c>
      <c r="M33" s="624">
        <v>22660</v>
      </c>
      <c r="N33" s="624">
        <f t="shared" ref="N33:N37" si="15">L33*M33</f>
        <v>3299024080</v>
      </c>
      <c r="O33" s="624">
        <v>1819968</v>
      </c>
      <c r="P33" s="624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628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637"/>
      <c r="J34" s="639"/>
      <c r="K34" s="637"/>
      <c r="L34" s="637"/>
      <c r="M34" s="625"/>
      <c r="N34" s="625"/>
      <c r="O34" s="625"/>
      <c r="P34" s="625"/>
      <c r="Q34" s="256" t="s">
        <v>153</v>
      </c>
      <c r="R34" s="254">
        <v>178679</v>
      </c>
      <c r="S34" s="255">
        <v>541450000</v>
      </c>
      <c r="T34" s="628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637"/>
      <c r="J35" s="639"/>
      <c r="K35" s="637"/>
      <c r="L35" s="637"/>
      <c r="M35" s="625"/>
      <c r="N35" s="625"/>
      <c r="O35" s="625"/>
      <c r="P35" s="625"/>
      <c r="Q35" s="253" t="s">
        <v>55</v>
      </c>
      <c r="R35" s="254">
        <v>351889</v>
      </c>
      <c r="S35" s="255">
        <v>1066331000</v>
      </c>
      <c r="T35" s="628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632"/>
      <c r="J36" s="634"/>
      <c r="K36" s="632"/>
      <c r="L36" s="632"/>
      <c r="M36" s="626"/>
      <c r="N36" s="626"/>
      <c r="O36" s="626"/>
      <c r="P36" s="626"/>
      <c r="Q36" s="253" t="s">
        <v>56</v>
      </c>
      <c r="R36" s="254">
        <v>81592</v>
      </c>
      <c r="S36" s="255">
        <v>247168367</v>
      </c>
      <c r="T36" s="628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632">
        <f>H37+H38</f>
        <v>145600</v>
      </c>
      <c r="J37" s="634">
        <v>42703</v>
      </c>
      <c r="K37" s="633">
        <f>I37-L37</f>
        <v>12</v>
      </c>
      <c r="L37" s="633">
        <v>145588</v>
      </c>
      <c r="M37" s="624">
        <v>22620</v>
      </c>
      <c r="N37" s="628">
        <f t="shared" si="15"/>
        <v>3293200560</v>
      </c>
      <c r="O37" s="628">
        <v>1825573</v>
      </c>
      <c r="P37" s="626">
        <f t="shared" si="16"/>
        <v>3291374987</v>
      </c>
      <c r="Q37" s="256" t="s">
        <v>152</v>
      </c>
      <c r="R37" s="254">
        <v>497640</v>
      </c>
      <c r="S37" s="255">
        <v>1508000000</v>
      </c>
      <c r="T37" s="628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633"/>
      <c r="J38" s="635"/>
      <c r="K38" s="633"/>
      <c r="L38" s="633"/>
      <c r="M38" s="626"/>
      <c r="N38" s="628"/>
      <c r="O38" s="628"/>
      <c r="P38" s="628"/>
      <c r="Q38" s="253" t="s">
        <v>142</v>
      </c>
      <c r="R38" s="254">
        <v>552453</v>
      </c>
      <c r="S38" s="255">
        <v>1674100000</v>
      </c>
      <c r="T38" s="628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636">
        <f>SUM(H39:H42)</f>
        <v>291200</v>
      </c>
      <c r="J39" s="638">
        <v>42711</v>
      </c>
      <c r="K39" s="636">
        <f>I39-L39</f>
        <v>12</v>
      </c>
      <c r="L39" s="636">
        <v>291188</v>
      </c>
      <c r="M39" s="624">
        <v>22650</v>
      </c>
      <c r="N39" s="624">
        <f>L39*M39</f>
        <v>6595408200</v>
      </c>
      <c r="O39" s="624">
        <v>3651146</v>
      </c>
      <c r="P39" s="624">
        <f>N39-O39</f>
        <v>6591757054</v>
      </c>
      <c r="Q39" s="253" t="s">
        <v>142</v>
      </c>
      <c r="R39" s="254">
        <v>963198</v>
      </c>
      <c r="S39" s="255">
        <v>2918780500</v>
      </c>
      <c r="T39" s="628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637"/>
      <c r="J40" s="639"/>
      <c r="K40" s="637"/>
      <c r="L40" s="637"/>
      <c r="M40" s="625"/>
      <c r="N40" s="625"/>
      <c r="O40" s="625"/>
      <c r="P40" s="625"/>
      <c r="Q40" s="256" t="s">
        <v>152</v>
      </c>
      <c r="R40" s="254">
        <v>602224</v>
      </c>
      <c r="S40" s="255">
        <v>1824920500</v>
      </c>
      <c r="T40" s="628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637"/>
      <c r="J41" s="639"/>
      <c r="K41" s="637"/>
      <c r="L41" s="637"/>
      <c r="M41" s="625"/>
      <c r="N41" s="625"/>
      <c r="O41" s="625"/>
      <c r="P41" s="625"/>
      <c r="Q41" s="256" t="s">
        <v>153</v>
      </c>
      <c r="R41" s="254">
        <v>182381</v>
      </c>
      <c r="S41" s="255">
        <v>552669000</v>
      </c>
      <c r="T41" s="628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632"/>
      <c r="J42" s="634"/>
      <c r="K42" s="632"/>
      <c r="L42" s="632"/>
      <c r="M42" s="626"/>
      <c r="N42" s="626"/>
      <c r="O42" s="626"/>
      <c r="P42" s="626"/>
      <c r="Q42" s="253" t="s">
        <v>56</v>
      </c>
      <c r="R42" s="254">
        <v>224782.55613005161</v>
      </c>
      <c r="S42" s="255">
        <v>480934478.44387001</v>
      </c>
      <c r="T42" s="628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636">
        <f>SUM(H43:H47)</f>
        <v>291200</v>
      </c>
      <c r="J43" s="638">
        <v>42717</v>
      </c>
      <c r="K43" s="636">
        <f>I43-L43</f>
        <v>12</v>
      </c>
      <c r="L43" s="636">
        <v>291188</v>
      </c>
      <c r="M43" s="624">
        <v>22620</v>
      </c>
      <c r="N43" s="624">
        <f>L43*M43</f>
        <v>6586672560</v>
      </c>
      <c r="O43" s="624">
        <v>3651146</v>
      </c>
      <c r="P43" s="624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628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637"/>
      <c r="J44" s="639"/>
      <c r="K44" s="637"/>
      <c r="L44" s="637"/>
      <c r="M44" s="625"/>
      <c r="N44" s="625"/>
      <c r="O44" s="625"/>
      <c r="P44" s="625"/>
      <c r="Q44" s="256" t="s">
        <v>152</v>
      </c>
      <c r="R44" s="254">
        <v>321557</v>
      </c>
      <c r="S44" s="255">
        <v>974415000</v>
      </c>
      <c r="T44" s="628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637"/>
      <c r="J45" s="639"/>
      <c r="K45" s="637"/>
      <c r="L45" s="637"/>
      <c r="M45" s="625"/>
      <c r="N45" s="625"/>
      <c r="O45" s="625"/>
      <c r="P45" s="625"/>
      <c r="Q45" s="256" t="s">
        <v>149</v>
      </c>
      <c r="R45" s="254">
        <v>155513</v>
      </c>
      <c r="S45" s="255">
        <v>471250000</v>
      </c>
      <c r="T45" s="628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637"/>
      <c r="J46" s="639"/>
      <c r="K46" s="637"/>
      <c r="L46" s="637"/>
      <c r="M46" s="625"/>
      <c r="N46" s="625"/>
      <c r="O46" s="625"/>
      <c r="P46" s="625"/>
      <c r="Q46" s="256" t="s">
        <v>227</v>
      </c>
      <c r="R46" s="254">
        <v>97190</v>
      </c>
      <c r="S46" s="255">
        <v>294515000</v>
      </c>
      <c r="T46" s="628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632"/>
      <c r="J47" s="634"/>
      <c r="K47" s="632"/>
      <c r="L47" s="632"/>
      <c r="M47" s="626"/>
      <c r="N47" s="626"/>
      <c r="O47" s="626"/>
      <c r="P47" s="626"/>
      <c r="Q47" s="253" t="s">
        <v>56</v>
      </c>
      <c r="R47" s="254">
        <v>897991</v>
      </c>
      <c r="S47" s="255">
        <v>2721185000</v>
      </c>
      <c r="T47" s="628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636">
        <f>SUM(H48:H53)</f>
        <v>291200</v>
      </c>
      <c r="J48" s="638">
        <v>42723</v>
      </c>
      <c r="K48" s="636">
        <f>I48-L48</f>
        <v>117</v>
      </c>
      <c r="L48" s="636">
        <v>291083</v>
      </c>
      <c r="M48" s="624">
        <v>22620</v>
      </c>
      <c r="N48" s="624">
        <f>L48*M48</f>
        <v>6584297460</v>
      </c>
      <c r="O48" s="624"/>
      <c r="P48" s="624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628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637"/>
      <c r="J49" s="639"/>
      <c r="K49" s="637"/>
      <c r="L49" s="637"/>
      <c r="M49" s="625"/>
      <c r="N49" s="625"/>
      <c r="O49" s="625"/>
      <c r="P49" s="625"/>
      <c r="Q49" s="256" t="s">
        <v>149</v>
      </c>
      <c r="R49" s="254">
        <v>158498</v>
      </c>
      <c r="S49" s="255">
        <v>480298000</v>
      </c>
      <c r="T49" s="628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637"/>
      <c r="J50" s="639"/>
      <c r="K50" s="637"/>
      <c r="L50" s="637"/>
      <c r="M50" s="625"/>
      <c r="N50" s="625"/>
      <c r="O50" s="625"/>
      <c r="P50" s="625"/>
      <c r="Q50" s="256" t="s">
        <v>279</v>
      </c>
      <c r="R50" s="254">
        <v>221450</v>
      </c>
      <c r="S50" s="255">
        <v>671060000</v>
      </c>
      <c r="T50" s="628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637"/>
      <c r="J51" s="639"/>
      <c r="K51" s="637"/>
      <c r="L51" s="637"/>
      <c r="M51" s="625"/>
      <c r="N51" s="625"/>
      <c r="O51" s="625"/>
      <c r="P51" s="625"/>
      <c r="Q51" s="256" t="s">
        <v>55</v>
      </c>
      <c r="R51" s="254">
        <v>701499</v>
      </c>
      <c r="S51" s="255">
        <v>2125756000</v>
      </c>
      <c r="T51" s="628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637"/>
      <c r="J52" s="639"/>
      <c r="K52" s="637"/>
      <c r="L52" s="637"/>
      <c r="M52" s="625"/>
      <c r="N52" s="625"/>
      <c r="O52" s="625"/>
      <c r="P52" s="625"/>
      <c r="Q52" s="256" t="s">
        <v>280</v>
      </c>
      <c r="R52" s="254">
        <v>141021</v>
      </c>
      <c r="S52" s="255">
        <v>427336000</v>
      </c>
      <c r="T52" s="628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632"/>
      <c r="J53" s="634"/>
      <c r="K53" s="632"/>
      <c r="L53" s="632"/>
      <c r="M53" s="626"/>
      <c r="N53" s="626"/>
      <c r="O53" s="626"/>
      <c r="P53" s="626"/>
      <c r="Q53" s="253" t="s">
        <v>56</v>
      </c>
      <c r="R53" s="254">
        <v>412914</v>
      </c>
      <c r="S53" s="255">
        <v>1251254000</v>
      </c>
      <c r="T53" s="628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636">
        <f>SUM(H54:H57)</f>
        <v>281840</v>
      </c>
      <c r="J54" s="638">
        <v>42725</v>
      </c>
      <c r="K54" s="636">
        <f>I54-L54</f>
        <v>117</v>
      </c>
      <c r="L54" s="636">
        <v>281723</v>
      </c>
      <c r="M54" s="624">
        <v>22650</v>
      </c>
      <c r="N54" s="624">
        <f>L54*M54</f>
        <v>6381025950</v>
      </c>
      <c r="O54" s="624"/>
      <c r="P54" s="624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628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637"/>
      <c r="J55" s="639"/>
      <c r="K55" s="637"/>
      <c r="L55" s="637"/>
      <c r="M55" s="625"/>
      <c r="N55" s="625"/>
      <c r="O55" s="625"/>
      <c r="P55" s="625"/>
      <c r="Q55" s="256" t="s">
        <v>152</v>
      </c>
      <c r="R55" s="254">
        <v>482346</v>
      </c>
      <c r="S55" s="255">
        <v>876993000</v>
      </c>
      <c r="T55" s="628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637"/>
      <c r="J56" s="639"/>
      <c r="K56" s="637"/>
      <c r="L56" s="637"/>
      <c r="M56" s="625"/>
      <c r="N56" s="625"/>
      <c r="O56" s="625"/>
      <c r="P56" s="625"/>
      <c r="Q56" s="256" t="s">
        <v>131</v>
      </c>
      <c r="R56" s="254">
        <v>984083</v>
      </c>
      <c r="S56" s="255">
        <v>2982070000</v>
      </c>
      <c r="T56" s="628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632"/>
      <c r="J57" s="634"/>
      <c r="K57" s="632"/>
      <c r="L57" s="632"/>
      <c r="M57" s="626"/>
      <c r="N57" s="626"/>
      <c r="O57" s="626"/>
      <c r="P57" s="626"/>
      <c r="Q57" s="253" t="s">
        <v>56</v>
      </c>
      <c r="R57" s="254">
        <v>343695</v>
      </c>
      <c r="S57" s="255">
        <v>1041500000</v>
      </c>
      <c r="T57" s="628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636">
        <f>SUM(H58:H61)</f>
        <v>282482.72000000003</v>
      </c>
      <c r="J58" s="638">
        <v>42730</v>
      </c>
      <c r="K58" s="636">
        <f>I58-L58</f>
        <v>117.00000000005821</v>
      </c>
      <c r="L58" s="636">
        <v>282365.71999999997</v>
      </c>
      <c r="M58" s="624">
        <v>22650</v>
      </c>
      <c r="N58" s="624">
        <f>L58*M58</f>
        <v>6395583557.999999</v>
      </c>
      <c r="O58" s="624"/>
      <c r="P58" s="624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628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637"/>
      <c r="J59" s="639"/>
      <c r="K59" s="637"/>
      <c r="L59" s="637"/>
      <c r="M59" s="625"/>
      <c r="N59" s="625"/>
      <c r="O59" s="625"/>
      <c r="P59" s="625"/>
      <c r="Q59" s="256" t="s">
        <v>325</v>
      </c>
      <c r="R59" s="254">
        <v>15246</v>
      </c>
      <c r="S59" s="255">
        <v>27720000</v>
      </c>
      <c r="T59" s="628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637"/>
      <c r="J60" s="639"/>
      <c r="K60" s="637"/>
      <c r="L60" s="637"/>
      <c r="M60" s="625"/>
      <c r="N60" s="625"/>
      <c r="O60" s="625"/>
      <c r="P60" s="625"/>
      <c r="Q60" s="256" t="s">
        <v>131</v>
      </c>
      <c r="R60" s="254">
        <v>647657</v>
      </c>
      <c r="S60" s="255">
        <v>1177559000</v>
      </c>
      <c r="T60" s="628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632"/>
      <c r="J61" s="634"/>
      <c r="K61" s="632"/>
      <c r="L61" s="632"/>
      <c r="M61" s="626"/>
      <c r="N61" s="626"/>
      <c r="O61" s="626"/>
      <c r="P61" s="626"/>
      <c r="Q61" s="253" t="s">
        <v>56</v>
      </c>
      <c r="R61" s="254">
        <v>2403113</v>
      </c>
      <c r="S61" s="255">
        <v>4369297000</v>
      </c>
      <c r="T61" s="628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636">
        <f>H62+H63</f>
        <v>144200.68</v>
      </c>
      <c r="J62" s="638">
        <v>42742</v>
      </c>
      <c r="K62" s="636">
        <f>I62-L62</f>
        <v>12</v>
      </c>
      <c r="L62" s="636">
        <v>144188.68</v>
      </c>
      <c r="M62" s="624">
        <v>22480</v>
      </c>
      <c r="N62" s="628">
        <f t="shared" ref="N62" si="27">L62*M62</f>
        <v>3241361526.3999996</v>
      </c>
      <c r="O62" s="624">
        <v>1825573</v>
      </c>
      <c r="P62" s="626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628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632"/>
      <c r="J63" s="634"/>
      <c r="K63" s="632"/>
      <c r="L63" s="632"/>
      <c r="M63" s="626"/>
      <c r="N63" s="628"/>
      <c r="O63" s="626"/>
      <c r="P63" s="628"/>
      <c r="Q63" s="253" t="s">
        <v>56</v>
      </c>
      <c r="R63" s="254">
        <v>2422361</v>
      </c>
      <c r="S63" s="255">
        <v>2691512000</v>
      </c>
      <c r="T63" s="628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636">
        <f>SUM(H64:H67)</f>
        <v>294320</v>
      </c>
      <c r="J64" s="638">
        <v>42733</v>
      </c>
      <c r="K64" s="636">
        <f>I64-L64</f>
        <v>12</v>
      </c>
      <c r="L64" s="636">
        <v>294308</v>
      </c>
      <c r="M64" s="624">
        <v>22650</v>
      </c>
      <c r="N64" s="624">
        <f>L64*M64</f>
        <v>6666076200</v>
      </c>
      <c r="O64" s="624">
        <v>3651146</v>
      </c>
      <c r="P64" s="624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628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637"/>
      <c r="J65" s="639"/>
      <c r="K65" s="637"/>
      <c r="L65" s="637"/>
      <c r="M65" s="625"/>
      <c r="N65" s="625"/>
      <c r="O65" s="625"/>
      <c r="P65" s="625"/>
      <c r="Q65" s="253" t="s">
        <v>56</v>
      </c>
      <c r="R65" s="254">
        <v>2786095</v>
      </c>
      <c r="S65" s="255">
        <v>5065628000</v>
      </c>
      <c r="T65" s="628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637"/>
      <c r="J66" s="639"/>
      <c r="K66" s="637"/>
      <c r="L66" s="637"/>
      <c r="M66" s="625"/>
      <c r="N66" s="625"/>
      <c r="O66" s="625"/>
      <c r="P66" s="625"/>
      <c r="Q66" s="247"/>
      <c r="R66" s="247"/>
      <c r="S66" s="247"/>
      <c r="T66" s="628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632"/>
      <c r="J67" s="634"/>
      <c r="K67" s="632"/>
      <c r="L67" s="632"/>
      <c r="M67" s="626"/>
      <c r="N67" s="626"/>
      <c r="O67" s="626"/>
      <c r="P67" s="626"/>
      <c r="Q67" s="247"/>
      <c r="R67" s="247"/>
      <c r="S67" s="247"/>
      <c r="T67" s="628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636">
        <f>SUM(H68:H71)</f>
        <v>294320</v>
      </c>
      <c r="J68" s="638">
        <v>42746</v>
      </c>
      <c r="K68" s="636">
        <f>I68-L68</f>
        <v>12</v>
      </c>
      <c r="L68" s="636">
        <v>294308</v>
      </c>
      <c r="M68" s="624">
        <v>22465</v>
      </c>
      <c r="N68" s="624">
        <f>L68*M68</f>
        <v>6611629220</v>
      </c>
      <c r="O68" s="624">
        <v>3651146</v>
      </c>
      <c r="P68" s="624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628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637"/>
      <c r="J69" s="639"/>
      <c r="K69" s="637"/>
      <c r="L69" s="637"/>
      <c r="M69" s="625"/>
      <c r="N69" s="625"/>
      <c r="O69" s="625"/>
      <c r="P69" s="625"/>
      <c r="Q69" s="253" t="s">
        <v>390</v>
      </c>
      <c r="R69" s="254">
        <v>851458</v>
      </c>
      <c r="S69" s="255">
        <v>946064000</v>
      </c>
      <c r="T69" s="628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637"/>
      <c r="J70" s="639"/>
      <c r="K70" s="637"/>
      <c r="L70" s="637"/>
      <c r="M70" s="625"/>
      <c r="N70" s="625"/>
      <c r="O70" s="625"/>
      <c r="P70" s="625"/>
      <c r="Q70" s="253" t="s">
        <v>56</v>
      </c>
      <c r="R70" s="254">
        <v>4198989</v>
      </c>
      <c r="S70" s="255">
        <v>4665543000</v>
      </c>
      <c r="T70" s="628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632"/>
      <c r="J71" s="634"/>
      <c r="K71" s="632"/>
      <c r="L71" s="632"/>
      <c r="M71" s="626"/>
      <c r="N71" s="626"/>
      <c r="O71" s="626"/>
      <c r="P71" s="626"/>
      <c r="Q71" s="242"/>
      <c r="R71" s="242"/>
      <c r="S71" s="242"/>
      <c r="T71" s="628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636">
        <f>SUM(H72:H77)</f>
        <v>441480</v>
      </c>
      <c r="J72" s="638">
        <v>42782</v>
      </c>
      <c r="K72" s="636">
        <f>I72-L72</f>
        <v>12</v>
      </c>
      <c r="L72" s="636">
        <v>441468</v>
      </c>
      <c r="M72" s="624">
        <v>22570</v>
      </c>
      <c r="N72" s="624">
        <f>L72*M72</f>
        <v>9963932760</v>
      </c>
      <c r="O72" s="624">
        <v>3250000</v>
      </c>
      <c r="P72" s="624">
        <f>N72-O72</f>
        <v>9960682760</v>
      </c>
      <c r="Q72" s="253" t="s">
        <v>131</v>
      </c>
      <c r="R72" s="254">
        <v>1100000</v>
      </c>
      <c r="S72" s="255">
        <v>1697000000</v>
      </c>
      <c r="T72" s="628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637"/>
      <c r="J73" s="639"/>
      <c r="K73" s="637"/>
      <c r="L73" s="637"/>
      <c r="M73" s="625"/>
      <c r="N73" s="625"/>
      <c r="O73" s="625"/>
      <c r="P73" s="625"/>
      <c r="Q73" s="253" t="s">
        <v>396</v>
      </c>
      <c r="R73" s="254">
        <v>1100000</v>
      </c>
      <c r="S73" s="255">
        <v>1697000000</v>
      </c>
      <c r="T73" s="628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637"/>
      <c r="J74" s="639"/>
      <c r="K74" s="637"/>
      <c r="L74" s="637"/>
      <c r="M74" s="625"/>
      <c r="N74" s="625"/>
      <c r="O74" s="625"/>
      <c r="P74" s="625"/>
      <c r="Q74" s="253" t="s">
        <v>395</v>
      </c>
      <c r="R74" s="254">
        <v>1100000</v>
      </c>
      <c r="S74" s="255">
        <v>1696000000</v>
      </c>
      <c r="T74" s="628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637"/>
      <c r="J75" s="639"/>
      <c r="K75" s="637"/>
      <c r="L75" s="637"/>
      <c r="M75" s="625"/>
      <c r="N75" s="625"/>
      <c r="O75" s="625"/>
      <c r="P75" s="625"/>
      <c r="Q75" s="253" t="s">
        <v>400</v>
      </c>
      <c r="R75" s="254">
        <v>1100000</v>
      </c>
      <c r="S75" s="255">
        <v>1696000000</v>
      </c>
      <c r="T75" s="628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637"/>
      <c r="J76" s="639"/>
      <c r="K76" s="637"/>
      <c r="L76" s="637"/>
      <c r="M76" s="625"/>
      <c r="N76" s="625"/>
      <c r="O76" s="625"/>
      <c r="P76" s="625"/>
      <c r="Q76" s="256" t="s">
        <v>401</v>
      </c>
      <c r="R76" s="254">
        <v>1100000</v>
      </c>
      <c r="S76" s="255">
        <v>1696000000</v>
      </c>
      <c r="T76" s="628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632"/>
      <c r="J77" s="634"/>
      <c r="K77" s="632"/>
      <c r="L77" s="632"/>
      <c r="M77" s="626"/>
      <c r="N77" s="626"/>
      <c r="O77" s="626"/>
      <c r="P77" s="626"/>
      <c r="Q77" s="257" t="s">
        <v>394</v>
      </c>
      <c r="R77" s="254">
        <v>1100000</v>
      </c>
      <c r="S77" s="255">
        <v>1696000000</v>
      </c>
      <c r="T77" s="628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633">
        <f>H78+H79</f>
        <v>149367.4</v>
      </c>
      <c r="J78" s="635">
        <v>42774</v>
      </c>
      <c r="K78" s="633">
        <f>I78-L78</f>
        <v>12</v>
      </c>
      <c r="L78" s="633">
        <v>149355.4</v>
      </c>
      <c r="M78" s="624">
        <v>22520</v>
      </c>
      <c r="N78" s="628">
        <f t="shared" ref="N78" si="33">L78*M78</f>
        <v>3363483608</v>
      </c>
      <c r="O78" s="628">
        <v>1861474</v>
      </c>
      <c r="P78" s="626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628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633"/>
      <c r="J79" s="635"/>
      <c r="K79" s="633"/>
      <c r="L79" s="633"/>
      <c r="M79" s="626"/>
      <c r="N79" s="628"/>
      <c r="O79" s="628"/>
      <c r="P79" s="628"/>
      <c r="Q79" s="256" t="s">
        <v>152</v>
      </c>
      <c r="R79" s="254">
        <v>1175650</v>
      </c>
      <c r="S79" s="255">
        <v>1679500000</v>
      </c>
      <c r="T79" s="628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636">
        <f>SUM(H80:H85)</f>
        <v>448102.2</v>
      </c>
      <c r="J80" s="638">
        <v>42788</v>
      </c>
      <c r="K80" s="636">
        <f>I80-L80</f>
        <v>122</v>
      </c>
      <c r="L80" s="636">
        <v>447980.2</v>
      </c>
      <c r="M80" s="624">
        <v>22620</v>
      </c>
      <c r="N80" s="624">
        <f>L80*M80</f>
        <v>10133312124</v>
      </c>
      <c r="O80" s="624"/>
      <c r="P80" s="624">
        <f>N80-O80</f>
        <v>10133312124</v>
      </c>
      <c r="Q80" s="253" t="s">
        <v>396</v>
      </c>
      <c r="R80" s="254">
        <v>1100000</v>
      </c>
      <c r="S80" s="255">
        <v>2110891000</v>
      </c>
      <c r="T80" s="628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637"/>
      <c r="J81" s="639"/>
      <c r="K81" s="637"/>
      <c r="L81" s="637"/>
      <c r="M81" s="625"/>
      <c r="N81" s="625"/>
      <c r="O81" s="625"/>
      <c r="P81" s="625"/>
      <c r="Q81" s="253" t="s">
        <v>395</v>
      </c>
      <c r="R81" s="254">
        <v>1100000</v>
      </c>
      <c r="S81" s="255">
        <v>1238708500</v>
      </c>
      <c r="T81" s="628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637"/>
      <c r="J82" s="639"/>
      <c r="K82" s="637"/>
      <c r="L82" s="637"/>
      <c r="M82" s="625"/>
      <c r="N82" s="625"/>
      <c r="O82" s="625"/>
      <c r="P82" s="625"/>
      <c r="Q82" s="253" t="s">
        <v>131</v>
      </c>
      <c r="R82" s="254">
        <v>1100000</v>
      </c>
      <c r="S82" s="255">
        <v>1473180000</v>
      </c>
      <c r="T82" s="628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637"/>
      <c r="J83" s="639"/>
      <c r="K83" s="637"/>
      <c r="L83" s="637"/>
      <c r="M83" s="625"/>
      <c r="N83" s="625"/>
      <c r="O83" s="625"/>
      <c r="P83" s="625"/>
      <c r="Q83" s="253" t="s">
        <v>406</v>
      </c>
      <c r="R83" s="254">
        <v>1100000</v>
      </c>
      <c r="S83" s="255">
        <v>1552320000</v>
      </c>
      <c r="T83" s="628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637"/>
      <c r="J84" s="639"/>
      <c r="K84" s="637"/>
      <c r="L84" s="637"/>
      <c r="M84" s="625"/>
      <c r="N84" s="625"/>
      <c r="O84" s="625"/>
      <c r="P84" s="625"/>
      <c r="Q84" s="253" t="s">
        <v>400</v>
      </c>
      <c r="R84" s="254">
        <v>1100000</v>
      </c>
      <c r="S84" s="255">
        <v>1329812000</v>
      </c>
      <c r="T84" s="624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632"/>
      <c r="J85" s="634"/>
      <c r="K85" s="632"/>
      <c r="L85" s="632"/>
      <c r="M85" s="626"/>
      <c r="N85" s="626"/>
      <c r="O85" s="626"/>
      <c r="P85" s="626"/>
      <c r="Q85" s="257" t="s">
        <v>394</v>
      </c>
      <c r="R85" s="260">
        <v>1100000</v>
      </c>
      <c r="S85" s="258">
        <v>2251300000</v>
      </c>
      <c r="T85" s="625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636">
        <f>SUM(H86:H91)</f>
        <v>450241.68</v>
      </c>
      <c r="J86" s="638">
        <v>42790</v>
      </c>
      <c r="K86" s="636">
        <f>I86-L86</f>
        <v>12</v>
      </c>
      <c r="L86" s="636">
        <v>450229.68</v>
      </c>
      <c r="M86" s="624">
        <v>22620</v>
      </c>
      <c r="N86" s="624">
        <f>L86*M86</f>
        <v>10184195361.6</v>
      </c>
      <c r="O86" s="624">
        <v>2514600</v>
      </c>
      <c r="P86" s="624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625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637"/>
      <c r="J87" s="639"/>
      <c r="K87" s="637"/>
      <c r="L87" s="637"/>
      <c r="M87" s="625"/>
      <c r="N87" s="625"/>
      <c r="O87" s="625"/>
      <c r="P87" s="625"/>
      <c r="Q87" s="61" t="s">
        <v>395</v>
      </c>
      <c r="R87" s="247">
        <v>550000</v>
      </c>
      <c r="S87" s="255">
        <v>1000000000</v>
      </c>
      <c r="T87" s="625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637"/>
      <c r="J88" s="639"/>
      <c r="K88" s="637"/>
      <c r="L88" s="637"/>
      <c r="M88" s="625"/>
      <c r="N88" s="625"/>
      <c r="O88" s="625"/>
      <c r="P88" s="625"/>
      <c r="Q88" s="61" t="s">
        <v>400</v>
      </c>
      <c r="R88" s="247">
        <v>825000</v>
      </c>
      <c r="S88" s="255">
        <v>1500000000</v>
      </c>
      <c r="T88" s="625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637"/>
      <c r="J89" s="639"/>
      <c r="K89" s="637"/>
      <c r="L89" s="637"/>
      <c r="M89" s="625"/>
      <c r="N89" s="625"/>
      <c r="O89" s="625"/>
      <c r="P89" s="625"/>
      <c r="Q89" s="220" t="s">
        <v>394</v>
      </c>
      <c r="R89" s="247">
        <v>1100000</v>
      </c>
      <c r="S89" s="255">
        <v>4443756000</v>
      </c>
      <c r="T89" s="625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637"/>
      <c r="J90" s="639"/>
      <c r="K90" s="637"/>
      <c r="L90" s="637"/>
      <c r="M90" s="625"/>
      <c r="N90" s="625"/>
      <c r="O90" s="625"/>
      <c r="P90" s="625"/>
      <c r="Q90" s="61" t="s">
        <v>56</v>
      </c>
      <c r="R90" s="247">
        <v>324500</v>
      </c>
      <c r="S90" s="255">
        <v>590000000</v>
      </c>
      <c r="T90" s="625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632"/>
      <c r="J91" s="634"/>
      <c r="K91" s="632"/>
      <c r="L91" s="632"/>
      <c r="M91" s="626"/>
      <c r="N91" s="626"/>
      <c r="O91" s="626"/>
      <c r="P91" s="626"/>
      <c r="Q91" s="247"/>
      <c r="R91" s="247"/>
      <c r="S91" s="247"/>
      <c r="T91" s="625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636">
        <f>SUM(H92:H97)</f>
        <v>448102.2</v>
      </c>
      <c r="J92" s="638">
        <v>42797</v>
      </c>
      <c r="K92" s="636">
        <f>I92-L92</f>
        <v>12</v>
      </c>
      <c r="L92" s="636">
        <v>448090.2</v>
      </c>
      <c r="M92" s="624">
        <v>22650</v>
      </c>
      <c r="N92" s="624">
        <f>L92*M92</f>
        <v>10149243030</v>
      </c>
      <c r="O92" s="624">
        <v>2514600</v>
      </c>
      <c r="P92" s="624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625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637"/>
      <c r="J93" s="639"/>
      <c r="K93" s="637"/>
      <c r="L93" s="637"/>
      <c r="M93" s="625"/>
      <c r="N93" s="625"/>
      <c r="O93" s="625"/>
      <c r="P93" s="625"/>
      <c r="Q93" s="139" t="s">
        <v>395</v>
      </c>
      <c r="R93" s="276">
        <v>770000</v>
      </c>
      <c r="S93" s="247">
        <v>1000000000</v>
      </c>
      <c r="T93" s="625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637"/>
      <c r="J94" s="639"/>
      <c r="K94" s="637"/>
      <c r="L94" s="637"/>
      <c r="M94" s="625"/>
      <c r="N94" s="625"/>
      <c r="O94" s="625"/>
      <c r="P94" s="625"/>
      <c r="Q94" s="139" t="s">
        <v>400</v>
      </c>
      <c r="R94" s="276">
        <v>1100000</v>
      </c>
      <c r="S94" s="247">
        <v>1500000000</v>
      </c>
      <c r="T94" s="625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637"/>
      <c r="J95" s="639"/>
      <c r="K95" s="637"/>
      <c r="L95" s="637"/>
      <c r="M95" s="625"/>
      <c r="N95" s="625"/>
      <c r="O95" s="625"/>
      <c r="P95" s="625"/>
      <c r="Q95" s="139" t="s">
        <v>394</v>
      </c>
      <c r="R95" s="276">
        <v>1100000</v>
      </c>
      <c r="S95" s="247">
        <v>1955000000</v>
      </c>
      <c r="T95" s="626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637"/>
      <c r="J96" s="639"/>
      <c r="K96" s="637"/>
      <c r="L96" s="637"/>
      <c r="M96" s="625"/>
      <c r="N96" s="625"/>
      <c r="O96" s="625"/>
      <c r="P96" s="625"/>
      <c r="Q96" s="139" t="s">
        <v>55</v>
      </c>
      <c r="R96" s="276">
        <v>1100000</v>
      </c>
      <c r="S96" s="247">
        <v>2245072000</v>
      </c>
      <c r="T96" s="624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632"/>
      <c r="J97" s="634"/>
      <c r="K97" s="632"/>
      <c r="L97" s="632"/>
      <c r="M97" s="626"/>
      <c r="N97" s="626"/>
      <c r="O97" s="626"/>
      <c r="P97" s="626"/>
      <c r="Q97" s="139" t="s">
        <v>56</v>
      </c>
      <c r="R97" s="276">
        <v>1100000</v>
      </c>
      <c r="S97" s="247">
        <v>1998400000</v>
      </c>
      <c r="T97" s="626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636">
        <f>SUM(H98:H101)</f>
        <v>277622.8</v>
      </c>
      <c r="J98" s="638">
        <v>42779</v>
      </c>
      <c r="K98" s="636">
        <f>I98-L98</f>
        <v>12</v>
      </c>
      <c r="L98" s="636">
        <v>277610.8</v>
      </c>
      <c r="M98" s="624">
        <v>22520</v>
      </c>
      <c r="N98" s="624">
        <f>L98*M98</f>
        <v>6251795216</v>
      </c>
      <c r="O98" s="624">
        <v>2899200</v>
      </c>
      <c r="P98" s="624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624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637"/>
      <c r="J99" s="639"/>
      <c r="K99" s="637"/>
      <c r="L99" s="637"/>
      <c r="M99" s="625"/>
      <c r="N99" s="625"/>
      <c r="O99" s="625"/>
      <c r="P99" s="625"/>
      <c r="Q99" s="253" t="s">
        <v>395</v>
      </c>
      <c r="R99" s="254">
        <v>1367145</v>
      </c>
      <c r="S99" s="255">
        <v>1519050000</v>
      </c>
      <c r="T99" s="625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637"/>
      <c r="J100" s="639"/>
      <c r="K100" s="637"/>
      <c r="L100" s="637"/>
      <c r="M100" s="625"/>
      <c r="N100" s="625"/>
      <c r="O100" s="625"/>
      <c r="P100" s="625"/>
      <c r="Q100" s="253" t="s">
        <v>396</v>
      </c>
      <c r="R100" s="254">
        <v>1360476</v>
      </c>
      <c r="S100" s="255">
        <v>1511640000</v>
      </c>
      <c r="T100" s="625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632"/>
      <c r="J101" s="634"/>
      <c r="K101" s="632"/>
      <c r="L101" s="632"/>
      <c r="M101" s="626"/>
      <c r="N101" s="626"/>
      <c r="O101" s="626"/>
      <c r="P101" s="626"/>
      <c r="Q101" s="253" t="s">
        <v>397</v>
      </c>
      <c r="R101" s="254">
        <v>1348542</v>
      </c>
      <c r="S101" s="255">
        <v>1498380000</v>
      </c>
      <c r="T101" s="626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640" t="s">
        <v>19</v>
      </c>
      <c r="B103" s="641"/>
      <c r="C103" s="641"/>
      <c r="D103" s="641"/>
      <c r="E103" s="642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627"/>
      <c r="O104" s="627"/>
      <c r="P104" s="627"/>
      <c r="Q104" s="259"/>
      <c r="R104" s="259"/>
      <c r="S104" s="259"/>
      <c r="T104" s="629"/>
      <c r="U104" s="629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</mergeCells>
  <pageMargins left="0.16" right="0.16" top="0.11" bottom="0.16" header="0.3" footer="0.16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G1" sqref="G1:G1048576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86" customFormat="1" ht="30" customHeight="1">
      <c r="B1" s="587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86" customFormat="1" ht="30" customHeight="1">
      <c r="B18" s="587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6" sqref="F16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0.7109375" style="150" customWidth="1"/>
    <col min="7" max="8" width="19.5703125" style="150" customWidth="1"/>
    <col min="9" max="16384" width="9.140625" style="150"/>
  </cols>
  <sheetData>
    <row r="1" spans="1:8" ht="29.25" customHeight="1">
      <c r="A1" s="613" t="s">
        <v>973</v>
      </c>
      <c r="E1" s="613" t="s">
        <v>970</v>
      </c>
    </row>
    <row r="2" spans="1:8" ht="10.5" customHeight="1"/>
    <row r="3" spans="1:8" s="605" customFormat="1" ht="38.25" customHeight="1">
      <c r="A3" s="607" t="s">
        <v>0</v>
      </c>
      <c r="B3" s="607" t="s">
        <v>103</v>
      </c>
      <c r="C3" s="607" t="s">
        <v>971</v>
      </c>
      <c r="E3" s="607" t="s">
        <v>0</v>
      </c>
      <c r="F3" s="610" t="s">
        <v>103</v>
      </c>
      <c r="G3" s="607" t="s">
        <v>992</v>
      </c>
      <c r="H3" s="607" t="s">
        <v>993</v>
      </c>
    </row>
    <row r="4" spans="1:8" ht="20.25" customHeight="1">
      <c r="A4" s="609">
        <v>1</v>
      </c>
      <c r="B4" s="614" t="s">
        <v>972</v>
      </c>
      <c r="C4" s="612">
        <v>94776220</v>
      </c>
      <c r="E4" s="609">
        <v>1</v>
      </c>
      <c r="F4" s="616" t="s">
        <v>980</v>
      </c>
      <c r="G4" s="612">
        <f>27813610+31670430</f>
        <v>59484040</v>
      </c>
      <c r="H4" s="612"/>
    </row>
    <row r="5" spans="1:8" ht="20.25" customHeight="1">
      <c r="A5" s="243">
        <v>2</v>
      </c>
      <c r="B5" s="147" t="s">
        <v>974</v>
      </c>
      <c r="C5" s="606">
        <v>200000000</v>
      </c>
      <c r="E5" s="243">
        <v>2</v>
      </c>
      <c r="F5" s="617" t="s">
        <v>994</v>
      </c>
      <c r="G5" s="606">
        <v>70000000</v>
      </c>
      <c r="H5" s="606"/>
    </row>
    <row r="6" spans="1:8" ht="20.25" customHeight="1">
      <c r="A6" s="243">
        <v>3</v>
      </c>
      <c r="B6" s="147" t="s">
        <v>975</v>
      </c>
      <c r="C6" s="606">
        <v>200000000</v>
      </c>
      <c r="E6" s="243">
        <v>3</v>
      </c>
      <c r="F6" s="618" t="s">
        <v>983</v>
      </c>
      <c r="G6" s="606">
        <v>18810000</v>
      </c>
      <c r="H6" s="606"/>
    </row>
    <row r="7" spans="1:8" ht="20.25" customHeight="1">
      <c r="A7" s="243">
        <v>4</v>
      </c>
      <c r="B7" s="147" t="s">
        <v>976</v>
      </c>
      <c r="C7" s="606">
        <v>49600000</v>
      </c>
      <c r="E7" s="243">
        <v>4</v>
      </c>
      <c r="F7" s="619" t="s">
        <v>984</v>
      </c>
      <c r="G7" s="606"/>
      <c r="H7" s="606">
        <v>130459664</v>
      </c>
    </row>
    <row r="8" spans="1:8" ht="20.25" customHeight="1">
      <c r="A8" s="243">
        <v>5</v>
      </c>
      <c r="B8" s="147" t="s">
        <v>977</v>
      </c>
      <c r="C8" s="606">
        <v>26576000</v>
      </c>
      <c r="E8" s="243">
        <v>5</v>
      </c>
      <c r="F8" s="620" t="s">
        <v>985</v>
      </c>
      <c r="G8" s="606"/>
      <c r="H8" s="606">
        <v>109355400</v>
      </c>
    </row>
    <row r="9" spans="1:8" ht="20.25" customHeight="1">
      <c r="A9" s="243">
        <v>6</v>
      </c>
      <c r="B9" s="147" t="s">
        <v>807</v>
      </c>
      <c r="C9" s="606">
        <v>23500000</v>
      </c>
      <c r="E9" s="243">
        <v>6</v>
      </c>
      <c r="F9" s="621" t="s">
        <v>986</v>
      </c>
      <c r="G9" s="606"/>
      <c r="H9" s="606">
        <v>1702808424</v>
      </c>
    </row>
    <row r="10" spans="1:8" ht="20.25" customHeight="1">
      <c r="A10" s="243">
        <v>7</v>
      </c>
      <c r="B10" s="147" t="s">
        <v>978</v>
      </c>
      <c r="C10" s="606">
        <v>70840000</v>
      </c>
      <c r="E10" s="243">
        <v>7</v>
      </c>
      <c r="F10" s="618" t="s">
        <v>981</v>
      </c>
      <c r="G10" s="606"/>
      <c r="H10" s="606">
        <v>88519868</v>
      </c>
    </row>
    <row r="11" spans="1:8" ht="20.25" customHeight="1">
      <c r="A11" s="243">
        <v>8</v>
      </c>
      <c r="B11" s="147" t="s">
        <v>979</v>
      </c>
      <c r="C11" s="606">
        <v>180000000</v>
      </c>
      <c r="E11" s="243">
        <v>8</v>
      </c>
      <c r="F11" s="618" t="s">
        <v>982</v>
      </c>
      <c r="G11" s="606"/>
      <c r="H11" s="606">
        <v>42439320</v>
      </c>
    </row>
    <row r="12" spans="1:8" ht="20.25" customHeight="1">
      <c r="A12" s="243"/>
      <c r="B12" s="147"/>
      <c r="C12" s="606"/>
      <c r="E12" s="243">
        <v>9</v>
      </c>
      <c r="F12" s="618" t="s">
        <v>987</v>
      </c>
      <c r="G12" s="606"/>
      <c r="H12" s="606">
        <v>35250000</v>
      </c>
    </row>
    <row r="13" spans="1:8" ht="20.25" customHeight="1">
      <c r="A13" s="148"/>
      <c r="B13" s="149"/>
      <c r="C13" s="603"/>
      <c r="E13" s="243">
        <v>10</v>
      </c>
      <c r="F13" s="622" t="s">
        <v>988</v>
      </c>
      <c r="G13" s="603">
        <v>25151700</v>
      </c>
      <c r="H13" s="603"/>
    </row>
    <row r="14" spans="1:8" ht="20.25" customHeight="1">
      <c r="A14" s="368"/>
      <c r="B14" s="368"/>
      <c r="C14" s="361"/>
      <c r="E14" s="243">
        <v>11</v>
      </c>
      <c r="F14" s="622" t="s">
        <v>989</v>
      </c>
      <c r="G14" s="603">
        <v>500000000</v>
      </c>
      <c r="H14" s="603"/>
    </row>
    <row r="15" spans="1:8" ht="20.25" customHeight="1">
      <c r="A15" s="723" t="s">
        <v>27</v>
      </c>
      <c r="B15" s="724"/>
      <c r="C15" s="615">
        <f>SUM(C4:C14)</f>
        <v>845292220</v>
      </c>
      <c r="E15" s="243">
        <v>12</v>
      </c>
      <c r="F15" s="622" t="s">
        <v>990</v>
      </c>
      <c r="G15" s="603">
        <v>35285000</v>
      </c>
      <c r="H15" s="603"/>
    </row>
    <row r="16" spans="1:8" ht="20.25" customHeight="1">
      <c r="E16" s="243">
        <v>13</v>
      </c>
      <c r="F16" s="622" t="s">
        <v>991</v>
      </c>
      <c r="G16" s="603">
        <v>100000000</v>
      </c>
      <c r="H16" s="603"/>
    </row>
    <row r="17" spans="1:8" ht="20.25" customHeight="1">
      <c r="E17" s="368"/>
      <c r="F17" s="611"/>
      <c r="G17" s="361"/>
      <c r="H17" s="361"/>
    </row>
    <row r="18" spans="1:8" s="605" customFormat="1" ht="20.25" customHeight="1">
      <c r="A18" s="150"/>
      <c r="B18" s="623">
        <f>C15+G18</f>
        <v>1654022960</v>
      </c>
      <c r="C18" s="150"/>
      <c r="E18" s="723" t="s">
        <v>27</v>
      </c>
      <c r="F18" s="724"/>
      <c r="G18" s="615">
        <f>SUM(G4:G17)</f>
        <v>808730740</v>
      </c>
      <c r="H18" s="615">
        <f>SUM(H4:H17)</f>
        <v>2108832676</v>
      </c>
    </row>
  </sheetData>
  <mergeCells count="2">
    <mergeCell ref="A15:B15"/>
    <mergeCell ref="E18:F18"/>
  </mergeCells>
  <pageMargins left="0.28999999999999998" right="0.1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663" t="s">
        <v>77</v>
      </c>
      <c r="B1" s="663"/>
      <c r="C1" s="663"/>
      <c r="D1" s="663"/>
      <c r="E1" s="663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663" t="s">
        <v>97</v>
      </c>
      <c r="B21" s="663"/>
      <c r="C21" s="663"/>
      <c r="D21" s="663"/>
      <c r="E21" s="663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663" t="s">
        <v>78</v>
      </c>
      <c r="B32" s="663"/>
      <c r="C32" s="663"/>
      <c r="D32" s="663"/>
      <c r="E32" s="663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663" t="s">
        <v>109</v>
      </c>
      <c r="B55" s="663"/>
      <c r="C55" s="663"/>
      <c r="D55" s="663"/>
      <c r="E55" s="663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664" t="s">
        <v>21</v>
      </c>
      <c r="C77" s="664"/>
      <c r="D77" s="664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665" t="s">
        <v>113</v>
      </c>
      <c r="C78" s="665"/>
      <c r="D78" s="665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666" t="s">
        <v>114</v>
      </c>
      <c r="C79" s="666"/>
      <c r="D79" s="666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666" t="s">
        <v>115</v>
      </c>
      <c r="C80" s="666"/>
      <c r="D80" s="666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666" t="s">
        <v>116</v>
      </c>
      <c r="C81" s="666"/>
      <c r="D81" s="666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667"/>
      <c r="C82" s="667"/>
      <c r="D82" s="667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668" t="s">
        <v>57</v>
      </c>
      <c r="C83" s="668"/>
      <c r="D83" s="668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649" t="s">
        <v>117</v>
      </c>
      <c r="G85" s="650"/>
      <c r="H85" s="651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646"/>
      <c r="G86" s="647"/>
      <c r="H86" s="648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646">
        <f>I87*0.033%</f>
        <v>688392.54</v>
      </c>
      <c r="G87" s="647"/>
      <c r="H87" s="648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646">
        <f>I84*0.033%</f>
        <v>176854.25586180002</v>
      </c>
      <c r="G88" s="647"/>
      <c r="H88" s="648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659"/>
      <c r="G89" s="660"/>
      <c r="H89" s="661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643">
        <f>SUM(F86:H89)</f>
        <v>865246.79586180008</v>
      </c>
      <c r="G90" s="644"/>
      <c r="H90" s="645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649" t="s">
        <v>117</v>
      </c>
      <c r="G92" s="650"/>
      <c r="H92" s="651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656"/>
      <c r="G93" s="657"/>
      <c r="H93" s="658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646">
        <v>1791144</v>
      </c>
      <c r="G94" s="647"/>
      <c r="H94" s="648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646"/>
      <c r="G95" s="647"/>
      <c r="H95" s="648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646">
        <v>357930</v>
      </c>
      <c r="G96" s="647"/>
      <c r="H96" s="648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646">
        <v>480480</v>
      </c>
      <c r="G97" s="647"/>
      <c r="H97" s="648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646">
        <v>231033</v>
      </c>
      <c r="G98" s="647"/>
      <c r="H98" s="648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659"/>
      <c r="G99" s="660"/>
      <c r="H99" s="661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643">
        <f>SUM(F93:H99)</f>
        <v>2860587</v>
      </c>
      <c r="G100" s="644"/>
      <c r="H100" s="645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663" t="s">
        <v>147</v>
      </c>
      <c r="B105" s="663"/>
      <c r="C105" s="663"/>
      <c r="D105" s="663"/>
      <c r="E105" s="663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649" t="s">
        <v>117</v>
      </c>
      <c r="G128" s="650"/>
      <c r="H128" s="651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646"/>
      <c r="G129" s="647"/>
      <c r="H129" s="648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646">
        <f>F94*2</f>
        <v>3582288</v>
      </c>
      <c r="G130" s="647"/>
      <c r="H130" s="648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646">
        <v>-1791144</v>
      </c>
      <c r="G131" s="647"/>
      <c r="H131" s="648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646">
        <f>ROUND(I132*0.033%,0)</f>
        <v>1450020</v>
      </c>
      <c r="G132" s="647"/>
      <c r="H132" s="648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646">
        <f>ROUND(I133*0.033%,0)</f>
        <v>133243</v>
      </c>
      <c r="G133" s="647"/>
      <c r="H133" s="648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646">
        <f t="shared" ref="F134" si="44">ROUND(I134*0.033%,0)</f>
        <v>142501</v>
      </c>
      <c r="G134" s="647"/>
      <c r="H134" s="648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646">
        <v>298421</v>
      </c>
      <c r="G135" s="647"/>
      <c r="H135" s="648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659"/>
      <c r="G136" s="660"/>
      <c r="H136" s="661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643">
        <f>SUM(F129:H136)</f>
        <v>3815329</v>
      </c>
      <c r="G137" s="644"/>
      <c r="H137" s="645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649" t="s">
        <v>117</v>
      </c>
      <c r="G139" s="650"/>
      <c r="H139" s="651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646"/>
      <c r="G140" s="647"/>
      <c r="H140" s="648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646">
        <v>1819968</v>
      </c>
      <c r="G141" s="647"/>
      <c r="H141" s="648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646">
        <f>ROUND(I142*0.033%,0)</f>
        <v>475585</v>
      </c>
      <c r="G142" s="647"/>
      <c r="H142" s="648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646">
        <f>ROUND(I143*0.033%,0)</f>
        <v>178679</v>
      </c>
      <c r="G143" s="647"/>
      <c r="H143" s="648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646">
        <f t="shared" ref="F144" si="46">ROUND(I144*0.033%,0)</f>
        <v>351889</v>
      </c>
      <c r="G144" s="647"/>
      <c r="H144" s="648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646">
        <v>81592</v>
      </c>
      <c r="G145" s="647"/>
      <c r="H145" s="648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659"/>
      <c r="G146" s="660"/>
      <c r="H146" s="661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643">
        <f>SUM(F140:H146)</f>
        <v>2907713</v>
      </c>
      <c r="G147" s="644"/>
      <c r="H147" s="645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663" t="s">
        <v>190</v>
      </c>
      <c r="B150" s="663"/>
      <c r="C150" s="663"/>
      <c r="D150" s="663"/>
      <c r="E150" s="663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649" t="s">
        <v>117</v>
      </c>
      <c r="G177" s="650"/>
      <c r="H177" s="651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646"/>
      <c r="G178" s="647"/>
      <c r="H178" s="648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646">
        <v>1825573</v>
      </c>
      <c r="G179" s="647"/>
      <c r="H179" s="648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646">
        <f>ROUND(I180*0.033%,0)</f>
        <v>497640</v>
      </c>
      <c r="G180" s="647"/>
      <c r="H180" s="648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646">
        <f>ROUND(I181*0.033%,0)</f>
        <v>552453</v>
      </c>
      <c r="G181" s="647"/>
      <c r="H181" s="648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646"/>
      <c r="G182" s="647"/>
      <c r="H182" s="648"/>
      <c r="I182" s="63"/>
    </row>
    <row r="183" spans="1:14" ht="6" customHeight="1">
      <c r="A183" s="112"/>
      <c r="B183" s="115"/>
      <c r="C183" s="116"/>
      <c r="D183" s="113"/>
      <c r="E183" s="113"/>
      <c r="F183" s="659"/>
      <c r="G183" s="660"/>
      <c r="H183" s="661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643">
        <f>SUM(F178:H183)</f>
        <v>2875666</v>
      </c>
      <c r="G184" s="644"/>
      <c r="H184" s="645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649" t="s">
        <v>117</v>
      </c>
      <c r="G188" s="650"/>
      <c r="H188" s="651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646"/>
      <c r="G189" s="647"/>
      <c r="H189" s="648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646"/>
      <c r="G190" s="647"/>
      <c r="H190" s="648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646">
        <f>1825573*2</f>
        <v>3651146</v>
      </c>
      <c r="G191" s="647"/>
      <c r="H191" s="648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646">
        <f>ROUND(I194*0.033%,0)</f>
        <v>963198</v>
      </c>
      <c r="G194" s="647"/>
      <c r="H194" s="648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646">
        <f>ROUND(I195*0.033%,0)</f>
        <v>602224</v>
      </c>
      <c r="G195" s="647"/>
      <c r="H195" s="648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646">
        <f>ROUND(I196*0.033%,0)</f>
        <v>182381</v>
      </c>
      <c r="G196" s="647"/>
      <c r="H196" s="648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646">
        <v>224782.55613005161</v>
      </c>
      <c r="G197" s="647"/>
      <c r="H197" s="648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659"/>
      <c r="G198" s="660"/>
      <c r="H198" s="661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643">
        <f>SUM(F189:H198)</f>
        <v>5623731.5561300516</v>
      </c>
      <c r="G199" s="644"/>
      <c r="H199" s="645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663" t="s">
        <v>198</v>
      </c>
      <c r="B205" s="663"/>
      <c r="C205" s="663"/>
      <c r="D205" s="663"/>
      <c r="E205" s="663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649" t="s">
        <v>117</v>
      </c>
      <c r="G226" s="650"/>
      <c r="H226" s="651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646"/>
      <c r="G227" s="647"/>
      <c r="H227" s="648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646">
        <f>1825573*2</f>
        <v>3651146</v>
      </c>
      <c r="G228" s="647"/>
      <c r="H228" s="648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646">
        <f>ROUND(I230*0.033%,0)</f>
        <v>476190</v>
      </c>
      <c r="G230" s="647"/>
      <c r="H230" s="648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646">
        <f>ROUND(I231*0.033%,0)</f>
        <v>321557</v>
      </c>
      <c r="G231" s="647"/>
      <c r="H231" s="648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646">
        <f>ROUND(I232*0.033%,0)</f>
        <v>155513</v>
      </c>
      <c r="G232" s="647"/>
      <c r="H232" s="648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646">
        <f>ROUND(I233*0.033%,0)</f>
        <v>97190</v>
      </c>
      <c r="G233" s="647"/>
      <c r="H233" s="648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646">
        <f>ROUND(I234*0.033%,0)</f>
        <v>897991</v>
      </c>
      <c r="G234" s="647"/>
      <c r="H234" s="648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659"/>
      <c r="G235" s="660"/>
      <c r="H235" s="661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643">
        <f>SUM(F227:H235)</f>
        <v>5599587</v>
      </c>
      <c r="G236" s="644"/>
      <c r="H236" s="645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663" t="s">
        <v>277</v>
      </c>
      <c r="B240" s="663"/>
      <c r="C240" s="663"/>
      <c r="D240" s="663"/>
      <c r="E240" s="663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649" t="s">
        <v>117</v>
      </c>
      <c r="G262" s="650"/>
      <c r="H262" s="651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646"/>
      <c r="G263" s="647"/>
      <c r="H263" s="648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646"/>
      <c r="G264" s="647"/>
      <c r="H264" s="648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646">
        <f>ROUND(I265*0.055%,0)</f>
        <v>577777</v>
      </c>
      <c r="G265" s="647"/>
      <c r="H265" s="648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646">
        <f>ROUND(I266*0.033%,0)</f>
        <v>158498</v>
      </c>
      <c r="G266" s="647"/>
      <c r="H266" s="648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646">
        <f>ROUND(I267*0.033%,0)</f>
        <v>221450</v>
      </c>
      <c r="G267" s="647"/>
      <c r="H267" s="648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646">
        <f>ROUND(I268*0.033%,0)</f>
        <v>701499</v>
      </c>
      <c r="G268" s="647"/>
      <c r="H268" s="648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646">
        <f>ROUND(I269*0.033%,0)</f>
        <v>141021</v>
      </c>
      <c r="G269" s="647"/>
      <c r="H269" s="648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646">
        <f>ROUND(I270*0.033%,0)</f>
        <v>412914</v>
      </c>
      <c r="G270" s="647"/>
      <c r="H270" s="648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659"/>
      <c r="G271" s="660"/>
      <c r="H271" s="661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643">
        <f>SUM(F263:H271)</f>
        <v>2213159</v>
      </c>
      <c r="G272" s="644"/>
      <c r="H272" s="645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649" t="s">
        <v>117</v>
      </c>
      <c r="G274" s="650"/>
      <c r="H274" s="651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646"/>
      <c r="G275" s="647"/>
      <c r="H275" s="648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646">
        <f>ROUND(I276*0.055%,0)</f>
        <v>812812</v>
      </c>
      <c r="G276" s="647"/>
      <c r="H276" s="648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646">
        <f>ROUND(I277*0.055%,0)</f>
        <v>482346</v>
      </c>
      <c r="G277" s="647"/>
      <c r="H277" s="648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646">
        <f>ROUND(I278*0.033%,0)</f>
        <v>984083</v>
      </c>
      <c r="G278" s="647"/>
      <c r="H278" s="648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646">
        <f>ROUND(I279*0.033%,0)</f>
        <v>343695</v>
      </c>
      <c r="G279" s="647"/>
      <c r="H279" s="648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659"/>
      <c r="G280" s="660"/>
      <c r="H280" s="661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643">
        <f>SUM(F275:H280)</f>
        <v>2622936</v>
      </c>
      <c r="G281" s="644"/>
      <c r="H281" s="645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663" t="s">
        <v>316</v>
      </c>
      <c r="B288" s="663"/>
      <c r="C288" s="663"/>
      <c r="D288" s="663"/>
      <c r="E288" s="663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649" t="s">
        <v>117</v>
      </c>
      <c r="G316" s="650"/>
      <c r="H316" s="651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653"/>
      <c r="G317" s="654"/>
      <c r="H317" s="655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656"/>
      <c r="G318" s="657"/>
      <c r="H318" s="658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646">
        <f>ROUND(I319*0.055%,0)</f>
        <v>120120</v>
      </c>
      <c r="G319" s="647"/>
      <c r="H319" s="648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646">
        <f>ROUND(I320*0.055%,0)</f>
        <v>15246</v>
      </c>
      <c r="G320" s="647"/>
      <c r="H320" s="648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646">
        <f>ROUND(I321*0.055%,0)</f>
        <v>647657</v>
      </c>
      <c r="G321" s="647"/>
      <c r="H321" s="648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646">
        <f>ROUND(I322*0.055%,0)</f>
        <v>2403113</v>
      </c>
      <c r="G322" s="647"/>
      <c r="H322" s="648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643">
        <f>SUM(F317:H323)</f>
        <v>3186136</v>
      </c>
      <c r="G324" s="644"/>
      <c r="H324" s="645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663" t="s">
        <v>326</v>
      </c>
      <c r="B328" s="663"/>
      <c r="C328" s="663"/>
      <c r="D328" s="663"/>
      <c r="E328" s="663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649" t="s">
        <v>117</v>
      </c>
      <c r="G345" s="650"/>
      <c r="H345" s="651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646">
        <f>1825573*2</f>
        <v>3651146</v>
      </c>
      <c r="G347" s="647"/>
      <c r="H347" s="648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646"/>
      <c r="G348" s="647"/>
      <c r="H348" s="648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646">
        <f>ROUND(I349*0.055%,0)</f>
        <v>820069</v>
      </c>
      <c r="G349" s="647"/>
      <c r="H349" s="648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646">
        <f>ROUND(I350*0.055%,0)</f>
        <v>2786095</v>
      </c>
      <c r="G350" s="647"/>
      <c r="H350" s="648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643">
        <f>SUM(F346:H351)</f>
        <v>7257310</v>
      </c>
      <c r="G352" s="644"/>
      <c r="H352" s="645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662"/>
      <c r="B358" s="662"/>
      <c r="C358" s="662"/>
      <c r="D358" s="662"/>
      <c r="E358" s="662"/>
      <c r="F358" s="87"/>
      <c r="G358" s="652" t="s">
        <v>377</v>
      </c>
      <c r="H358" s="652"/>
      <c r="I358" s="652"/>
      <c r="J358" s="652"/>
      <c r="K358" s="652"/>
      <c r="L358" s="652"/>
      <c r="M358" s="652"/>
      <c r="N358" s="652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649" t="s">
        <v>117</v>
      </c>
      <c r="G400" s="650"/>
      <c r="H400" s="651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646">
        <f>1825573</f>
        <v>1825573</v>
      </c>
      <c r="G402" s="647"/>
      <c r="H402" s="648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646"/>
      <c r="G403" s="647"/>
      <c r="H403" s="648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646"/>
      <c r="G404" s="647"/>
      <c r="H404" s="648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646">
        <f>ROUND(I405*0.09%,0)</f>
        <v>296150</v>
      </c>
      <c r="G405" s="647"/>
      <c r="H405" s="648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646">
        <f>ROUND(I406*0.09%,0)</f>
        <v>2422361</v>
      </c>
      <c r="G406" s="647"/>
      <c r="H406" s="648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643">
        <f>SUM(F401:H407)</f>
        <v>4544084</v>
      </c>
      <c r="G408" s="644"/>
      <c r="H408" s="645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649" t="s">
        <v>117</v>
      </c>
      <c r="G412" s="650"/>
      <c r="H412" s="651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646">
        <f>1825573*2</f>
        <v>3651146</v>
      </c>
      <c r="G414" s="647"/>
      <c r="H414" s="648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646">
        <v>1842100</v>
      </c>
      <c r="G415" s="647"/>
      <c r="H415" s="648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646">
        <f t="shared" ref="F416:F417" si="122">ROUND(I416*0.09%,0)</f>
        <v>889727</v>
      </c>
      <c r="G416" s="647"/>
      <c r="H416" s="648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646">
        <f t="shared" si="122"/>
        <v>851458</v>
      </c>
      <c r="G417" s="647"/>
      <c r="H417" s="648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646">
        <f>ROUND(I418*0.09%,0)</f>
        <v>4198989</v>
      </c>
      <c r="G418" s="647"/>
      <c r="H418" s="648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643">
        <f>SUM(F413:H419)</f>
        <v>11433420</v>
      </c>
      <c r="G420" s="644"/>
      <c r="H420" s="645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649" t="s">
        <v>117</v>
      </c>
      <c r="G423" s="650"/>
      <c r="H423" s="651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646">
        <v>1861474</v>
      </c>
      <c r="G425" s="647"/>
      <c r="H425" s="648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646">
        <f>ROUND(I426*0.07%,0)</f>
        <v>1175650</v>
      </c>
      <c r="G426" s="647"/>
      <c r="H426" s="648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646">
        <f>ROUND(I427*0.07%,0)</f>
        <v>1175650</v>
      </c>
      <c r="G427" s="647"/>
      <c r="H427" s="648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643">
        <f>SUM(F424:H428)</f>
        <v>4212774</v>
      </c>
      <c r="G429" s="644"/>
      <c r="H429" s="645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649" t="s">
        <v>117</v>
      </c>
      <c r="G433" s="650"/>
      <c r="H433" s="651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646">
        <v>2899200</v>
      </c>
      <c r="G435" s="647"/>
      <c r="H435" s="648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646">
        <f>ROUND(I436*0.09%,0)</f>
        <v>1339135</v>
      </c>
      <c r="G436" s="647"/>
      <c r="H436" s="648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646">
        <f t="shared" ref="F437:F439" si="123">ROUND(I437*0.09%,0)</f>
        <v>1367145</v>
      </c>
      <c r="G437" s="647"/>
      <c r="H437" s="648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646">
        <f t="shared" si="123"/>
        <v>1360476</v>
      </c>
      <c r="G438" s="647"/>
      <c r="H438" s="648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646">
        <f t="shared" si="123"/>
        <v>1348542</v>
      </c>
      <c r="G439" s="647"/>
      <c r="H439" s="648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646">
        <f>ROUND(I440*0.06%,0)</f>
        <v>0</v>
      </c>
      <c r="G440" s="647"/>
      <c r="H440" s="648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643">
        <f>SUM(F434:H441)</f>
        <v>8314498</v>
      </c>
      <c r="G442" s="644"/>
      <c r="H442" s="645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649" t="s">
        <v>117</v>
      </c>
      <c r="G446" s="650"/>
      <c r="H446" s="651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646">
        <v>3250000</v>
      </c>
      <c r="G448" s="647"/>
      <c r="H448" s="648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646"/>
      <c r="G449" s="647"/>
      <c r="H449" s="648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646"/>
      <c r="G450" s="647"/>
      <c r="H450" s="648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646">
        <v>1100000</v>
      </c>
      <c r="G451" s="647"/>
      <c r="H451" s="648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646">
        <v>1100000</v>
      </c>
      <c r="G452" s="647"/>
      <c r="H452" s="648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646">
        <v>1100000</v>
      </c>
      <c r="G453" s="647"/>
      <c r="H453" s="648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646">
        <v>1100000</v>
      </c>
      <c r="G454" s="647"/>
      <c r="H454" s="648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646">
        <v>1100000</v>
      </c>
      <c r="G455" s="647"/>
      <c r="H455" s="648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646">
        <v>1100000</v>
      </c>
      <c r="G456" s="647"/>
      <c r="H456" s="648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646">
        <f t="shared" ref="F457" si="124">ROUND(I457*0.06%,0)</f>
        <v>0</v>
      </c>
      <c r="G457" s="647"/>
      <c r="H457" s="648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643">
        <f>SUM(F447:H458)</f>
        <v>9850000</v>
      </c>
      <c r="G459" s="644"/>
      <c r="H459" s="645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649" t="s">
        <v>117</v>
      </c>
      <c r="G463" s="650"/>
      <c r="H463" s="651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646"/>
      <c r="G465" s="647"/>
      <c r="H465" s="648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646">
        <v>1100000</v>
      </c>
      <c r="G466" s="647"/>
      <c r="H466" s="648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646">
        <v>1100000</v>
      </c>
      <c r="G467" s="647"/>
      <c r="H467" s="648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646">
        <v>1100000</v>
      </c>
      <c r="G468" s="647"/>
      <c r="H468" s="648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646">
        <v>1100000</v>
      </c>
      <c r="G469" s="647"/>
      <c r="H469" s="648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646">
        <v>1100000</v>
      </c>
      <c r="G470" s="647"/>
      <c r="H470" s="648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646">
        <v>1100000</v>
      </c>
      <c r="G471" s="647"/>
      <c r="H471" s="648"/>
      <c r="I471" s="63">
        <v>2251300000</v>
      </c>
    </row>
    <row r="472" spans="1:11">
      <c r="A472" s="60"/>
      <c r="B472" s="220"/>
      <c r="C472" s="221"/>
      <c r="D472" s="113"/>
      <c r="E472" s="113"/>
      <c r="F472" s="646">
        <f t="shared" ref="F472" si="125">ROUND(I472*0.06%,0)</f>
        <v>0</v>
      </c>
      <c r="G472" s="647"/>
      <c r="H472" s="648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643">
        <f>SUM(F464:H473)</f>
        <v>6600000</v>
      </c>
      <c r="G474" s="644"/>
      <c r="H474" s="645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649" t="s">
        <v>117</v>
      </c>
      <c r="G478" s="650"/>
      <c r="H478" s="651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646">
        <v>2514600</v>
      </c>
      <c r="G480" s="647"/>
      <c r="H480" s="648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646"/>
      <c r="G481" s="647"/>
      <c r="H481" s="648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646">
        <v>1100000</v>
      </c>
      <c r="G482" s="647"/>
      <c r="H482" s="648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646">
        <v>550000</v>
      </c>
      <c r="G483" s="647"/>
      <c r="H483" s="648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646">
        <v>825000</v>
      </c>
      <c r="G484" s="647"/>
      <c r="H484" s="648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646">
        <v>1100000</v>
      </c>
      <c r="G485" s="647"/>
      <c r="H485" s="648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646">
        <v>324500</v>
      </c>
      <c r="G486" s="647"/>
      <c r="H486" s="648"/>
      <c r="I486" s="63">
        <v>590000000</v>
      </c>
    </row>
    <row r="487" spans="1:11">
      <c r="A487" s="60"/>
      <c r="B487" s="220"/>
      <c r="C487" s="221"/>
      <c r="D487" s="113"/>
      <c r="E487" s="113"/>
      <c r="F487" s="646">
        <f t="shared" ref="F487" si="126">ROUND(I487*0.06%,0)</f>
        <v>0</v>
      </c>
      <c r="G487" s="647"/>
      <c r="H487" s="648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643">
        <f>SUM(F479:H488)</f>
        <v>6414100</v>
      </c>
      <c r="G489" s="644"/>
      <c r="H489" s="645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649" t="s">
        <v>117</v>
      </c>
      <c r="G493" s="650"/>
      <c r="H493" s="651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646">
        <v>2514600</v>
      </c>
      <c r="G495" s="647"/>
      <c r="H495" s="648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646"/>
      <c r="G496" s="647"/>
      <c r="H496" s="648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646">
        <f>ROUND(IF(I498*0.07%&gt;1100000,1100000,I498*0.07%),0)</f>
        <v>1100000</v>
      </c>
      <c r="G498" s="647"/>
      <c r="H498" s="648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646">
        <v>770000</v>
      </c>
      <c r="G499" s="647"/>
      <c r="H499" s="648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646">
        <v>1100000</v>
      </c>
      <c r="G500" s="647"/>
      <c r="H500" s="648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646">
        <f t="shared" ref="F501:F503" si="127">ROUND(IF(I501*0.07%&gt;1100000,1100000,I501*0.07%),0)</f>
        <v>1100000</v>
      </c>
      <c r="G501" s="647"/>
      <c r="H501" s="648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646">
        <f t="shared" si="127"/>
        <v>1100000</v>
      </c>
      <c r="G502" s="647"/>
      <c r="H502" s="648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646">
        <f t="shared" si="127"/>
        <v>1100000</v>
      </c>
      <c r="G503" s="647"/>
      <c r="H503" s="648"/>
      <c r="I503" s="63">
        <v>1998400000</v>
      </c>
    </row>
    <row r="504" spans="1:11">
      <c r="A504" s="60"/>
      <c r="B504" s="220"/>
      <c r="C504" s="221"/>
      <c r="D504" s="113"/>
      <c r="E504" s="113"/>
      <c r="F504" s="646"/>
      <c r="G504" s="647"/>
      <c r="H504" s="648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643">
        <f>SUM(F494:H505)</f>
        <v>8784600</v>
      </c>
      <c r="G506" s="644"/>
      <c r="H506" s="645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</mergeCells>
  <pageMargins left="0.16" right="0.16" top="0.19" bottom="0.25" header="0" footer="0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A2" sqref="A2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663" t="s">
        <v>20</v>
      </c>
      <c r="B1" s="663"/>
      <c r="C1" s="663"/>
      <c r="D1" s="663"/>
      <c r="E1" s="663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669" t="s">
        <v>204</v>
      </c>
      <c r="B2" s="669"/>
      <c r="C2" s="669"/>
      <c r="D2" s="669"/>
      <c r="E2" s="669"/>
      <c r="F2" s="669"/>
      <c r="G2" s="669"/>
      <c r="H2" s="669"/>
      <c r="I2" s="669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670" t="s">
        <v>19</v>
      </c>
      <c r="B15" s="670"/>
      <c r="C15" s="670"/>
      <c r="D15" s="670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669" t="s">
        <v>257</v>
      </c>
      <c r="B22" s="669"/>
      <c r="C22" s="669"/>
      <c r="D22" s="669"/>
      <c r="E22" s="669"/>
      <c r="F22" s="669"/>
      <c r="G22" s="669"/>
      <c r="H22" s="669"/>
      <c r="I22" s="669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670" t="s">
        <v>19</v>
      </c>
      <c r="B36" s="670"/>
      <c r="C36" s="670"/>
      <c r="D36" s="670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669" t="s">
        <v>314</v>
      </c>
      <c r="B45" s="669"/>
      <c r="C45" s="669"/>
      <c r="D45" s="669"/>
      <c r="E45" s="669"/>
      <c r="F45" s="669"/>
      <c r="G45" s="669"/>
      <c r="H45" s="669"/>
      <c r="I45" s="669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670" t="s">
        <v>19</v>
      </c>
      <c r="B58" s="670"/>
      <c r="C58" s="670"/>
      <c r="D58" s="670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669" t="s">
        <v>327</v>
      </c>
      <c r="B67" s="669"/>
      <c r="C67" s="669"/>
      <c r="D67" s="669"/>
      <c r="E67" s="669"/>
      <c r="F67" s="669"/>
      <c r="G67" s="669"/>
      <c r="H67" s="669"/>
      <c r="I67" s="669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670" t="s">
        <v>19</v>
      </c>
      <c r="B85" s="670"/>
      <c r="C85" s="670"/>
      <c r="D85" s="670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181"/>
  <sheetViews>
    <sheetView zoomScale="90" zoomScaleNormal="90" workbookViewId="0">
      <pane xSplit="5" ySplit="3" topLeftCell="F139" activePane="bottomRight" state="frozen"/>
      <selection activeCell="V99" sqref="V99"/>
      <selection pane="topRight" activeCell="V99" sqref="V99"/>
      <selection pane="bottomLeft" activeCell="V99" sqref="V99"/>
      <selection pane="bottomRight" activeCell="I146" sqref="I146:I15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2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customWidth="1"/>
    <col min="20" max="20" width="11.5703125" style="236" customWidth="1"/>
    <col min="21" max="21" width="14.85546875" style="236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630" t="s">
        <v>0</v>
      </c>
      <c r="B2" s="630" t="s">
        <v>1</v>
      </c>
      <c r="C2" s="631" t="s">
        <v>2</v>
      </c>
      <c r="D2" s="631"/>
      <c r="E2" s="631"/>
      <c r="F2" s="631" t="s">
        <v>464</v>
      </c>
      <c r="G2" s="631"/>
      <c r="H2" s="631"/>
      <c r="I2" s="631"/>
      <c r="J2" s="631"/>
      <c r="K2" s="680" t="s">
        <v>452</v>
      </c>
      <c r="L2" s="631" t="s">
        <v>3</v>
      </c>
      <c r="M2" s="631"/>
      <c r="N2" s="631"/>
      <c r="O2" s="631"/>
      <c r="P2" s="631"/>
      <c r="Q2" s="631"/>
      <c r="R2" s="631"/>
      <c r="S2" s="630" t="s">
        <v>451</v>
      </c>
      <c r="T2" s="630"/>
      <c r="U2" s="630"/>
      <c r="V2" s="680" t="s">
        <v>82</v>
      </c>
    </row>
    <row r="3" spans="1:22" s="143" customFormat="1" ht="42" customHeight="1">
      <c r="A3" s="630"/>
      <c r="B3" s="630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681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681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682">
        <f>SUM(I4:I9)</f>
        <v>418946.44999999995</v>
      </c>
      <c r="K4" s="683">
        <f>29*51000000+9000000*3</f>
        <v>1506000000</v>
      </c>
      <c r="L4" s="696">
        <v>42828</v>
      </c>
      <c r="M4" s="682">
        <v>12</v>
      </c>
      <c r="N4" s="682">
        <f>J4-M4</f>
        <v>418934.44999999995</v>
      </c>
      <c r="O4" s="683">
        <v>22610</v>
      </c>
      <c r="P4" s="683">
        <f>N4*O4</f>
        <v>9472107914.4999981</v>
      </c>
      <c r="Q4" s="683">
        <v>2506900</v>
      </c>
      <c r="R4" s="683">
        <f>P4-Q4-K4</f>
        <v>7963601014.4999981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637"/>
      <c r="K5" s="625"/>
      <c r="L5" s="639"/>
      <c r="M5" s="637"/>
      <c r="N5" s="637"/>
      <c r="O5" s="625"/>
      <c r="P5" s="625"/>
      <c r="Q5" s="625"/>
      <c r="R5" s="625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637"/>
      <c r="K6" s="625"/>
      <c r="L6" s="639"/>
      <c r="M6" s="637"/>
      <c r="N6" s="637"/>
      <c r="O6" s="625"/>
      <c r="P6" s="625"/>
      <c r="Q6" s="625"/>
      <c r="R6" s="625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637"/>
      <c r="K7" s="625"/>
      <c r="L7" s="639"/>
      <c r="M7" s="637"/>
      <c r="N7" s="637"/>
      <c r="O7" s="625"/>
      <c r="P7" s="625"/>
      <c r="Q7" s="625"/>
      <c r="R7" s="625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637"/>
      <c r="K8" s="625"/>
      <c r="L8" s="639"/>
      <c r="M8" s="637"/>
      <c r="N8" s="637"/>
      <c r="O8" s="625"/>
      <c r="P8" s="625"/>
      <c r="Q8" s="625"/>
      <c r="R8" s="625"/>
      <c r="S8" s="253"/>
      <c r="T8" s="254"/>
      <c r="U8" s="255"/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632"/>
      <c r="K9" s="625"/>
      <c r="L9" s="634"/>
      <c r="M9" s="632"/>
      <c r="N9" s="632"/>
      <c r="O9" s="626"/>
      <c r="P9" s="626"/>
      <c r="Q9" s="626"/>
      <c r="R9" s="626"/>
      <c r="S9" s="253"/>
      <c r="T9" s="254"/>
      <c r="U9" s="255"/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636">
        <f>SUM(I10:I14)</f>
        <v>348255.05</v>
      </c>
      <c r="K10" s="625"/>
      <c r="L10" s="635">
        <v>42842</v>
      </c>
      <c r="M10" s="633">
        <v>117</v>
      </c>
      <c r="N10" s="633">
        <f>J10-M10</f>
        <v>348138.05</v>
      </c>
      <c r="O10" s="628">
        <v>22630</v>
      </c>
      <c r="P10" s="628">
        <f>N10*O10</f>
        <v>7878364071.5</v>
      </c>
      <c r="Q10" s="628"/>
      <c r="R10" s="628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637"/>
      <c r="K11" s="625"/>
      <c r="L11" s="635"/>
      <c r="M11" s="633"/>
      <c r="N11" s="633"/>
      <c r="O11" s="628"/>
      <c r="P11" s="628"/>
      <c r="Q11" s="628"/>
      <c r="R11" s="628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637"/>
      <c r="K12" s="625"/>
      <c r="L12" s="635"/>
      <c r="M12" s="633"/>
      <c r="N12" s="633"/>
      <c r="O12" s="628"/>
      <c r="P12" s="628"/>
      <c r="Q12" s="628"/>
      <c r="R12" s="628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637"/>
      <c r="K13" s="625"/>
      <c r="L13" s="635"/>
      <c r="M13" s="633"/>
      <c r="N13" s="633"/>
      <c r="O13" s="628"/>
      <c r="P13" s="628"/>
      <c r="Q13" s="628"/>
      <c r="R13" s="628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632"/>
      <c r="K14" s="625"/>
      <c r="L14" s="635"/>
      <c r="M14" s="633"/>
      <c r="N14" s="633"/>
      <c r="O14" s="628"/>
      <c r="P14" s="628"/>
      <c r="Q14" s="628"/>
      <c r="R14" s="628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636">
        <f>SUM(I15:I20)</f>
        <v>449685.59999999992</v>
      </c>
      <c r="K15" s="625"/>
      <c r="L15" s="635">
        <v>42850</v>
      </c>
      <c r="M15" s="633">
        <v>12</v>
      </c>
      <c r="N15" s="633">
        <f>J15-M15</f>
        <v>449673.59999999992</v>
      </c>
      <c r="O15" s="628">
        <v>22630</v>
      </c>
      <c r="P15" s="628">
        <f>N15*O15</f>
        <v>10176113567.999998</v>
      </c>
      <c r="Q15" s="628">
        <v>2506900</v>
      </c>
      <c r="R15" s="628">
        <f>P15-Q15-K15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637"/>
      <c r="K16" s="625"/>
      <c r="L16" s="635"/>
      <c r="M16" s="633"/>
      <c r="N16" s="633"/>
      <c r="O16" s="628"/>
      <c r="P16" s="628"/>
      <c r="Q16" s="628"/>
      <c r="R16" s="628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637"/>
      <c r="K17" s="625"/>
      <c r="L17" s="635"/>
      <c r="M17" s="633"/>
      <c r="N17" s="633"/>
      <c r="O17" s="628"/>
      <c r="P17" s="628"/>
      <c r="Q17" s="628"/>
      <c r="R17" s="628"/>
      <c r="S17" s="253" t="s">
        <v>394</v>
      </c>
      <c r="T17" s="254">
        <v>1100000</v>
      </c>
      <c r="U17" s="255">
        <v>5186275000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637"/>
      <c r="K18" s="625"/>
      <c r="L18" s="635"/>
      <c r="M18" s="633"/>
      <c r="N18" s="633"/>
      <c r="O18" s="628"/>
      <c r="P18" s="628"/>
      <c r="Q18" s="628"/>
      <c r="R18" s="628"/>
      <c r="S18" s="256"/>
      <c r="T18" s="254"/>
      <c r="U18" s="255"/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637"/>
      <c r="K19" s="625"/>
      <c r="L19" s="635"/>
      <c r="M19" s="633"/>
      <c r="N19" s="633"/>
      <c r="O19" s="628"/>
      <c r="P19" s="628"/>
      <c r="Q19" s="628"/>
      <c r="R19" s="628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632"/>
      <c r="K20" s="625"/>
      <c r="L20" s="635"/>
      <c r="M20" s="633"/>
      <c r="N20" s="633"/>
      <c r="O20" s="628"/>
      <c r="P20" s="628"/>
      <c r="Q20" s="628"/>
      <c r="R20" s="628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636">
        <f>SUM(I21:I26)</f>
        <v>444935.4</v>
      </c>
      <c r="K21" s="625"/>
      <c r="L21" s="638">
        <v>42868</v>
      </c>
      <c r="M21" s="636">
        <v>12</v>
      </c>
      <c r="N21" s="633">
        <f>J21-M21</f>
        <v>444923.4</v>
      </c>
      <c r="O21" s="628">
        <v>22600</v>
      </c>
      <c r="P21" s="628">
        <f>N21*O21</f>
        <v>10055268840</v>
      </c>
      <c r="Q21" s="628">
        <v>2504700</v>
      </c>
      <c r="R21" s="628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637"/>
      <c r="K22" s="625"/>
      <c r="L22" s="639"/>
      <c r="M22" s="637"/>
      <c r="N22" s="633"/>
      <c r="O22" s="628"/>
      <c r="P22" s="628"/>
      <c r="Q22" s="628"/>
      <c r="R22" s="628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637"/>
      <c r="K23" s="625"/>
      <c r="L23" s="639"/>
      <c r="M23" s="637"/>
      <c r="N23" s="633"/>
      <c r="O23" s="628"/>
      <c r="P23" s="628"/>
      <c r="Q23" s="628"/>
      <c r="R23" s="628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637"/>
      <c r="K24" s="625"/>
      <c r="L24" s="639"/>
      <c r="M24" s="637"/>
      <c r="N24" s="633"/>
      <c r="O24" s="628"/>
      <c r="P24" s="628"/>
      <c r="Q24" s="628"/>
      <c r="R24" s="628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637"/>
      <c r="K25" s="625"/>
      <c r="L25" s="639"/>
      <c r="M25" s="637"/>
      <c r="N25" s="633"/>
      <c r="O25" s="628"/>
      <c r="P25" s="628"/>
      <c r="Q25" s="628"/>
      <c r="R25" s="628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632"/>
      <c r="K26" s="625"/>
      <c r="L26" s="634"/>
      <c r="M26" s="632"/>
      <c r="N26" s="633"/>
      <c r="O26" s="628"/>
      <c r="P26" s="628"/>
      <c r="Q26" s="628"/>
      <c r="R26" s="628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684">
        <f>SUM(I27:I32)</f>
        <v>444935.4</v>
      </c>
      <c r="K27" s="625"/>
      <c r="L27" s="690">
        <v>42907</v>
      </c>
      <c r="M27" s="684">
        <f>12+110</f>
        <v>122</v>
      </c>
      <c r="N27" s="684">
        <f>J27-M27</f>
        <v>444813.4</v>
      </c>
      <c r="O27" s="687">
        <v>22660</v>
      </c>
      <c r="P27" s="687">
        <f>N27*O27</f>
        <v>10079471644</v>
      </c>
      <c r="Q27" s="687"/>
      <c r="R27" s="687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685"/>
      <c r="K28" s="625"/>
      <c r="L28" s="691"/>
      <c r="M28" s="685"/>
      <c r="N28" s="685"/>
      <c r="O28" s="688"/>
      <c r="P28" s="688"/>
      <c r="Q28" s="688"/>
      <c r="R28" s="688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685"/>
      <c r="K29" s="625"/>
      <c r="L29" s="691"/>
      <c r="M29" s="685"/>
      <c r="N29" s="685"/>
      <c r="O29" s="688"/>
      <c r="P29" s="688"/>
      <c r="Q29" s="688"/>
      <c r="R29" s="688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685"/>
      <c r="K30" s="625"/>
      <c r="L30" s="691"/>
      <c r="M30" s="685"/>
      <c r="N30" s="685"/>
      <c r="O30" s="688"/>
      <c r="P30" s="688"/>
      <c r="Q30" s="688"/>
      <c r="R30" s="688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685"/>
      <c r="K31" s="625"/>
      <c r="L31" s="691"/>
      <c r="M31" s="685"/>
      <c r="N31" s="685"/>
      <c r="O31" s="688"/>
      <c r="P31" s="688"/>
      <c r="Q31" s="688"/>
      <c r="R31" s="688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686"/>
      <c r="K32" s="626"/>
      <c r="L32" s="692"/>
      <c r="M32" s="686"/>
      <c r="N32" s="686"/>
      <c r="O32" s="689"/>
      <c r="P32" s="689"/>
      <c r="Q32" s="689"/>
      <c r="R32" s="689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636">
        <f>SUM(I33:I36)</f>
        <v>286067.59999999998</v>
      </c>
      <c r="K33" s="624">
        <f>4*51000000</f>
        <v>204000000</v>
      </c>
      <c r="L33" s="638">
        <v>42864</v>
      </c>
      <c r="M33" s="636">
        <v>12</v>
      </c>
      <c r="N33" s="636">
        <f>J33-M33</f>
        <v>286055.59999999998</v>
      </c>
      <c r="O33" s="624">
        <v>22630</v>
      </c>
      <c r="P33" s="624">
        <f>N33*O33</f>
        <v>6473438227.999999</v>
      </c>
      <c r="Q33" s="624">
        <v>2504700</v>
      </c>
      <c r="R33" s="624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637"/>
      <c r="K34" s="625"/>
      <c r="L34" s="639"/>
      <c r="M34" s="637"/>
      <c r="N34" s="637"/>
      <c r="O34" s="625"/>
      <c r="P34" s="625"/>
      <c r="Q34" s="625"/>
      <c r="R34" s="625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637"/>
      <c r="K35" s="625"/>
      <c r="L35" s="639"/>
      <c r="M35" s="637"/>
      <c r="N35" s="637"/>
      <c r="O35" s="625"/>
      <c r="P35" s="625"/>
      <c r="Q35" s="625"/>
      <c r="R35" s="625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637"/>
      <c r="K36" s="626"/>
      <c r="L36" s="634"/>
      <c r="M36" s="632"/>
      <c r="N36" s="632"/>
      <c r="O36" s="626"/>
      <c r="P36" s="626"/>
      <c r="Q36" s="626"/>
      <c r="R36" s="626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636">
        <f>SUM(I37:I44)</f>
        <v>544219.19999999995</v>
      </c>
      <c r="K37" s="624">
        <f>8*51000000</f>
        <v>408000000</v>
      </c>
      <c r="L37" s="638">
        <v>42873</v>
      </c>
      <c r="M37" s="636">
        <v>12</v>
      </c>
      <c r="N37" s="636">
        <f>SUM(I37:I39)-M37</f>
        <v>174747.2</v>
      </c>
      <c r="O37" s="624">
        <v>22610</v>
      </c>
      <c r="P37" s="624">
        <f>N37*O37</f>
        <v>3951034192.0000005</v>
      </c>
      <c r="Q37" s="624">
        <v>2183641</v>
      </c>
      <c r="R37" s="624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637"/>
      <c r="K38" s="625"/>
      <c r="L38" s="639"/>
      <c r="M38" s="637"/>
      <c r="N38" s="637"/>
      <c r="O38" s="625"/>
      <c r="P38" s="625"/>
      <c r="Q38" s="625"/>
      <c r="R38" s="625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637"/>
      <c r="K39" s="625"/>
      <c r="L39" s="634"/>
      <c r="M39" s="632"/>
      <c r="N39" s="632"/>
      <c r="O39" s="626"/>
      <c r="P39" s="626"/>
      <c r="Q39" s="626"/>
      <c r="R39" s="626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637"/>
      <c r="K40" s="625"/>
      <c r="L40" s="638">
        <v>42892</v>
      </c>
      <c r="M40" s="636">
        <v>12</v>
      </c>
      <c r="N40" s="636">
        <f>SUM(I40:I44)-M40</f>
        <v>369448</v>
      </c>
      <c r="O40" s="624">
        <v>22610</v>
      </c>
      <c r="P40" s="624">
        <f>N40*O40</f>
        <v>8353219280</v>
      </c>
      <c r="Q40" s="624">
        <v>2502500</v>
      </c>
      <c r="R40" s="624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637"/>
      <c r="K41" s="625"/>
      <c r="L41" s="639"/>
      <c r="M41" s="637"/>
      <c r="N41" s="637"/>
      <c r="O41" s="625"/>
      <c r="P41" s="625"/>
      <c r="Q41" s="625"/>
      <c r="R41" s="625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637"/>
      <c r="K42" s="625"/>
      <c r="L42" s="639"/>
      <c r="M42" s="637"/>
      <c r="N42" s="637"/>
      <c r="O42" s="625"/>
      <c r="P42" s="625"/>
      <c r="Q42" s="625"/>
      <c r="R42" s="625"/>
      <c r="S42" s="253" t="s">
        <v>391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637"/>
      <c r="K43" s="625"/>
      <c r="L43" s="639"/>
      <c r="M43" s="637"/>
      <c r="N43" s="637"/>
      <c r="O43" s="625"/>
      <c r="P43" s="625"/>
      <c r="Q43" s="625"/>
      <c r="R43" s="625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632"/>
      <c r="K44" s="626"/>
      <c r="L44" s="634"/>
      <c r="M44" s="632"/>
      <c r="N44" s="632"/>
      <c r="O44" s="626"/>
      <c r="P44" s="626"/>
      <c r="Q44" s="626"/>
      <c r="R44" s="626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671">
        <f>SUM(I45:I50)</f>
        <v>443352</v>
      </c>
      <c r="K45" s="624">
        <f>12*51000000+14622660</f>
        <v>626622660</v>
      </c>
      <c r="L45" s="693">
        <v>42915</v>
      </c>
      <c r="M45" s="671">
        <v>12</v>
      </c>
      <c r="N45" s="671">
        <f>J45-M45</f>
        <v>443340</v>
      </c>
      <c r="O45" s="677">
        <v>22655</v>
      </c>
      <c r="P45" s="677">
        <f>N45*O45</f>
        <v>10043867700</v>
      </c>
      <c r="Q45" s="677">
        <v>2505800</v>
      </c>
      <c r="R45" s="677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672"/>
      <c r="K46" s="625"/>
      <c r="L46" s="694"/>
      <c r="M46" s="672"/>
      <c r="N46" s="672"/>
      <c r="O46" s="678"/>
      <c r="P46" s="678"/>
      <c r="Q46" s="678"/>
      <c r="R46" s="678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672"/>
      <c r="K47" s="625"/>
      <c r="L47" s="694"/>
      <c r="M47" s="672"/>
      <c r="N47" s="672"/>
      <c r="O47" s="678"/>
      <c r="P47" s="678"/>
      <c r="Q47" s="678"/>
      <c r="R47" s="678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672"/>
      <c r="K48" s="625"/>
      <c r="L48" s="694"/>
      <c r="M48" s="672"/>
      <c r="N48" s="672"/>
      <c r="O48" s="678"/>
      <c r="P48" s="678"/>
      <c r="Q48" s="678"/>
      <c r="R48" s="678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672"/>
      <c r="K49" s="625"/>
      <c r="L49" s="694"/>
      <c r="M49" s="672"/>
      <c r="N49" s="672"/>
      <c r="O49" s="678"/>
      <c r="P49" s="678"/>
      <c r="Q49" s="678"/>
      <c r="R49" s="678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673"/>
      <c r="K50" s="625"/>
      <c r="L50" s="695"/>
      <c r="M50" s="673"/>
      <c r="N50" s="673"/>
      <c r="O50" s="679"/>
      <c r="P50" s="679"/>
      <c r="Q50" s="679"/>
      <c r="R50" s="679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636">
        <f>SUM(I51:I56)</f>
        <v>419601</v>
      </c>
      <c r="K51" s="625"/>
      <c r="L51" s="638">
        <v>42922</v>
      </c>
      <c r="M51" s="636">
        <f>12+5.09</f>
        <v>17.09</v>
      </c>
      <c r="N51" s="636">
        <f>J51-M51</f>
        <v>419583.91</v>
      </c>
      <c r="O51" s="624">
        <v>22660</v>
      </c>
      <c r="P51" s="624">
        <f>N51*O51</f>
        <v>9507771400.5999985</v>
      </c>
      <c r="Q51" s="624">
        <v>2504700</v>
      </c>
      <c r="R51" s="624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637"/>
      <c r="K52" s="625"/>
      <c r="L52" s="639"/>
      <c r="M52" s="637"/>
      <c r="N52" s="637"/>
      <c r="O52" s="625"/>
      <c r="P52" s="625"/>
      <c r="Q52" s="625"/>
      <c r="R52" s="625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637"/>
      <c r="K53" s="625"/>
      <c r="L53" s="639"/>
      <c r="M53" s="637"/>
      <c r="N53" s="637"/>
      <c r="O53" s="625"/>
      <c r="P53" s="625"/>
      <c r="Q53" s="625"/>
      <c r="R53" s="625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637"/>
      <c r="K54" s="625"/>
      <c r="L54" s="639"/>
      <c r="M54" s="637"/>
      <c r="N54" s="637"/>
      <c r="O54" s="625"/>
      <c r="P54" s="625"/>
      <c r="Q54" s="625"/>
      <c r="R54" s="625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637"/>
      <c r="K55" s="625"/>
      <c r="L55" s="639"/>
      <c r="M55" s="637"/>
      <c r="N55" s="637"/>
      <c r="O55" s="625"/>
      <c r="P55" s="625"/>
      <c r="Q55" s="625"/>
      <c r="R55" s="625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632"/>
      <c r="K56" s="626"/>
      <c r="L56" s="634"/>
      <c r="M56" s="632"/>
      <c r="N56" s="632"/>
      <c r="O56" s="626"/>
      <c r="P56" s="626"/>
      <c r="Q56" s="626"/>
      <c r="R56" s="626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636">
        <f>SUM(I57:I62)</f>
        <v>419601</v>
      </c>
      <c r="K57" s="624">
        <f>6*51000000</f>
        <v>306000000</v>
      </c>
      <c r="L57" s="638">
        <v>42926</v>
      </c>
      <c r="M57" s="636">
        <v>16.98</v>
      </c>
      <c r="N57" s="636">
        <f>J57-M57</f>
        <v>419584.02</v>
      </c>
      <c r="O57" s="624">
        <v>22660</v>
      </c>
      <c r="P57" s="624">
        <f>N57*O57</f>
        <v>9507773893.2000008</v>
      </c>
      <c r="Q57" s="624">
        <v>2504700</v>
      </c>
      <c r="R57" s="624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637"/>
      <c r="K58" s="625"/>
      <c r="L58" s="639"/>
      <c r="M58" s="637"/>
      <c r="N58" s="637"/>
      <c r="O58" s="625"/>
      <c r="P58" s="625"/>
      <c r="Q58" s="625"/>
      <c r="R58" s="625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637"/>
      <c r="K59" s="625"/>
      <c r="L59" s="639"/>
      <c r="M59" s="637"/>
      <c r="N59" s="637"/>
      <c r="O59" s="625"/>
      <c r="P59" s="625"/>
      <c r="Q59" s="625"/>
      <c r="R59" s="625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637"/>
      <c r="K60" s="625"/>
      <c r="L60" s="639"/>
      <c r="M60" s="637"/>
      <c r="N60" s="637"/>
      <c r="O60" s="625"/>
      <c r="P60" s="625"/>
      <c r="Q60" s="625"/>
      <c r="R60" s="625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637"/>
      <c r="K61" s="625"/>
      <c r="L61" s="639"/>
      <c r="M61" s="637"/>
      <c r="N61" s="637"/>
      <c r="O61" s="625"/>
      <c r="P61" s="625"/>
      <c r="Q61" s="625"/>
      <c r="R61" s="625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632"/>
      <c r="K62" s="626"/>
      <c r="L62" s="634"/>
      <c r="M62" s="632"/>
      <c r="N62" s="632"/>
      <c r="O62" s="626"/>
      <c r="P62" s="626"/>
      <c r="Q62" s="626"/>
      <c r="R62" s="626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671">
        <f>SUM(I63:I68)</f>
        <v>419601</v>
      </c>
      <c r="K63" s="624">
        <f>22*51000000</f>
        <v>1122000000</v>
      </c>
      <c r="L63" s="638">
        <v>42930</v>
      </c>
      <c r="M63" s="636">
        <v>16.98</v>
      </c>
      <c r="N63" s="636">
        <f>J63-M63</f>
        <v>419584.02</v>
      </c>
      <c r="O63" s="624">
        <v>22660</v>
      </c>
      <c r="P63" s="624">
        <f>N63*O63</f>
        <v>9507773893.2000008</v>
      </c>
      <c r="Q63" s="624">
        <v>2504700</v>
      </c>
      <c r="R63" s="624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672"/>
      <c r="K64" s="625"/>
      <c r="L64" s="639"/>
      <c r="M64" s="637"/>
      <c r="N64" s="637"/>
      <c r="O64" s="625"/>
      <c r="P64" s="625"/>
      <c r="Q64" s="625"/>
      <c r="R64" s="625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672"/>
      <c r="K65" s="625"/>
      <c r="L65" s="639"/>
      <c r="M65" s="637"/>
      <c r="N65" s="637"/>
      <c r="O65" s="625"/>
      <c r="P65" s="625"/>
      <c r="Q65" s="625"/>
      <c r="R65" s="625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672"/>
      <c r="K66" s="625"/>
      <c r="L66" s="639"/>
      <c r="M66" s="637"/>
      <c r="N66" s="637"/>
      <c r="O66" s="625"/>
      <c r="P66" s="625"/>
      <c r="Q66" s="625"/>
      <c r="R66" s="625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672"/>
      <c r="K67" s="625"/>
      <c r="L67" s="639"/>
      <c r="M67" s="637"/>
      <c r="N67" s="637"/>
      <c r="O67" s="625"/>
      <c r="P67" s="625"/>
      <c r="Q67" s="625"/>
      <c r="R67" s="625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174" si="7">G68*H68</f>
        <v>69933.5</v>
      </c>
      <c r="J68" s="673"/>
      <c r="K68" s="625"/>
      <c r="L68" s="634"/>
      <c r="M68" s="632"/>
      <c r="N68" s="632"/>
      <c r="O68" s="626"/>
      <c r="P68" s="626"/>
      <c r="Q68" s="626"/>
      <c r="R68" s="626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671">
        <f>SUM(I69:I74)</f>
        <v>419601</v>
      </c>
      <c r="K69" s="625"/>
      <c r="L69" s="638">
        <v>42935</v>
      </c>
      <c r="M69" s="636">
        <f>J69-N69</f>
        <v>17.179999999993015</v>
      </c>
      <c r="N69" s="636">
        <v>419583.82</v>
      </c>
      <c r="O69" s="624">
        <v>22660</v>
      </c>
      <c r="P69" s="624">
        <f>N69*O69</f>
        <v>9507769361.2000008</v>
      </c>
      <c r="Q69" s="624">
        <v>2504700</v>
      </c>
      <c r="R69" s="624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672"/>
      <c r="K70" s="625"/>
      <c r="L70" s="639"/>
      <c r="M70" s="637"/>
      <c r="N70" s="637"/>
      <c r="O70" s="625"/>
      <c r="P70" s="625"/>
      <c r="Q70" s="625"/>
      <c r="R70" s="625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672"/>
      <c r="K71" s="625"/>
      <c r="L71" s="639"/>
      <c r="M71" s="637"/>
      <c r="N71" s="637"/>
      <c r="O71" s="625"/>
      <c r="P71" s="625"/>
      <c r="Q71" s="625"/>
      <c r="R71" s="625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672"/>
      <c r="K72" s="625"/>
      <c r="L72" s="639"/>
      <c r="M72" s="637"/>
      <c r="N72" s="637"/>
      <c r="O72" s="625"/>
      <c r="P72" s="625"/>
      <c r="Q72" s="625"/>
      <c r="R72" s="625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672"/>
      <c r="K73" s="625"/>
      <c r="L73" s="639"/>
      <c r="M73" s="637"/>
      <c r="N73" s="637"/>
      <c r="O73" s="625"/>
      <c r="P73" s="625"/>
      <c r="Q73" s="625"/>
      <c r="R73" s="625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673"/>
      <c r="K74" s="625"/>
      <c r="L74" s="634"/>
      <c r="M74" s="632"/>
      <c r="N74" s="632"/>
      <c r="O74" s="626"/>
      <c r="P74" s="626"/>
      <c r="Q74" s="626"/>
      <c r="R74" s="626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636">
        <f>SUM(I75:I80)</f>
        <v>419601</v>
      </c>
      <c r="K75" s="625"/>
      <c r="L75" s="638">
        <v>42941</v>
      </c>
      <c r="M75" s="636">
        <f>J75-N75</f>
        <v>17.179999999993015</v>
      </c>
      <c r="N75" s="636">
        <v>419583.82</v>
      </c>
      <c r="O75" s="624">
        <v>22660</v>
      </c>
      <c r="P75" s="624">
        <f>N75*O75</f>
        <v>9507769361.2000008</v>
      </c>
      <c r="Q75" s="624">
        <v>2504700</v>
      </c>
      <c r="R75" s="624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637"/>
      <c r="K76" s="625"/>
      <c r="L76" s="639"/>
      <c r="M76" s="637"/>
      <c r="N76" s="637"/>
      <c r="O76" s="625"/>
      <c r="P76" s="625"/>
      <c r="Q76" s="625"/>
      <c r="R76" s="625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637"/>
      <c r="K77" s="625"/>
      <c r="L77" s="639"/>
      <c r="M77" s="637"/>
      <c r="N77" s="637"/>
      <c r="O77" s="625"/>
      <c r="P77" s="625"/>
      <c r="Q77" s="625"/>
      <c r="R77" s="625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637"/>
      <c r="K78" s="625"/>
      <c r="L78" s="639"/>
      <c r="M78" s="637"/>
      <c r="N78" s="637"/>
      <c r="O78" s="625"/>
      <c r="P78" s="625"/>
      <c r="Q78" s="625"/>
      <c r="R78" s="625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637"/>
      <c r="K79" s="625"/>
      <c r="L79" s="639"/>
      <c r="M79" s="637"/>
      <c r="N79" s="637"/>
      <c r="O79" s="625"/>
      <c r="P79" s="625"/>
      <c r="Q79" s="625"/>
      <c r="R79" s="625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632"/>
      <c r="K80" s="625"/>
      <c r="L80" s="634"/>
      <c r="M80" s="632"/>
      <c r="N80" s="632"/>
      <c r="O80" s="626"/>
      <c r="P80" s="626"/>
      <c r="Q80" s="626"/>
      <c r="R80" s="626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633">
        <f>SUM(I81:I84)</f>
        <v>279734</v>
      </c>
      <c r="K81" s="625"/>
      <c r="L81" s="638">
        <v>42949</v>
      </c>
      <c r="M81" s="636">
        <v>153.86000000000001</v>
      </c>
      <c r="N81" s="636">
        <f>J81-M81</f>
        <v>279580.14</v>
      </c>
      <c r="O81" s="624">
        <v>22690</v>
      </c>
      <c r="P81" s="624">
        <f>N81*O81</f>
        <v>6343673376.6000004</v>
      </c>
      <c r="Q81" s="624"/>
      <c r="R81" s="624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633"/>
      <c r="K82" s="625"/>
      <c r="L82" s="639"/>
      <c r="M82" s="637"/>
      <c r="N82" s="637"/>
      <c r="O82" s="625"/>
      <c r="P82" s="625"/>
      <c r="Q82" s="625"/>
      <c r="R82" s="625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633"/>
      <c r="K83" s="625"/>
      <c r="L83" s="639"/>
      <c r="M83" s="637"/>
      <c r="N83" s="637"/>
      <c r="O83" s="625"/>
      <c r="P83" s="625"/>
      <c r="Q83" s="625"/>
      <c r="R83" s="625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633"/>
      <c r="K84" s="626"/>
      <c r="L84" s="634"/>
      <c r="M84" s="632"/>
      <c r="N84" s="632"/>
      <c r="O84" s="626"/>
      <c r="P84" s="626"/>
      <c r="Q84" s="626"/>
      <c r="R84" s="626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633">
        <f>SUM(I85:I88)</f>
        <v>279734</v>
      </c>
      <c r="K85" s="624">
        <f>10*51000000</f>
        <v>510000000</v>
      </c>
      <c r="L85" s="638">
        <v>42957</v>
      </c>
      <c r="M85" s="636">
        <f>J85-N85</f>
        <v>17.75</v>
      </c>
      <c r="N85" s="636">
        <v>279716.25</v>
      </c>
      <c r="O85" s="624">
        <v>22690</v>
      </c>
      <c r="P85" s="624">
        <f>N85*O85</f>
        <v>6346761712.5</v>
      </c>
      <c r="Q85" s="624">
        <v>2503600</v>
      </c>
      <c r="R85" s="624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633"/>
      <c r="K86" s="625"/>
      <c r="L86" s="639"/>
      <c r="M86" s="637"/>
      <c r="N86" s="637"/>
      <c r="O86" s="625"/>
      <c r="P86" s="625"/>
      <c r="Q86" s="625"/>
      <c r="R86" s="625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633"/>
      <c r="K87" s="625"/>
      <c r="L87" s="639"/>
      <c r="M87" s="637"/>
      <c r="N87" s="637"/>
      <c r="O87" s="625"/>
      <c r="P87" s="625"/>
      <c r="Q87" s="625"/>
      <c r="R87" s="625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633"/>
      <c r="K88" s="625"/>
      <c r="L88" s="634"/>
      <c r="M88" s="632"/>
      <c r="N88" s="632"/>
      <c r="O88" s="626"/>
      <c r="P88" s="626"/>
      <c r="Q88" s="626"/>
      <c r="R88" s="626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633">
        <f>SUM(I89:I92)</f>
        <v>279734</v>
      </c>
      <c r="K89" s="625"/>
      <c r="L89" s="638">
        <v>42964</v>
      </c>
      <c r="M89" s="636">
        <f>J89-N89</f>
        <v>17.64000000001397</v>
      </c>
      <c r="N89" s="636">
        <v>279716.36</v>
      </c>
      <c r="O89" s="624">
        <v>22690</v>
      </c>
      <c r="P89" s="624">
        <f>N89*O89</f>
        <v>6346764208.3999996</v>
      </c>
      <c r="Q89" s="624">
        <v>2504150</v>
      </c>
      <c r="R89" s="624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633"/>
      <c r="K90" s="625"/>
      <c r="L90" s="639"/>
      <c r="M90" s="637"/>
      <c r="N90" s="637"/>
      <c r="O90" s="625"/>
      <c r="P90" s="625"/>
      <c r="Q90" s="625"/>
      <c r="R90" s="625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633"/>
      <c r="K91" s="625"/>
      <c r="L91" s="639"/>
      <c r="M91" s="637"/>
      <c r="N91" s="637"/>
      <c r="O91" s="625"/>
      <c r="P91" s="625"/>
      <c r="Q91" s="625"/>
      <c r="R91" s="625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633"/>
      <c r="K92" s="625"/>
      <c r="L92" s="634"/>
      <c r="M92" s="632"/>
      <c r="N92" s="632"/>
      <c r="O92" s="626"/>
      <c r="P92" s="626"/>
      <c r="Q92" s="626"/>
      <c r="R92" s="626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174" si="16">F93*13</f>
        <v>26390</v>
      </c>
      <c r="H93" s="299">
        <v>2.75</v>
      </c>
      <c r="I93" s="320">
        <f t="shared" si="7"/>
        <v>72572.5</v>
      </c>
      <c r="J93" s="636">
        <f>SUM(I93:I94)</f>
        <v>145145</v>
      </c>
      <c r="K93" s="625"/>
      <c r="L93" s="638">
        <v>42972</v>
      </c>
      <c r="M93" s="636">
        <f>SUM(J93:J98)-N93</f>
        <v>220</v>
      </c>
      <c r="N93" s="636">
        <v>435215</v>
      </c>
      <c r="O93" s="624">
        <v>22690</v>
      </c>
      <c r="P93" s="624">
        <f>N93*O93</f>
        <v>9875028350</v>
      </c>
      <c r="Q93" s="624"/>
      <c r="R93" s="624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632"/>
      <c r="K94" s="626"/>
      <c r="L94" s="639"/>
      <c r="M94" s="637"/>
      <c r="N94" s="637"/>
      <c r="O94" s="625"/>
      <c r="P94" s="625"/>
      <c r="Q94" s="625"/>
      <c r="R94" s="625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636">
        <f>SUM(I95:I98)</f>
        <v>290290</v>
      </c>
      <c r="K95" s="624">
        <f>10*51000000+46999580</f>
        <v>556999580</v>
      </c>
      <c r="L95" s="639"/>
      <c r="M95" s="637"/>
      <c r="N95" s="637"/>
      <c r="O95" s="625"/>
      <c r="P95" s="625"/>
      <c r="Q95" s="625"/>
      <c r="R95" s="625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637"/>
      <c r="K96" s="625"/>
      <c r="L96" s="639"/>
      <c r="M96" s="637"/>
      <c r="N96" s="637"/>
      <c r="O96" s="625"/>
      <c r="P96" s="625"/>
      <c r="Q96" s="625"/>
      <c r="R96" s="625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637"/>
      <c r="K97" s="625"/>
      <c r="L97" s="639"/>
      <c r="M97" s="637"/>
      <c r="N97" s="637"/>
      <c r="O97" s="625"/>
      <c r="P97" s="625"/>
      <c r="Q97" s="625"/>
      <c r="R97" s="625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632"/>
      <c r="K98" s="625"/>
      <c r="L98" s="634"/>
      <c r="M98" s="632"/>
      <c r="N98" s="632"/>
      <c r="O98" s="626"/>
      <c r="P98" s="626"/>
      <c r="Q98" s="626"/>
      <c r="R98" s="626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636">
        <f>SUM(I99:I104)</f>
        <v>427518</v>
      </c>
      <c r="K99" s="625"/>
      <c r="L99" s="638">
        <v>42985</v>
      </c>
      <c r="M99" s="636">
        <v>110</v>
      </c>
      <c r="N99" s="636">
        <f>J99-M99</f>
        <v>427408</v>
      </c>
      <c r="O99" s="624">
        <v>22690</v>
      </c>
      <c r="P99" s="624">
        <f>N99*O99</f>
        <v>9697887520</v>
      </c>
      <c r="Q99" s="624"/>
      <c r="R99" s="624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637"/>
      <c r="K100" s="625"/>
      <c r="L100" s="639"/>
      <c r="M100" s="637"/>
      <c r="N100" s="637"/>
      <c r="O100" s="625"/>
      <c r="P100" s="625"/>
      <c r="Q100" s="625"/>
      <c r="R100" s="625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637"/>
      <c r="K101" s="625"/>
      <c r="L101" s="639"/>
      <c r="M101" s="637"/>
      <c r="N101" s="637"/>
      <c r="O101" s="625"/>
      <c r="P101" s="625"/>
      <c r="Q101" s="625"/>
      <c r="R101" s="625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637"/>
      <c r="K102" s="625"/>
      <c r="L102" s="639"/>
      <c r="M102" s="637"/>
      <c r="N102" s="637"/>
      <c r="O102" s="625"/>
      <c r="P102" s="625"/>
      <c r="Q102" s="625"/>
      <c r="R102" s="625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637"/>
      <c r="K103" s="625"/>
      <c r="L103" s="639"/>
      <c r="M103" s="637"/>
      <c r="N103" s="637"/>
      <c r="O103" s="625"/>
      <c r="P103" s="625"/>
      <c r="Q103" s="625"/>
      <c r="R103" s="625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632"/>
      <c r="K104" s="626"/>
      <c r="L104" s="634"/>
      <c r="M104" s="632"/>
      <c r="N104" s="632"/>
      <c r="O104" s="626"/>
      <c r="P104" s="626"/>
      <c r="Q104" s="626"/>
      <c r="R104" s="626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578" customFormat="1" ht="18" customHeight="1">
      <c r="A105" s="567">
        <v>102</v>
      </c>
      <c r="B105" s="568">
        <v>42931</v>
      </c>
      <c r="C105" s="569" t="s">
        <v>861</v>
      </c>
      <c r="D105" s="570" t="s">
        <v>857</v>
      </c>
      <c r="E105" s="567">
        <v>6310271</v>
      </c>
      <c r="F105" s="571">
        <v>2030</v>
      </c>
      <c r="G105" s="571">
        <f t="shared" ref="G105:G110" si="19">F105*13</f>
        <v>26390</v>
      </c>
      <c r="H105" s="572">
        <v>2.8</v>
      </c>
      <c r="I105" s="573">
        <f t="shared" ref="I105:I110" si="20">G105*H105</f>
        <v>73892</v>
      </c>
      <c r="J105" s="674">
        <f>SUM(I105:I108)</f>
        <v>295568</v>
      </c>
      <c r="K105" s="624">
        <f>10*51000000+'ZHOUSHAN - CT-2017'!F271+'ZHOUSHAN - CT-2017'!F272</f>
        <v>564434540</v>
      </c>
      <c r="L105" s="574"/>
      <c r="M105" s="575"/>
      <c r="N105" s="575"/>
      <c r="O105" s="576"/>
      <c r="P105" s="576"/>
      <c r="Q105" s="576"/>
      <c r="R105" s="576"/>
      <c r="S105" s="577"/>
      <c r="T105" s="577"/>
      <c r="U105" s="577"/>
      <c r="V105" s="567"/>
    </row>
    <row r="106" spans="1:22" s="578" customFormat="1" ht="18" customHeight="1">
      <c r="A106" s="567">
        <v>103</v>
      </c>
      <c r="B106" s="568">
        <v>42931</v>
      </c>
      <c r="C106" s="569" t="s">
        <v>861</v>
      </c>
      <c r="D106" s="579" t="s">
        <v>858</v>
      </c>
      <c r="E106" s="569">
        <v>6310287</v>
      </c>
      <c r="F106" s="571">
        <v>2030</v>
      </c>
      <c r="G106" s="571">
        <f t="shared" si="19"/>
        <v>26390</v>
      </c>
      <c r="H106" s="572">
        <v>2.8</v>
      </c>
      <c r="I106" s="573">
        <f t="shared" si="20"/>
        <v>73892</v>
      </c>
      <c r="J106" s="675"/>
      <c r="K106" s="625"/>
      <c r="L106" s="574"/>
      <c r="M106" s="575"/>
      <c r="N106" s="575"/>
      <c r="O106" s="576"/>
      <c r="P106" s="576"/>
      <c r="Q106" s="576"/>
      <c r="R106" s="576"/>
      <c r="S106" s="577"/>
      <c r="T106" s="577"/>
      <c r="U106" s="577"/>
      <c r="V106" s="567"/>
    </row>
    <row r="107" spans="1:22" s="578" customFormat="1" ht="18" customHeight="1">
      <c r="A107" s="567">
        <v>104</v>
      </c>
      <c r="B107" s="568">
        <v>42931</v>
      </c>
      <c r="C107" s="569" t="s">
        <v>861</v>
      </c>
      <c r="D107" s="580" t="s">
        <v>859</v>
      </c>
      <c r="E107" s="581">
        <v>6310193</v>
      </c>
      <c r="F107" s="571">
        <v>2030</v>
      </c>
      <c r="G107" s="571">
        <f t="shared" si="19"/>
        <v>26390</v>
      </c>
      <c r="H107" s="572">
        <v>2.8</v>
      </c>
      <c r="I107" s="573">
        <f t="shared" si="20"/>
        <v>73892</v>
      </c>
      <c r="J107" s="675"/>
      <c r="K107" s="625"/>
      <c r="L107" s="574"/>
      <c r="M107" s="575"/>
      <c r="N107" s="575"/>
      <c r="O107" s="576"/>
      <c r="P107" s="576"/>
      <c r="Q107" s="576"/>
      <c r="R107" s="576"/>
      <c r="S107" s="582"/>
      <c r="T107" s="583"/>
      <c r="U107" s="584"/>
      <c r="V107" s="567"/>
    </row>
    <row r="108" spans="1:22" s="578" customFormat="1" ht="18" customHeight="1">
      <c r="A108" s="567">
        <v>105</v>
      </c>
      <c r="B108" s="568">
        <v>42931</v>
      </c>
      <c r="C108" s="569" t="s">
        <v>861</v>
      </c>
      <c r="D108" s="570" t="s">
        <v>860</v>
      </c>
      <c r="E108" s="585">
        <v>6310197</v>
      </c>
      <c r="F108" s="571">
        <v>2030</v>
      </c>
      <c r="G108" s="571">
        <f t="shared" si="19"/>
        <v>26390</v>
      </c>
      <c r="H108" s="572">
        <v>2.8</v>
      </c>
      <c r="I108" s="573">
        <f t="shared" si="20"/>
        <v>73892</v>
      </c>
      <c r="J108" s="676"/>
      <c r="K108" s="625"/>
      <c r="L108" s="574"/>
      <c r="M108" s="575"/>
      <c r="N108" s="575"/>
      <c r="O108" s="576"/>
      <c r="P108" s="576"/>
      <c r="Q108" s="576"/>
      <c r="R108" s="576"/>
      <c r="S108" s="582"/>
      <c r="T108" s="583"/>
      <c r="U108" s="584"/>
      <c r="V108" s="567"/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636">
        <f>SUM(I109:I114)</f>
        <v>443352</v>
      </c>
      <c r="K109" s="625"/>
      <c r="L109" s="638">
        <v>42993</v>
      </c>
      <c r="M109" s="636">
        <v>220</v>
      </c>
      <c r="N109" s="636">
        <f>J109-M109</f>
        <v>443132</v>
      </c>
      <c r="O109" s="624">
        <v>22690</v>
      </c>
      <c r="P109" s="624">
        <f>N109*O109</f>
        <v>10054665080</v>
      </c>
      <c r="Q109" s="624"/>
      <c r="R109" s="624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637"/>
      <c r="K110" s="625"/>
      <c r="L110" s="639"/>
      <c r="M110" s="637"/>
      <c r="N110" s="637"/>
      <c r="O110" s="625"/>
      <c r="P110" s="625"/>
      <c r="Q110" s="625"/>
      <c r="R110" s="625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637"/>
      <c r="K111" s="625"/>
      <c r="L111" s="639"/>
      <c r="M111" s="637"/>
      <c r="N111" s="637"/>
      <c r="O111" s="625"/>
      <c r="P111" s="625"/>
      <c r="Q111" s="625"/>
      <c r="R111" s="625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637"/>
      <c r="K112" s="625"/>
      <c r="L112" s="639"/>
      <c r="M112" s="637"/>
      <c r="N112" s="637"/>
      <c r="O112" s="625"/>
      <c r="P112" s="625"/>
      <c r="Q112" s="625"/>
      <c r="R112" s="625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637"/>
      <c r="K113" s="625"/>
      <c r="L113" s="639"/>
      <c r="M113" s="637"/>
      <c r="N113" s="637"/>
      <c r="O113" s="625"/>
      <c r="P113" s="625"/>
      <c r="Q113" s="625"/>
      <c r="R113" s="625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632"/>
      <c r="K114" s="626"/>
      <c r="L114" s="634"/>
      <c r="M114" s="632"/>
      <c r="N114" s="632"/>
      <c r="O114" s="626"/>
      <c r="P114" s="626"/>
      <c r="Q114" s="626"/>
      <c r="R114" s="626"/>
      <c r="S114" s="253"/>
      <c r="T114" s="254"/>
      <c r="U114" s="255"/>
      <c r="V114" s="461">
        <f>R109-SUM(T109:U114)-K143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636">
        <f>SUM(I115:I120)</f>
        <v>443352</v>
      </c>
      <c r="K115" s="624">
        <f>6*51000000+'ZHOUSHAN - CT-2017'!F291+'ZHOUSHAN - CT-2017'!F292</f>
        <v>338865760</v>
      </c>
      <c r="L115" s="638"/>
      <c r="M115" s="636">
        <v>220</v>
      </c>
      <c r="N115" s="636">
        <f>J115-M115</f>
        <v>443132</v>
      </c>
      <c r="O115" s="624">
        <v>22690</v>
      </c>
      <c r="P115" s="624">
        <f>N115*O115</f>
        <v>10054665080</v>
      </c>
      <c r="Q115" s="624"/>
      <c r="R115" s="624">
        <f>P115-Q115</f>
        <v>10054665080</v>
      </c>
      <c r="S115" s="253"/>
      <c r="T115" s="254"/>
      <c r="U115" s="255"/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637"/>
      <c r="K116" s="625"/>
      <c r="L116" s="639"/>
      <c r="M116" s="637"/>
      <c r="N116" s="637"/>
      <c r="O116" s="625"/>
      <c r="P116" s="625"/>
      <c r="Q116" s="625"/>
      <c r="R116" s="625"/>
      <c r="S116" s="253"/>
      <c r="T116" s="254"/>
      <c r="U116" s="255"/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637"/>
      <c r="K117" s="625"/>
      <c r="L117" s="639"/>
      <c r="M117" s="637"/>
      <c r="N117" s="637"/>
      <c r="O117" s="625"/>
      <c r="P117" s="625"/>
      <c r="Q117" s="625"/>
      <c r="R117" s="625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637"/>
      <c r="K118" s="625"/>
      <c r="L118" s="639"/>
      <c r="M118" s="637"/>
      <c r="N118" s="637"/>
      <c r="O118" s="625"/>
      <c r="P118" s="625"/>
      <c r="Q118" s="625"/>
      <c r="R118" s="625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637"/>
      <c r="K119" s="625"/>
      <c r="L119" s="639"/>
      <c r="M119" s="637"/>
      <c r="N119" s="637"/>
      <c r="O119" s="625"/>
      <c r="P119" s="625"/>
      <c r="Q119" s="625"/>
      <c r="R119" s="625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632"/>
      <c r="K120" s="626"/>
      <c r="L120" s="634"/>
      <c r="M120" s="632"/>
      <c r="N120" s="632"/>
      <c r="O120" s="626"/>
      <c r="P120" s="626"/>
      <c r="Q120" s="626"/>
      <c r="R120" s="626"/>
      <c r="S120" s="253"/>
      <c r="T120" s="254"/>
      <c r="U120" s="255"/>
      <c r="V120" s="144"/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636">
        <f>SUM(I121:I126)</f>
        <v>443352</v>
      </c>
      <c r="K121" s="624">
        <f>18*53000000+'ZHOUSHAN - CT-2017'!F356</f>
        <v>1012770140</v>
      </c>
      <c r="L121" s="308"/>
      <c r="M121" s="309"/>
      <c r="N121" s="309"/>
      <c r="O121" s="310"/>
      <c r="P121" s="310"/>
      <c r="Q121" s="310"/>
      <c r="R121" s="310"/>
      <c r="S121" s="253"/>
      <c r="T121" s="254"/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637"/>
      <c r="K122" s="625"/>
      <c r="L122" s="308"/>
      <c r="M122" s="309"/>
      <c r="N122" s="309"/>
      <c r="O122" s="310"/>
      <c r="P122" s="310"/>
      <c r="Q122" s="310"/>
      <c r="R122" s="310"/>
      <c r="S122" s="253"/>
      <c r="T122" s="254"/>
      <c r="U122" s="255"/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168" si="24">F123*13</f>
        <v>26390</v>
      </c>
      <c r="H123" s="498">
        <v>2.8</v>
      </c>
      <c r="I123" s="454">
        <f t="shared" ref="I123:I168" si="25">G123*H123</f>
        <v>73892</v>
      </c>
      <c r="J123" s="637"/>
      <c r="K123" s="625"/>
      <c r="L123" s="308"/>
      <c r="M123" s="309"/>
      <c r="N123" s="309"/>
      <c r="O123" s="310"/>
      <c r="P123" s="310"/>
      <c r="Q123" s="310"/>
      <c r="R123" s="310"/>
      <c r="S123" s="453"/>
      <c r="T123" s="453"/>
      <c r="U123" s="453"/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637"/>
      <c r="K124" s="625"/>
      <c r="L124" s="308"/>
      <c r="M124" s="309"/>
      <c r="N124" s="309"/>
      <c r="O124" s="310"/>
      <c r="P124" s="310"/>
      <c r="Q124" s="310"/>
      <c r="R124" s="310"/>
      <c r="S124" s="453"/>
      <c r="T124" s="453"/>
      <c r="U124" s="453"/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637"/>
      <c r="K125" s="625"/>
      <c r="L125" s="308"/>
      <c r="M125" s="309"/>
      <c r="N125" s="309"/>
      <c r="O125" s="310"/>
      <c r="P125" s="310"/>
      <c r="Q125" s="310"/>
      <c r="R125" s="310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632"/>
      <c r="K126" s="625"/>
      <c r="L126" s="308"/>
      <c r="M126" s="309"/>
      <c r="N126" s="309"/>
      <c r="O126" s="310"/>
      <c r="P126" s="310"/>
      <c r="Q126" s="310"/>
      <c r="R126" s="310"/>
      <c r="S126" s="253"/>
      <c r="T126" s="254"/>
      <c r="U126" s="255"/>
      <c r="V126" s="144"/>
    </row>
    <row r="127" spans="1:22" s="150" customFormat="1" ht="18.75" customHeight="1">
      <c r="A127" s="144">
        <v>124</v>
      </c>
      <c r="B127" s="504">
        <v>42945</v>
      </c>
      <c r="C127" s="243"/>
      <c r="D127" s="243"/>
      <c r="E127" s="243"/>
      <c r="F127" s="500">
        <v>2030</v>
      </c>
      <c r="G127" s="500">
        <f t="shared" ref="G127:G142" si="26">F127*13</f>
        <v>26390</v>
      </c>
      <c r="H127" s="503">
        <v>2.7</v>
      </c>
      <c r="I127" s="502">
        <f t="shared" ref="I127:I142" si="27">G127*H127</f>
        <v>71253</v>
      </c>
      <c r="J127" s="636">
        <f>SUM(I127:I132)</f>
        <v>427518</v>
      </c>
      <c r="K127" s="625"/>
      <c r="L127" s="308"/>
      <c r="M127" s="309"/>
      <c r="N127" s="309"/>
      <c r="O127" s="310"/>
      <c r="P127" s="310"/>
      <c r="Q127" s="310"/>
      <c r="R127" s="310"/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/>
      <c r="D128" s="243"/>
      <c r="E128" s="243"/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637"/>
      <c r="K128" s="625"/>
      <c r="L128" s="308"/>
      <c r="M128" s="309"/>
      <c r="N128" s="309"/>
      <c r="O128" s="310"/>
      <c r="P128" s="310"/>
      <c r="Q128" s="310"/>
      <c r="R128" s="310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/>
      <c r="D129" s="243"/>
      <c r="E129" s="243"/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637"/>
      <c r="K129" s="625"/>
      <c r="L129" s="308"/>
      <c r="M129" s="309"/>
      <c r="N129" s="309"/>
      <c r="O129" s="310"/>
      <c r="P129" s="310"/>
      <c r="Q129" s="310"/>
      <c r="R129" s="310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/>
      <c r="D130" s="243"/>
      <c r="E130" s="243"/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637"/>
      <c r="K130" s="625"/>
      <c r="L130" s="308"/>
      <c r="M130" s="309"/>
      <c r="N130" s="309"/>
      <c r="O130" s="310"/>
      <c r="P130" s="310"/>
      <c r="Q130" s="310"/>
      <c r="R130" s="310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/>
      <c r="D131" s="243"/>
      <c r="E131" s="243"/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637"/>
      <c r="K131" s="625"/>
      <c r="L131" s="308"/>
      <c r="M131" s="309"/>
      <c r="N131" s="309"/>
      <c r="O131" s="310"/>
      <c r="P131" s="310"/>
      <c r="Q131" s="310"/>
      <c r="R131" s="310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/>
      <c r="D132" s="243"/>
      <c r="E132" s="243"/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632"/>
      <c r="K132" s="625"/>
      <c r="L132" s="308"/>
      <c r="M132" s="309"/>
      <c r="N132" s="309"/>
      <c r="O132" s="310"/>
      <c r="P132" s="310"/>
      <c r="Q132" s="310"/>
      <c r="R132" s="310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/>
      <c r="D133" s="243"/>
      <c r="E133" s="243"/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636">
        <f>SUM(I133:I138)</f>
        <v>427518</v>
      </c>
      <c r="K133" s="625"/>
      <c r="L133" s="308"/>
      <c r="M133" s="309"/>
      <c r="N133" s="309"/>
      <c r="O133" s="310"/>
      <c r="P133" s="310"/>
      <c r="Q133" s="310"/>
      <c r="R133" s="310"/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/>
      <c r="D134" s="243"/>
      <c r="E134" s="243"/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637"/>
      <c r="K134" s="625"/>
      <c r="L134" s="308"/>
      <c r="M134" s="309"/>
      <c r="N134" s="309"/>
      <c r="O134" s="310"/>
      <c r="P134" s="310"/>
      <c r="Q134" s="310"/>
      <c r="R134" s="310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/>
      <c r="D135" s="243"/>
      <c r="E135" s="243"/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637"/>
      <c r="K135" s="625"/>
      <c r="L135" s="308"/>
      <c r="M135" s="309"/>
      <c r="N135" s="309"/>
      <c r="O135" s="310"/>
      <c r="P135" s="310"/>
      <c r="Q135" s="310"/>
      <c r="R135" s="310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/>
      <c r="D136" s="243"/>
      <c r="E136" s="243"/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637"/>
      <c r="K136" s="625"/>
      <c r="L136" s="308"/>
      <c r="M136" s="309"/>
      <c r="N136" s="309"/>
      <c r="O136" s="310"/>
      <c r="P136" s="310"/>
      <c r="Q136" s="310"/>
      <c r="R136" s="310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/>
      <c r="D137" s="243"/>
      <c r="E137" s="243"/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637"/>
      <c r="K137" s="625"/>
      <c r="L137" s="308"/>
      <c r="M137" s="309"/>
      <c r="N137" s="309"/>
      <c r="O137" s="310"/>
      <c r="P137" s="310"/>
      <c r="Q137" s="310"/>
      <c r="R137" s="310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/>
      <c r="D138" s="243"/>
      <c r="E138" s="243"/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632"/>
      <c r="K138" s="626"/>
      <c r="L138" s="308"/>
      <c r="M138" s="309"/>
      <c r="N138" s="309"/>
      <c r="O138" s="310"/>
      <c r="P138" s="310"/>
      <c r="Q138" s="310"/>
      <c r="R138" s="310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/>
      <c r="D139" s="243"/>
      <c r="E139" s="243"/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636">
        <f>SUM(I139:I140)</f>
        <v>134589</v>
      </c>
      <c r="K139" s="624">
        <f>53000000*4</f>
        <v>212000000</v>
      </c>
      <c r="L139" s="308"/>
      <c r="M139" s="309"/>
      <c r="N139" s="309"/>
      <c r="O139" s="310"/>
      <c r="P139" s="310"/>
      <c r="Q139" s="310"/>
      <c r="R139" s="310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/>
      <c r="D140" s="243"/>
      <c r="E140" s="243"/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632"/>
      <c r="K140" s="625"/>
      <c r="L140" s="308"/>
      <c r="M140" s="309"/>
      <c r="N140" s="309"/>
      <c r="O140" s="310"/>
      <c r="P140" s="310"/>
      <c r="Q140" s="310"/>
      <c r="R140" s="310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/>
      <c r="D141" s="243"/>
      <c r="E141" s="243"/>
      <c r="F141" s="549">
        <v>2030</v>
      </c>
      <c r="G141" s="500">
        <f t="shared" si="26"/>
        <v>26390</v>
      </c>
      <c r="H141" s="550">
        <v>2.5499999999999998</v>
      </c>
      <c r="I141" s="502">
        <f t="shared" si="27"/>
        <v>67294.5</v>
      </c>
      <c r="J141" s="636">
        <f>SUM(I141:I142)</f>
        <v>134589</v>
      </c>
      <c r="K141" s="625"/>
      <c r="L141" s="308"/>
      <c r="M141" s="309"/>
      <c r="N141" s="309"/>
      <c r="O141" s="310"/>
      <c r="P141" s="310"/>
      <c r="Q141" s="310"/>
      <c r="R141" s="310"/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/>
      <c r="D142" s="243"/>
      <c r="E142" s="243"/>
      <c r="F142" s="549">
        <v>2030</v>
      </c>
      <c r="G142" s="500">
        <f t="shared" si="26"/>
        <v>26390</v>
      </c>
      <c r="H142" s="550">
        <v>2.5499999999999998</v>
      </c>
      <c r="I142" s="502">
        <f t="shared" si="27"/>
        <v>67294.5</v>
      </c>
      <c r="J142" s="632"/>
      <c r="K142" s="626"/>
      <c r="L142" s="308"/>
      <c r="M142" s="309"/>
      <c r="N142" s="309"/>
      <c r="O142" s="310"/>
      <c r="P142" s="310"/>
      <c r="Q142" s="310"/>
      <c r="R142" s="310"/>
      <c r="S142" s="253"/>
      <c r="T142" s="254"/>
      <c r="U142" s="255"/>
      <c r="V142" s="144"/>
    </row>
    <row r="143" spans="1:22" s="150" customFormat="1" ht="18.75" customHeight="1">
      <c r="A143" s="144">
        <v>140</v>
      </c>
      <c r="B143" s="504">
        <v>42990</v>
      </c>
      <c r="C143" s="243"/>
      <c r="D143" s="243"/>
      <c r="E143" s="243"/>
      <c r="F143" s="549">
        <v>2030</v>
      </c>
      <c r="G143" s="500">
        <f t="shared" si="24"/>
        <v>26390</v>
      </c>
      <c r="H143" s="550">
        <v>2.42</v>
      </c>
      <c r="I143" s="502">
        <f t="shared" si="25"/>
        <v>63863.799999999996</v>
      </c>
      <c r="J143" s="636">
        <f>SUM(I143:I144)</f>
        <v>127727.59999999999</v>
      </c>
      <c r="K143" s="624">
        <f>53000000*2</f>
        <v>106000000</v>
      </c>
      <c r="L143" s="308"/>
      <c r="M143" s="309"/>
      <c r="N143" s="309"/>
      <c r="O143" s="310"/>
      <c r="P143" s="310"/>
      <c r="Q143" s="310"/>
      <c r="R143" s="310"/>
      <c r="S143" s="253"/>
      <c r="T143" s="254"/>
      <c r="U143" s="255"/>
      <c r="V143" s="144"/>
    </row>
    <row r="144" spans="1:22" s="150" customFormat="1" ht="18.75" customHeight="1">
      <c r="A144" s="144">
        <v>141</v>
      </c>
      <c r="B144" s="551">
        <v>42990</v>
      </c>
      <c r="C144" s="243"/>
      <c r="D144" s="243"/>
      <c r="E144" s="243"/>
      <c r="F144" s="549">
        <v>2030</v>
      </c>
      <c r="G144" s="500">
        <f t="shared" si="24"/>
        <v>26390</v>
      </c>
      <c r="H144" s="550">
        <v>2.42</v>
      </c>
      <c r="I144" s="502">
        <f t="shared" si="25"/>
        <v>63863.799999999996</v>
      </c>
      <c r="J144" s="632"/>
      <c r="K144" s="626"/>
      <c r="L144" s="308"/>
      <c r="M144" s="309"/>
      <c r="N144" s="309"/>
      <c r="O144" s="310"/>
      <c r="P144" s="310"/>
      <c r="Q144" s="310"/>
      <c r="R144" s="310"/>
      <c r="S144" s="253"/>
      <c r="T144" s="254"/>
      <c r="U144" s="255"/>
      <c r="V144" s="144"/>
    </row>
    <row r="145" spans="1:22" s="150" customFormat="1" ht="18" customHeight="1">
      <c r="A145" s="144">
        <v>142</v>
      </c>
      <c r="B145" s="504">
        <v>42996</v>
      </c>
      <c r="C145" s="243"/>
      <c r="D145" s="243"/>
      <c r="E145" s="243"/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636">
        <f>SUM(I145:I150)</f>
        <v>383182.8</v>
      </c>
      <c r="K145" s="310"/>
      <c r="L145" s="308"/>
      <c r="M145" s="309"/>
      <c r="N145" s="309"/>
      <c r="O145" s="310"/>
      <c r="P145" s="310"/>
      <c r="Q145" s="310"/>
      <c r="R145" s="310"/>
      <c r="S145" s="501"/>
      <c r="T145" s="501"/>
      <c r="U145" s="501"/>
      <c r="V145" s="144"/>
    </row>
    <row r="146" spans="1:22" s="150" customFormat="1" ht="18" customHeight="1">
      <c r="A146" s="144">
        <v>143</v>
      </c>
      <c r="B146" s="566">
        <v>42996</v>
      </c>
      <c r="C146" s="243"/>
      <c r="D146" s="243"/>
      <c r="E146" s="243"/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637"/>
      <c r="K146" s="310"/>
      <c r="L146" s="308"/>
      <c r="M146" s="309"/>
      <c r="N146" s="309"/>
      <c r="O146" s="310"/>
      <c r="P146" s="310"/>
      <c r="Q146" s="310"/>
      <c r="R146" s="310"/>
      <c r="S146" s="501"/>
      <c r="T146" s="501"/>
      <c r="U146" s="501"/>
      <c r="V146" s="144"/>
    </row>
    <row r="147" spans="1:22" s="150" customFormat="1" ht="18" customHeight="1">
      <c r="A147" s="144">
        <v>144</v>
      </c>
      <c r="B147" s="566">
        <v>42996</v>
      </c>
      <c r="C147" s="243"/>
      <c r="D147" s="243"/>
      <c r="E147" s="243"/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637"/>
      <c r="K147" s="310"/>
      <c r="L147" s="308"/>
      <c r="M147" s="309"/>
      <c r="N147" s="309"/>
      <c r="O147" s="310"/>
      <c r="P147" s="310"/>
      <c r="Q147" s="310"/>
      <c r="R147" s="310"/>
      <c r="S147" s="253"/>
      <c r="T147" s="254"/>
      <c r="U147" s="255"/>
      <c r="V147" s="144"/>
    </row>
    <row r="148" spans="1:22" s="150" customFormat="1" ht="18" customHeight="1">
      <c r="A148" s="144">
        <v>145</v>
      </c>
      <c r="B148" s="566">
        <v>42996</v>
      </c>
      <c r="C148" s="243"/>
      <c r="D148" s="243"/>
      <c r="E148" s="243"/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637"/>
      <c r="K148" s="310"/>
      <c r="L148" s="308"/>
      <c r="M148" s="309"/>
      <c r="N148" s="309"/>
      <c r="O148" s="310"/>
      <c r="P148" s="310"/>
      <c r="Q148" s="310"/>
      <c r="R148" s="310"/>
      <c r="S148" s="253"/>
      <c r="T148" s="254"/>
      <c r="U148" s="255"/>
      <c r="V148" s="144"/>
    </row>
    <row r="149" spans="1:22" s="150" customFormat="1" ht="18.75" customHeight="1">
      <c r="A149" s="144">
        <v>146</v>
      </c>
      <c r="B149" s="566">
        <v>42996</v>
      </c>
      <c r="C149" s="243"/>
      <c r="D149" s="243"/>
      <c r="E149" s="243"/>
      <c r="F149" s="564">
        <v>2030</v>
      </c>
      <c r="G149" s="500">
        <f t="shared" si="24"/>
        <v>26390</v>
      </c>
      <c r="H149" s="565">
        <v>2.42</v>
      </c>
      <c r="I149" s="502">
        <f t="shared" si="25"/>
        <v>63863.799999999996</v>
      </c>
      <c r="J149" s="637"/>
      <c r="K149" s="310"/>
      <c r="L149" s="308"/>
      <c r="M149" s="309"/>
      <c r="N149" s="309"/>
      <c r="O149" s="310"/>
      <c r="P149" s="310"/>
      <c r="Q149" s="310"/>
      <c r="R149" s="310"/>
      <c r="S149" s="253"/>
      <c r="T149" s="254"/>
      <c r="U149" s="255"/>
      <c r="V149" s="144"/>
    </row>
    <row r="150" spans="1:22" s="150" customFormat="1" ht="18.75" customHeight="1">
      <c r="A150" s="144">
        <v>147</v>
      </c>
      <c r="B150" s="566">
        <v>42996</v>
      </c>
      <c r="C150" s="243"/>
      <c r="D150" s="243"/>
      <c r="E150" s="243"/>
      <c r="F150" s="564">
        <v>2030</v>
      </c>
      <c r="G150" s="500">
        <f t="shared" si="24"/>
        <v>26390</v>
      </c>
      <c r="H150" s="565">
        <v>2.42</v>
      </c>
      <c r="I150" s="502">
        <f t="shared" si="25"/>
        <v>63863.799999999996</v>
      </c>
      <c r="J150" s="632"/>
      <c r="K150" s="310"/>
      <c r="L150" s="308"/>
      <c r="M150" s="309"/>
      <c r="N150" s="309"/>
      <c r="O150" s="310"/>
      <c r="P150" s="310"/>
      <c r="Q150" s="310"/>
      <c r="R150" s="310"/>
      <c r="S150" s="253"/>
      <c r="T150" s="254"/>
      <c r="U150" s="255"/>
      <c r="V150" s="144"/>
    </row>
    <row r="151" spans="1:22" s="150" customFormat="1" ht="18.75" customHeight="1">
      <c r="A151" s="144">
        <v>148</v>
      </c>
      <c r="B151" s="566">
        <v>42996</v>
      </c>
      <c r="C151" s="243"/>
      <c r="D151" s="243"/>
      <c r="E151" s="243"/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636">
        <f>SUM(I151:I152)</f>
        <v>127727.59999999999</v>
      </c>
      <c r="K151" s="310"/>
      <c r="L151" s="308"/>
      <c r="M151" s="309"/>
      <c r="N151" s="309"/>
      <c r="O151" s="310"/>
      <c r="P151" s="310"/>
      <c r="Q151" s="310"/>
      <c r="R151" s="310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/>
      <c r="D152" s="243"/>
      <c r="E152" s="243"/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632"/>
      <c r="K152" s="310"/>
      <c r="L152" s="308"/>
      <c r="M152" s="309"/>
      <c r="N152" s="309"/>
      <c r="O152" s="310"/>
      <c r="P152" s="310"/>
      <c r="Q152" s="310"/>
      <c r="R152" s="310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/>
      <c r="D153" s="243"/>
      <c r="E153" s="243"/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636">
        <f>SUM(I153:I156)</f>
        <v>255455.19999999998</v>
      </c>
      <c r="K153" s="310"/>
      <c r="L153" s="308"/>
      <c r="M153" s="309"/>
      <c r="N153" s="309"/>
      <c r="O153" s="310"/>
      <c r="P153" s="310"/>
      <c r="Q153" s="310"/>
      <c r="R153" s="310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/>
      <c r="D154" s="243"/>
      <c r="E154" s="243"/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637"/>
      <c r="K154" s="310"/>
      <c r="L154" s="308"/>
      <c r="M154" s="309"/>
      <c r="N154" s="309"/>
      <c r="O154" s="310"/>
      <c r="P154" s="310"/>
      <c r="Q154" s="310"/>
      <c r="R154" s="310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/>
      <c r="D155" s="243"/>
      <c r="E155" s="243"/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637"/>
      <c r="K155" s="310"/>
      <c r="L155" s="308"/>
      <c r="M155" s="309"/>
      <c r="N155" s="309"/>
      <c r="O155" s="310"/>
      <c r="P155" s="310"/>
      <c r="Q155" s="310"/>
      <c r="R155" s="310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/>
      <c r="D156" s="243"/>
      <c r="E156" s="243"/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632"/>
      <c r="K156" s="310"/>
      <c r="L156" s="308"/>
      <c r="M156" s="309"/>
      <c r="N156" s="309"/>
      <c r="O156" s="310"/>
      <c r="P156" s="310"/>
      <c r="Q156" s="310"/>
      <c r="R156" s="310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/>
      <c r="C157" s="243"/>
      <c r="D157" s="243"/>
      <c r="E157" s="243"/>
      <c r="F157" s="501"/>
      <c r="G157" s="500">
        <f t="shared" si="28"/>
        <v>0</v>
      </c>
      <c r="H157" s="503"/>
      <c r="I157" s="502">
        <f t="shared" si="29"/>
        <v>0</v>
      </c>
      <c r="J157" s="309"/>
      <c r="K157" s="310"/>
      <c r="L157" s="308"/>
      <c r="M157" s="309"/>
      <c r="N157" s="309"/>
      <c r="O157" s="310"/>
      <c r="P157" s="310"/>
      <c r="Q157" s="310"/>
      <c r="R157" s="310"/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504"/>
      <c r="C158" s="243"/>
      <c r="D158" s="243"/>
      <c r="E158" s="243"/>
      <c r="F158" s="501"/>
      <c r="G158" s="500">
        <f t="shared" si="28"/>
        <v>0</v>
      </c>
      <c r="H158" s="503"/>
      <c r="I158" s="502">
        <f t="shared" si="29"/>
        <v>0</v>
      </c>
      <c r="J158" s="309"/>
      <c r="K158" s="310"/>
      <c r="L158" s="308"/>
      <c r="M158" s="309"/>
      <c r="N158" s="309"/>
      <c r="O158" s="310"/>
      <c r="P158" s="310"/>
      <c r="Q158" s="310"/>
      <c r="R158" s="310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504"/>
      <c r="C159" s="243"/>
      <c r="D159" s="243"/>
      <c r="E159" s="243"/>
      <c r="F159" s="501"/>
      <c r="G159" s="500">
        <f t="shared" ref="G159:G166" si="30">F159*13</f>
        <v>0</v>
      </c>
      <c r="H159" s="503"/>
      <c r="I159" s="502">
        <f t="shared" ref="I159:I166" si="31">G159*H159</f>
        <v>0</v>
      </c>
      <c r="J159" s="309"/>
      <c r="K159" s="310"/>
      <c r="L159" s="308"/>
      <c r="M159" s="309"/>
      <c r="N159" s="309"/>
      <c r="O159" s="310"/>
      <c r="P159" s="310"/>
      <c r="Q159" s="310"/>
      <c r="R159" s="310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504"/>
      <c r="C160" s="243"/>
      <c r="D160" s="243"/>
      <c r="E160" s="243"/>
      <c r="F160" s="501"/>
      <c r="G160" s="500">
        <f t="shared" si="30"/>
        <v>0</v>
      </c>
      <c r="H160" s="503"/>
      <c r="I160" s="502">
        <f t="shared" si="31"/>
        <v>0</v>
      </c>
      <c r="J160" s="309"/>
      <c r="K160" s="310"/>
      <c r="L160" s="308"/>
      <c r="M160" s="309"/>
      <c r="N160" s="309"/>
      <c r="O160" s="310"/>
      <c r="P160" s="310"/>
      <c r="Q160" s="310"/>
      <c r="R160" s="310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504"/>
      <c r="C161" s="243"/>
      <c r="D161" s="243"/>
      <c r="E161" s="243"/>
      <c r="F161" s="501"/>
      <c r="G161" s="500">
        <f t="shared" si="30"/>
        <v>0</v>
      </c>
      <c r="H161" s="503"/>
      <c r="I161" s="502">
        <f t="shared" si="31"/>
        <v>0</v>
      </c>
      <c r="J161" s="309"/>
      <c r="K161" s="310"/>
      <c r="L161" s="308"/>
      <c r="M161" s="309"/>
      <c r="N161" s="309"/>
      <c r="O161" s="310"/>
      <c r="P161" s="310"/>
      <c r="Q161" s="310"/>
      <c r="R161" s="310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504"/>
      <c r="C162" s="243"/>
      <c r="D162" s="243"/>
      <c r="E162" s="243"/>
      <c r="F162" s="501"/>
      <c r="G162" s="500">
        <f t="shared" si="30"/>
        <v>0</v>
      </c>
      <c r="H162" s="503"/>
      <c r="I162" s="502">
        <f t="shared" si="31"/>
        <v>0</v>
      </c>
      <c r="J162" s="309"/>
      <c r="K162" s="310"/>
      <c r="L162" s="308"/>
      <c r="M162" s="309"/>
      <c r="N162" s="309"/>
      <c r="O162" s="310"/>
      <c r="P162" s="310"/>
      <c r="Q162" s="310"/>
      <c r="R162" s="310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504"/>
      <c r="C163" s="243"/>
      <c r="D163" s="243"/>
      <c r="E163" s="243"/>
      <c r="F163" s="501"/>
      <c r="G163" s="500">
        <f t="shared" si="30"/>
        <v>0</v>
      </c>
      <c r="H163" s="503"/>
      <c r="I163" s="502">
        <f t="shared" si="31"/>
        <v>0</v>
      </c>
      <c r="J163" s="309"/>
      <c r="K163" s="310"/>
      <c r="L163" s="308"/>
      <c r="M163" s="309"/>
      <c r="N163" s="309"/>
      <c r="O163" s="310"/>
      <c r="P163" s="310"/>
      <c r="Q163" s="310"/>
      <c r="R163" s="310"/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504"/>
      <c r="C164" s="243"/>
      <c r="D164" s="243"/>
      <c r="E164" s="243"/>
      <c r="F164" s="501"/>
      <c r="G164" s="500">
        <f t="shared" si="30"/>
        <v>0</v>
      </c>
      <c r="H164" s="503"/>
      <c r="I164" s="502">
        <f t="shared" si="31"/>
        <v>0</v>
      </c>
      <c r="J164" s="309"/>
      <c r="K164" s="310"/>
      <c r="L164" s="308"/>
      <c r="M164" s="309"/>
      <c r="N164" s="309"/>
      <c r="O164" s="310"/>
      <c r="P164" s="310"/>
      <c r="Q164" s="310"/>
      <c r="R164" s="310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504"/>
      <c r="C165" s="243"/>
      <c r="D165" s="243"/>
      <c r="E165" s="243"/>
      <c r="F165" s="501"/>
      <c r="G165" s="500">
        <f t="shared" si="30"/>
        <v>0</v>
      </c>
      <c r="H165" s="503"/>
      <c r="I165" s="502">
        <f t="shared" si="31"/>
        <v>0</v>
      </c>
      <c r="J165" s="309"/>
      <c r="K165" s="310"/>
      <c r="L165" s="308"/>
      <c r="M165" s="309"/>
      <c r="N165" s="309"/>
      <c r="O165" s="310"/>
      <c r="P165" s="310"/>
      <c r="Q165" s="310"/>
      <c r="R165" s="310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504"/>
      <c r="C166" s="243"/>
      <c r="D166" s="243"/>
      <c r="E166" s="243"/>
      <c r="F166" s="501"/>
      <c r="G166" s="500">
        <f t="shared" si="30"/>
        <v>0</v>
      </c>
      <c r="H166" s="503"/>
      <c r="I166" s="502">
        <f t="shared" si="31"/>
        <v>0</v>
      </c>
      <c r="J166" s="309"/>
      <c r="K166" s="310"/>
      <c r="L166" s="308"/>
      <c r="M166" s="309"/>
      <c r="N166" s="309"/>
      <c r="O166" s="310"/>
      <c r="P166" s="310"/>
      <c r="Q166" s="310"/>
      <c r="R166" s="310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456"/>
      <c r="C167" s="243"/>
      <c r="D167" s="243"/>
      <c r="E167" s="243"/>
      <c r="F167" s="453"/>
      <c r="G167" s="452">
        <f t="shared" si="24"/>
        <v>0</v>
      </c>
      <c r="H167" s="455"/>
      <c r="I167" s="454">
        <f t="shared" si="25"/>
        <v>0</v>
      </c>
      <c r="J167" s="309"/>
      <c r="K167" s="310"/>
      <c r="L167" s="308"/>
      <c r="M167" s="309"/>
      <c r="N167" s="309"/>
      <c r="O167" s="310"/>
      <c r="P167" s="310"/>
      <c r="Q167" s="310"/>
      <c r="R167" s="310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456"/>
      <c r="C168" s="243"/>
      <c r="D168" s="243"/>
      <c r="E168" s="243"/>
      <c r="F168" s="453"/>
      <c r="G168" s="452">
        <f t="shared" si="24"/>
        <v>0</v>
      </c>
      <c r="H168" s="455"/>
      <c r="I168" s="454">
        <f t="shared" si="25"/>
        <v>0</v>
      </c>
      <c r="J168" s="309"/>
      <c r="K168" s="310"/>
      <c r="L168" s="308"/>
      <c r="M168" s="309"/>
      <c r="N168" s="309"/>
      <c r="O168" s="310"/>
      <c r="P168" s="310"/>
      <c r="Q168" s="310"/>
      <c r="R168" s="310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300"/>
      <c r="C169" s="243"/>
      <c r="D169" s="243"/>
      <c r="E169" s="243"/>
      <c r="F169" s="298"/>
      <c r="G169" s="316">
        <f t="shared" si="16"/>
        <v>0</v>
      </c>
      <c r="H169" s="299"/>
      <c r="I169" s="320">
        <f t="shared" si="7"/>
        <v>0</v>
      </c>
      <c r="J169" s="309"/>
      <c r="K169" s="310"/>
      <c r="L169" s="308"/>
      <c r="M169" s="309"/>
      <c r="N169" s="309"/>
      <c r="O169" s="310"/>
      <c r="P169" s="310"/>
      <c r="Q169" s="310"/>
      <c r="R169" s="310"/>
      <c r="S169" s="298"/>
      <c r="T169" s="298"/>
      <c r="U169" s="298"/>
      <c r="V169" s="144"/>
    </row>
    <row r="170" spans="1:22" s="150" customFormat="1" ht="18" customHeight="1">
      <c r="A170" s="144">
        <v>167</v>
      </c>
      <c r="B170" s="300"/>
      <c r="C170" s="243"/>
      <c r="D170" s="243"/>
      <c r="E170" s="243"/>
      <c r="F170" s="298"/>
      <c r="G170" s="316">
        <f t="shared" si="16"/>
        <v>0</v>
      </c>
      <c r="H170" s="299"/>
      <c r="I170" s="320">
        <f t="shared" si="7"/>
        <v>0</v>
      </c>
      <c r="J170" s="309"/>
      <c r="K170" s="310"/>
      <c r="L170" s="308"/>
      <c r="M170" s="309"/>
      <c r="N170" s="309"/>
      <c r="O170" s="310"/>
      <c r="P170" s="310"/>
      <c r="Q170" s="310"/>
      <c r="R170" s="310"/>
      <c r="S170" s="298"/>
      <c r="T170" s="298"/>
      <c r="U170" s="298"/>
      <c r="V170" s="144"/>
    </row>
    <row r="171" spans="1:22" s="150" customFormat="1" ht="18" customHeight="1">
      <c r="A171" s="144">
        <v>168</v>
      </c>
      <c r="B171" s="300"/>
      <c r="C171" s="243"/>
      <c r="D171" s="243"/>
      <c r="E171" s="243"/>
      <c r="F171" s="298"/>
      <c r="G171" s="316">
        <f t="shared" si="16"/>
        <v>0</v>
      </c>
      <c r="H171" s="299"/>
      <c r="I171" s="320">
        <f t="shared" si="7"/>
        <v>0</v>
      </c>
      <c r="J171" s="309"/>
      <c r="K171" s="310"/>
      <c r="L171" s="308"/>
      <c r="M171" s="309"/>
      <c r="N171" s="309"/>
      <c r="O171" s="310"/>
      <c r="P171" s="310"/>
      <c r="Q171" s="310"/>
      <c r="R171" s="310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300"/>
      <c r="C172" s="243"/>
      <c r="D172" s="243"/>
      <c r="E172" s="243"/>
      <c r="F172" s="298"/>
      <c r="G172" s="316">
        <f t="shared" si="16"/>
        <v>0</v>
      </c>
      <c r="H172" s="299"/>
      <c r="I172" s="320">
        <f t="shared" si="7"/>
        <v>0</v>
      </c>
      <c r="J172" s="309"/>
      <c r="K172" s="310"/>
      <c r="L172" s="308"/>
      <c r="M172" s="309"/>
      <c r="N172" s="309"/>
      <c r="O172" s="310"/>
      <c r="P172" s="310"/>
      <c r="Q172" s="310"/>
      <c r="R172" s="310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300"/>
      <c r="C173" s="243"/>
      <c r="D173" s="243"/>
      <c r="E173" s="243"/>
      <c r="F173" s="298"/>
      <c r="G173" s="316">
        <f t="shared" si="16"/>
        <v>0</v>
      </c>
      <c r="H173" s="299"/>
      <c r="I173" s="320">
        <f t="shared" si="7"/>
        <v>0</v>
      </c>
      <c r="J173" s="309"/>
      <c r="K173" s="310"/>
      <c r="L173" s="308"/>
      <c r="M173" s="309"/>
      <c r="N173" s="309"/>
      <c r="O173" s="310"/>
      <c r="P173" s="310"/>
      <c r="Q173" s="310"/>
      <c r="R173" s="310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300"/>
      <c r="C174" s="243"/>
      <c r="D174" s="243"/>
      <c r="E174" s="243"/>
      <c r="F174" s="298"/>
      <c r="G174" s="316">
        <f t="shared" si="16"/>
        <v>0</v>
      </c>
      <c r="H174" s="299"/>
      <c r="I174" s="320">
        <f t="shared" si="7"/>
        <v>0</v>
      </c>
      <c r="J174" s="309"/>
      <c r="K174" s="310"/>
      <c r="L174" s="308"/>
      <c r="M174" s="309"/>
      <c r="N174" s="309"/>
      <c r="O174" s="310"/>
      <c r="P174" s="310"/>
      <c r="Q174" s="310"/>
      <c r="R174" s="310"/>
      <c r="S174" s="253"/>
      <c r="T174" s="254"/>
      <c r="U174" s="255"/>
      <c r="V174" s="144"/>
    </row>
    <row r="175" spans="1:22" s="150" customFormat="1" ht="18.75" customHeight="1">
      <c r="A175" s="249"/>
      <c r="B175" s="296"/>
      <c r="C175" s="148"/>
      <c r="D175" s="148"/>
      <c r="E175" s="148"/>
      <c r="F175" s="293"/>
      <c r="G175" s="315"/>
      <c r="H175" s="291"/>
      <c r="I175" s="291"/>
      <c r="J175" s="291"/>
      <c r="K175" s="312"/>
      <c r="L175" s="311"/>
      <c r="M175" s="311"/>
      <c r="N175" s="312"/>
      <c r="O175" s="312"/>
      <c r="P175" s="312"/>
      <c r="Q175" s="312"/>
      <c r="R175" s="312"/>
      <c r="S175" s="291"/>
      <c r="T175" s="291"/>
      <c r="U175" s="291"/>
      <c r="V175" s="249"/>
    </row>
    <row r="176" spans="1:22" s="305" customFormat="1" ht="18.75" customHeight="1">
      <c r="A176" s="640" t="s">
        <v>19</v>
      </c>
      <c r="B176" s="641"/>
      <c r="C176" s="641"/>
      <c r="D176" s="641"/>
      <c r="E176" s="642"/>
      <c r="F176" s="261">
        <f>SUM(F4:F175)</f>
        <v>310407</v>
      </c>
      <c r="G176" s="261"/>
      <c r="H176" s="262"/>
      <c r="I176" s="262"/>
      <c r="J176" s="552">
        <f>SUM(J4:J175)</f>
        <v>10824487.899999999</v>
      </c>
      <c r="K176" s="261">
        <f>SUM(K4:K175)</f>
        <v>7473692680</v>
      </c>
      <c r="L176" s="262"/>
      <c r="M176" s="552">
        <f>SUM(M4:M175)</f>
        <v>1367.66</v>
      </c>
      <c r="N176" s="262">
        <f>SUM(N4:N175)</f>
        <v>8065893.040000001</v>
      </c>
      <c r="O176" s="262"/>
      <c r="P176" s="261">
        <f>SUM(P4:P175)</f>
        <v>182741188674.89999</v>
      </c>
      <c r="Q176" s="261">
        <f>SUM(Q4:Q175)</f>
        <v>34746391</v>
      </c>
      <c r="R176" s="261">
        <f>SUM(R4:R175)</f>
        <v>181200442283.89999</v>
      </c>
      <c r="S176" s="261"/>
      <c r="T176" s="261">
        <f>SUM(T4:T175)</f>
        <v>179264692.77500001</v>
      </c>
      <c r="U176" s="261">
        <f>SUM(U4:U175)</f>
        <v>165202832600</v>
      </c>
      <c r="V176" s="262"/>
    </row>
    <row r="177" spans="2:22" ht="18.75" customHeight="1">
      <c r="B177" s="162"/>
    </row>
    <row r="178" spans="2:22" s="237" customFormat="1" ht="18.75" customHeight="1">
      <c r="K178" s="462">
        <f>R176-T176-U176-K176-500000000</f>
        <v>7844652311.125</v>
      </c>
      <c r="L178" s="305"/>
      <c r="M178" s="305"/>
      <c r="N178" s="463">
        <f>J176-N176</f>
        <v>2758594.8599999975</v>
      </c>
      <c r="O178" s="305"/>
      <c r="P178" s="627" t="s">
        <v>463</v>
      </c>
      <c r="Q178" s="627"/>
      <c r="R178" s="627"/>
      <c r="S178" s="259"/>
      <c r="T178" s="259"/>
      <c r="U178" s="259"/>
      <c r="V178" s="301"/>
    </row>
    <row r="179" spans="2:22" ht="18.75" customHeight="1">
      <c r="K179" s="259"/>
      <c r="S179" s="306"/>
      <c r="T179" s="306"/>
      <c r="U179" s="306"/>
      <c r="V179" s="259"/>
    </row>
    <row r="180" spans="2:22" ht="18" customHeight="1">
      <c r="V180" s="307"/>
    </row>
    <row r="181" spans="2:22" ht="18" customHeight="1">
      <c r="V181" s="307"/>
    </row>
  </sheetData>
  <autoFilter ref="A3:V174"/>
  <mergeCells count="201">
    <mergeCell ref="Q85:Q88"/>
    <mergeCell ref="P81:P84"/>
    <mergeCell ref="Q81:Q84"/>
    <mergeCell ref="P75:P80"/>
    <mergeCell ref="Q75:Q80"/>
    <mergeCell ref="Q109:Q114"/>
    <mergeCell ref="R109:R114"/>
    <mergeCell ref="R85:R88"/>
    <mergeCell ref="R81:R84"/>
    <mergeCell ref="R75:R80"/>
    <mergeCell ref="R99:R104"/>
    <mergeCell ref="P178:R178"/>
    <mergeCell ref="J4:J9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J33:J36"/>
    <mergeCell ref="Q15:Q20"/>
    <mergeCell ref="J89:J92"/>
    <mergeCell ref="J93:J94"/>
    <mergeCell ref="N57:N62"/>
    <mergeCell ref="P89:P92"/>
    <mergeCell ref="Q89:Q92"/>
    <mergeCell ref="R89:R92"/>
    <mergeCell ref="R57:R62"/>
    <mergeCell ref="R51:R56"/>
    <mergeCell ref="R45:R50"/>
    <mergeCell ref="M37:M39"/>
    <mergeCell ref="R40:R44"/>
    <mergeCell ref="L40:L44"/>
    <mergeCell ref="L45:L50"/>
    <mergeCell ref="K37:K44"/>
    <mergeCell ref="N69:N74"/>
    <mergeCell ref="O69:O74"/>
    <mergeCell ref="P69:P74"/>
    <mergeCell ref="Q69:Q74"/>
    <mergeCell ref="N63:N68"/>
    <mergeCell ref="O63:O68"/>
    <mergeCell ref="P40:P44"/>
    <mergeCell ref="Q40:Q44"/>
    <mergeCell ref="Q45:Q50"/>
    <mergeCell ref="Q51:Q56"/>
    <mergeCell ref="P51:P56"/>
    <mergeCell ref="P63:P68"/>
    <mergeCell ref="Q63:Q68"/>
    <mergeCell ref="R63:R68"/>
    <mergeCell ref="R69:R74"/>
    <mergeCell ref="P57:P62"/>
    <mergeCell ref="Q57:Q62"/>
    <mergeCell ref="J27:J32"/>
    <mergeCell ref="P27:P32"/>
    <mergeCell ref="Q27:Q32"/>
    <mergeCell ref="R27:R32"/>
    <mergeCell ref="Q21:Q26"/>
    <mergeCell ref="R21:R26"/>
    <mergeCell ref="L27:L32"/>
    <mergeCell ref="M27:M32"/>
    <mergeCell ref="N27:N32"/>
    <mergeCell ref="O27:O32"/>
    <mergeCell ref="L21:L26"/>
    <mergeCell ref="M21:M26"/>
    <mergeCell ref="N21:N26"/>
    <mergeCell ref="O21:O26"/>
    <mergeCell ref="P21:P26"/>
    <mergeCell ref="R33:R36"/>
    <mergeCell ref="R37:R39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Q37:Q39"/>
    <mergeCell ref="Q33:Q36"/>
    <mergeCell ref="P33:P36"/>
    <mergeCell ref="N37:N39"/>
    <mergeCell ref="O37:O39"/>
    <mergeCell ref="P37:P39"/>
    <mergeCell ref="L75:L80"/>
    <mergeCell ref="P45:P50"/>
    <mergeCell ref="O75:O80"/>
    <mergeCell ref="N89:N92"/>
    <mergeCell ref="O89:O92"/>
    <mergeCell ref="N51:N56"/>
    <mergeCell ref="O51:O56"/>
    <mergeCell ref="N81:N84"/>
    <mergeCell ref="O81:O84"/>
    <mergeCell ref="O57:O62"/>
    <mergeCell ref="M75:M80"/>
    <mergeCell ref="N75:N80"/>
    <mergeCell ref="M33:M36"/>
    <mergeCell ref="N33:N36"/>
    <mergeCell ref="O33:O36"/>
    <mergeCell ref="P85:P88"/>
    <mergeCell ref="J63:J68"/>
    <mergeCell ref="J69:J74"/>
    <mergeCell ref="K57:K62"/>
    <mergeCell ref="K45:K56"/>
    <mergeCell ref="J75:J80"/>
    <mergeCell ref="K63:K84"/>
    <mergeCell ref="Q115:Q120"/>
    <mergeCell ref="K33:K36"/>
    <mergeCell ref="N45:N50"/>
    <mergeCell ref="O45:O50"/>
    <mergeCell ref="L85:L88"/>
    <mergeCell ref="M85:M88"/>
    <mergeCell ref="N85:N88"/>
    <mergeCell ref="O85:O88"/>
    <mergeCell ref="M40:M44"/>
    <mergeCell ref="N40:N44"/>
    <mergeCell ref="O40:O44"/>
    <mergeCell ref="L69:L74"/>
    <mergeCell ref="M69:M74"/>
    <mergeCell ref="L89:L92"/>
    <mergeCell ref="M89:M92"/>
    <mergeCell ref="L57:L62"/>
    <mergeCell ref="L63:L68"/>
    <mergeCell ref="L33:L36"/>
    <mergeCell ref="A176:E176"/>
    <mergeCell ref="J37:J44"/>
    <mergeCell ref="J45:J50"/>
    <mergeCell ref="J81:J84"/>
    <mergeCell ref="J85:J88"/>
    <mergeCell ref="K85:K94"/>
    <mergeCell ref="J99:J104"/>
    <mergeCell ref="J115:J120"/>
    <mergeCell ref="M57:M62"/>
    <mergeCell ref="M45:M5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L51:L56"/>
    <mergeCell ref="M51:M56"/>
    <mergeCell ref="M63:M68"/>
    <mergeCell ref="J51:J56"/>
    <mergeCell ref="J57:J62"/>
    <mergeCell ref="M93:M98"/>
    <mergeCell ref="N93:N98"/>
    <mergeCell ref="O93:O98"/>
    <mergeCell ref="P93:P98"/>
    <mergeCell ref="Q93:Q98"/>
    <mergeCell ref="R93:R98"/>
    <mergeCell ref="J127:J132"/>
    <mergeCell ref="J133:J138"/>
    <mergeCell ref="J121:J126"/>
    <mergeCell ref="K121:K138"/>
    <mergeCell ref="L93:L98"/>
    <mergeCell ref="L109:L114"/>
    <mergeCell ref="M109:M114"/>
    <mergeCell ref="N109:N114"/>
    <mergeCell ref="O109:O114"/>
    <mergeCell ref="P109:P114"/>
    <mergeCell ref="L115:L120"/>
    <mergeCell ref="M115:M120"/>
    <mergeCell ref="N115:N120"/>
    <mergeCell ref="R115:R120"/>
    <mergeCell ref="Q99:Q104"/>
    <mergeCell ref="J145:J150"/>
    <mergeCell ref="J151:J152"/>
    <mergeCell ref="J153:J156"/>
    <mergeCell ref="J141:J142"/>
    <mergeCell ref="J143:J144"/>
    <mergeCell ref="M99:M104"/>
    <mergeCell ref="N99:N104"/>
    <mergeCell ref="O99:O104"/>
    <mergeCell ref="P99:P104"/>
    <mergeCell ref="O115:O120"/>
    <mergeCell ref="P115:P120"/>
    <mergeCell ref="K115:K120"/>
    <mergeCell ref="J139:J140"/>
    <mergeCell ref="K139:K142"/>
    <mergeCell ref="K143:K144"/>
  </mergeCells>
  <pageMargins left="0.16" right="0.16" top="0.11" bottom="0.16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07"/>
  <sheetViews>
    <sheetView topLeftCell="A361" zoomScale="90" zoomScaleNormal="90" workbookViewId="0">
      <selection activeCell="A369" sqref="A369:F378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customWidth="1"/>
    <col min="15" max="16" width="7.28515625" style="334" customWidth="1"/>
    <col min="17" max="18" width="8.5703125" style="335" customWidth="1"/>
    <col min="19" max="19" width="11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709" t="s">
        <v>798</v>
      </c>
      <c r="D233" s="710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711">
        <v>240000000</v>
      </c>
      <c r="D234" s="712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705">
        <v>9500000000</v>
      </c>
      <c r="D235" s="706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705">
        <v>120000000</v>
      </c>
      <c r="D236" s="706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705"/>
      <c r="D237" s="706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705"/>
      <c r="D238" s="706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705"/>
      <c r="D239" s="706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713"/>
      <c r="D245" s="714"/>
      <c r="E245" s="258"/>
      <c r="F245" s="478"/>
    </row>
    <row r="246" spans="1:19">
      <c r="A246" s="376"/>
      <c r="B246" s="376" t="s">
        <v>57</v>
      </c>
      <c r="C246" s="707">
        <f>SUM(C234:C245)</f>
        <v>9860000000</v>
      </c>
      <c r="D246" s="708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697" t="s">
        <v>0</v>
      </c>
      <c r="B286" s="697" t="s">
        <v>21</v>
      </c>
      <c r="C286" s="698" t="s">
        <v>50</v>
      </c>
      <c r="D286" s="699" t="s">
        <v>51</v>
      </c>
      <c r="E286" s="699" t="s">
        <v>9</v>
      </c>
      <c r="F286" s="699" t="s">
        <v>117</v>
      </c>
      <c r="G286" s="699" t="s">
        <v>52</v>
      </c>
      <c r="I286" s="697" t="s">
        <v>0</v>
      </c>
      <c r="J286" s="697" t="s">
        <v>30</v>
      </c>
      <c r="K286" s="697" t="s">
        <v>31</v>
      </c>
      <c r="L286" s="697" t="s">
        <v>103</v>
      </c>
      <c r="M286" s="697" t="s">
        <v>32</v>
      </c>
      <c r="N286" s="697" t="s">
        <v>573</v>
      </c>
      <c r="O286" s="703" t="s">
        <v>83</v>
      </c>
      <c r="P286" s="704"/>
      <c r="Q286" s="701" t="s">
        <v>33</v>
      </c>
      <c r="R286" s="699" t="s">
        <v>106</v>
      </c>
      <c r="S286" s="699" t="s">
        <v>9</v>
      </c>
      <c r="T286" s="699" t="s">
        <v>82</v>
      </c>
    </row>
    <row r="287" spans="1:20" ht="25.5" customHeight="1">
      <c r="A287" s="697"/>
      <c r="B287" s="697"/>
      <c r="C287" s="698"/>
      <c r="D287" s="699"/>
      <c r="E287" s="699"/>
      <c r="F287" s="699"/>
      <c r="G287" s="699"/>
      <c r="I287" s="697"/>
      <c r="J287" s="697"/>
      <c r="K287" s="697"/>
      <c r="L287" s="697"/>
      <c r="M287" s="697"/>
      <c r="N287" s="697"/>
      <c r="O287" s="509" t="s">
        <v>846</v>
      </c>
      <c r="P287" s="509" t="s">
        <v>847</v>
      </c>
      <c r="Q287" s="702"/>
      <c r="R287" s="699"/>
      <c r="S287" s="699"/>
      <c r="T287" s="699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700">
        <f>O346-P346</f>
        <v>16295</v>
      </c>
      <c r="N347" s="700"/>
      <c r="O347" s="700"/>
      <c r="P347" s="700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697" t="s">
        <v>0</v>
      </c>
      <c r="B350" s="697" t="s">
        <v>21</v>
      </c>
      <c r="C350" s="698" t="s">
        <v>50</v>
      </c>
      <c r="D350" s="699" t="s">
        <v>51</v>
      </c>
      <c r="E350" s="699" t="s">
        <v>9</v>
      </c>
      <c r="F350" s="699" t="s">
        <v>117</v>
      </c>
      <c r="G350" s="699" t="s">
        <v>52</v>
      </c>
      <c r="I350" s="697" t="s">
        <v>0</v>
      </c>
      <c r="J350" s="697" t="s">
        <v>30</v>
      </c>
      <c r="K350" s="697" t="s">
        <v>31</v>
      </c>
      <c r="L350" s="697" t="s">
        <v>103</v>
      </c>
      <c r="M350" s="697" t="s">
        <v>32</v>
      </c>
      <c r="N350" s="697" t="s">
        <v>573</v>
      </c>
      <c r="O350" s="703" t="s">
        <v>83</v>
      </c>
      <c r="P350" s="704"/>
      <c r="Q350" s="701" t="s">
        <v>33</v>
      </c>
      <c r="R350" s="699" t="s">
        <v>106</v>
      </c>
      <c r="S350" s="699" t="s">
        <v>9</v>
      </c>
      <c r="T350" s="699" t="s">
        <v>82</v>
      </c>
    </row>
    <row r="351" spans="1:20" ht="27.75" customHeight="1">
      <c r="A351" s="697"/>
      <c r="B351" s="697"/>
      <c r="C351" s="698"/>
      <c r="D351" s="699"/>
      <c r="E351" s="699"/>
      <c r="F351" s="699"/>
      <c r="G351" s="699"/>
      <c r="I351" s="697"/>
      <c r="J351" s="697"/>
      <c r="K351" s="697"/>
      <c r="L351" s="697"/>
      <c r="M351" s="697"/>
      <c r="N351" s="697"/>
      <c r="O351" s="509" t="s">
        <v>846</v>
      </c>
      <c r="P351" s="509" t="s">
        <v>847</v>
      </c>
      <c r="Q351" s="702"/>
      <c r="R351" s="699"/>
      <c r="S351" s="699"/>
      <c r="T351" s="699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709" t="s">
        <v>798</v>
      </c>
      <c r="D370" s="710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705">
        <v>2130000000</v>
      </c>
      <c r="D371" s="706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705">
        <v>4900000000</v>
      </c>
      <c r="D372" s="706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705"/>
      <c r="D373" s="706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705"/>
      <c r="D374" s="706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707">
        <f>SUM(C371:C374)</f>
        <v>7030000000</v>
      </c>
      <c r="D375" s="708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700">
        <f>O397-P397</f>
        <v>1020</v>
      </c>
      <c r="N398" s="700"/>
      <c r="O398" s="700"/>
      <c r="P398" s="700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697" t="s">
        <v>0</v>
      </c>
      <c r="B400" s="697" t="s">
        <v>21</v>
      </c>
      <c r="C400" s="698" t="s">
        <v>50</v>
      </c>
      <c r="D400" s="699" t="s">
        <v>51</v>
      </c>
      <c r="E400" s="699" t="s">
        <v>9</v>
      </c>
      <c r="F400" s="699" t="s">
        <v>117</v>
      </c>
      <c r="G400" s="699" t="s">
        <v>52</v>
      </c>
      <c r="I400" s="697" t="s">
        <v>0</v>
      </c>
      <c r="J400" s="697" t="s">
        <v>30</v>
      </c>
      <c r="K400" s="697" t="s">
        <v>31</v>
      </c>
      <c r="L400" s="697" t="s">
        <v>103</v>
      </c>
      <c r="M400" s="697" t="s">
        <v>32</v>
      </c>
      <c r="N400" s="697" t="s">
        <v>573</v>
      </c>
      <c r="O400" s="703" t="s">
        <v>83</v>
      </c>
      <c r="P400" s="704"/>
      <c r="Q400" s="701" t="s">
        <v>33</v>
      </c>
      <c r="R400" s="699" t="s">
        <v>106</v>
      </c>
      <c r="S400" s="699" t="s">
        <v>9</v>
      </c>
      <c r="T400" s="699" t="s">
        <v>82</v>
      </c>
    </row>
    <row r="401" spans="1:20" ht="20.25" customHeight="1">
      <c r="A401" s="697"/>
      <c r="B401" s="697"/>
      <c r="C401" s="698"/>
      <c r="D401" s="699"/>
      <c r="E401" s="699"/>
      <c r="F401" s="699"/>
      <c r="G401" s="699"/>
      <c r="I401" s="697"/>
      <c r="J401" s="697"/>
      <c r="K401" s="697"/>
      <c r="L401" s="697"/>
      <c r="M401" s="697"/>
      <c r="N401" s="697"/>
      <c r="O401" s="533" t="s">
        <v>846</v>
      </c>
      <c r="P401" s="533" t="s">
        <v>847</v>
      </c>
      <c r="Q401" s="702"/>
      <c r="R401" s="699"/>
      <c r="S401" s="699"/>
      <c r="T401" s="699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700">
        <f>O409-P409</f>
        <v>1020</v>
      </c>
      <c r="N410" s="700"/>
      <c r="O410" s="700"/>
      <c r="P410" s="700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697" t="s">
        <v>0</v>
      </c>
      <c r="B416" s="697" t="s">
        <v>21</v>
      </c>
      <c r="C416" s="698" t="s">
        <v>50</v>
      </c>
      <c r="D416" s="699" t="s">
        <v>51</v>
      </c>
      <c r="E416" s="699" t="s">
        <v>9</v>
      </c>
      <c r="F416" s="699" t="s">
        <v>117</v>
      </c>
      <c r="G416" s="699" t="s">
        <v>52</v>
      </c>
    </row>
    <row r="417" spans="1:7">
      <c r="A417" s="697"/>
      <c r="B417" s="697"/>
      <c r="C417" s="698"/>
      <c r="D417" s="699"/>
      <c r="E417" s="699"/>
      <c r="F417" s="699"/>
      <c r="G417" s="699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697" t="s">
        <v>0</v>
      </c>
      <c r="B434" s="697" t="s">
        <v>21</v>
      </c>
      <c r="C434" s="698" t="s">
        <v>50</v>
      </c>
      <c r="D434" s="699" t="s">
        <v>51</v>
      </c>
      <c r="E434" s="699" t="s">
        <v>9</v>
      </c>
      <c r="F434" s="699" t="s">
        <v>117</v>
      </c>
      <c r="G434" s="699" t="s">
        <v>52</v>
      </c>
    </row>
    <row r="435" spans="1:7">
      <c r="A435" s="697"/>
      <c r="B435" s="697"/>
      <c r="C435" s="698"/>
      <c r="D435" s="699"/>
      <c r="E435" s="699"/>
      <c r="F435" s="699"/>
      <c r="G435" s="699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697" t="s">
        <v>0</v>
      </c>
      <c r="B448" s="697" t="s">
        <v>21</v>
      </c>
      <c r="C448" s="698" t="s">
        <v>50</v>
      </c>
      <c r="D448" s="699" t="s">
        <v>51</v>
      </c>
      <c r="E448" s="699" t="s">
        <v>9</v>
      </c>
      <c r="F448" s="699" t="s">
        <v>117</v>
      </c>
      <c r="G448" s="699" t="s">
        <v>52</v>
      </c>
    </row>
    <row r="449" spans="1:7">
      <c r="A449" s="697"/>
      <c r="B449" s="697"/>
      <c r="C449" s="698"/>
      <c r="D449" s="699"/>
      <c r="E449" s="699"/>
      <c r="F449" s="699"/>
      <c r="G449" s="699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697" t="s">
        <v>0</v>
      </c>
      <c r="B463" s="697" t="s">
        <v>21</v>
      </c>
      <c r="C463" s="698" t="s">
        <v>50</v>
      </c>
      <c r="D463" s="699" t="s">
        <v>51</v>
      </c>
      <c r="E463" s="699" t="s">
        <v>9</v>
      </c>
      <c r="F463" s="699" t="s">
        <v>117</v>
      </c>
      <c r="G463" s="699" t="s">
        <v>52</v>
      </c>
    </row>
    <row r="464" spans="1:7">
      <c r="A464" s="697"/>
      <c r="B464" s="697"/>
      <c r="C464" s="698"/>
      <c r="D464" s="699"/>
      <c r="E464" s="699"/>
      <c r="F464" s="699"/>
      <c r="G464" s="699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697" t="s">
        <v>0</v>
      </c>
      <c r="B480" s="697" t="s">
        <v>21</v>
      </c>
      <c r="C480" s="698" t="s">
        <v>50</v>
      </c>
      <c r="D480" s="699" t="s">
        <v>51</v>
      </c>
      <c r="E480" s="699" t="s">
        <v>9</v>
      </c>
      <c r="F480" s="699" t="s">
        <v>117</v>
      </c>
      <c r="G480" s="699" t="s">
        <v>52</v>
      </c>
    </row>
    <row r="481" spans="1:7">
      <c r="A481" s="697"/>
      <c r="B481" s="697"/>
      <c r="C481" s="698"/>
      <c r="D481" s="699"/>
      <c r="E481" s="699"/>
      <c r="F481" s="699"/>
      <c r="G481" s="699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>
      <c r="A496" s="697" t="s">
        <v>0</v>
      </c>
      <c r="B496" s="697" t="s">
        <v>21</v>
      </c>
      <c r="C496" s="698" t="s">
        <v>50</v>
      </c>
      <c r="D496" s="699" t="s">
        <v>51</v>
      </c>
      <c r="E496" s="699" t="s">
        <v>9</v>
      </c>
      <c r="F496" s="699" t="s">
        <v>117</v>
      </c>
      <c r="G496" s="699" t="s">
        <v>52</v>
      </c>
    </row>
    <row r="497" spans="1:7">
      <c r="A497" s="697"/>
      <c r="B497" s="697"/>
      <c r="C497" s="698"/>
      <c r="D497" s="699"/>
      <c r="E497" s="699"/>
      <c r="F497" s="699"/>
      <c r="G497" s="699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 t="shared" ref="F501:F502" si="158"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si="158"/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</sheetData>
  <autoFilter ref="A287:T297"/>
  <mergeCells count="117">
    <mergeCell ref="A496:A497"/>
    <mergeCell ref="B496:B497"/>
    <mergeCell ref="C496:C497"/>
    <mergeCell ref="D496:D497"/>
    <mergeCell ref="E496:E497"/>
    <mergeCell ref="F496:F497"/>
    <mergeCell ref="G496:G497"/>
    <mergeCell ref="C370:D370"/>
    <mergeCell ref="C371:D371"/>
    <mergeCell ref="C373:D373"/>
    <mergeCell ref="F400:F401"/>
    <mergeCell ref="G400:G401"/>
    <mergeCell ref="G480:G481"/>
    <mergeCell ref="G463:G464"/>
    <mergeCell ref="G448:G449"/>
    <mergeCell ref="A480:A481"/>
    <mergeCell ref="B480:B481"/>
    <mergeCell ref="C480:C481"/>
    <mergeCell ref="D480:D481"/>
    <mergeCell ref="E480:E481"/>
    <mergeCell ref="F480:F481"/>
    <mergeCell ref="A448:A449"/>
    <mergeCell ref="B448:B449"/>
    <mergeCell ref="C448:C449"/>
    <mergeCell ref="D448:D449"/>
    <mergeCell ref="E448:E449"/>
    <mergeCell ref="F463:F464"/>
    <mergeCell ref="A463:A464"/>
    <mergeCell ref="B463:B464"/>
    <mergeCell ref="C463:C464"/>
    <mergeCell ref="D463:D464"/>
    <mergeCell ref="E463:E464"/>
    <mergeCell ref="F448:F449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F286:F287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M398:N398"/>
    <mergeCell ref="O398:P398"/>
    <mergeCell ref="O350:P350"/>
    <mergeCell ref="Q350:Q351"/>
    <mergeCell ref="R350:R351"/>
    <mergeCell ref="S350:S351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C372:D372"/>
    <mergeCell ref="C374:D374"/>
    <mergeCell ref="C375:D375"/>
    <mergeCell ref="O410:P410"/>
    <mergeCell ref="M410:N410"/>
    <mergeCell ref="T400:T401"/>
    <mergeCell ref="S400:S401"/>
    <mergeCell ref="R400:R401"/>
    <mergeCell ref="Q400:Q401"/>
    <mergeCell ref="O400:P400"/>
    <mergeCell ref="N400:N401"/>
    <mergeCell ref="M400:M401"/>
    <mergeCell ref="L400:L401"/>
    <mergeCell ref="K400:K401"/>
    <mergeCell ref="J400:J401"/>
    <mergeCell ref="I400:I401"/>
    <mergeCell ref="A434:A435"/>
    <mergeCell ref="B434:B435"/>
    <mergeCell ref="C434:C435"/>
    <mergeCell ref="D434:D435"/>
    <mergeCell ref="E434:E435"/>
    <mergeCell ref="F434:F435"/>
    <mergeCell ref="G434:G435"/>
    <mergeCell ref="D400:D401"/>
    <mergeCell ref="E400:E401"/>
    <mergeCell ref="A416:A417"/>
    <mergeCell ref="B416:B417"/>
    <mergeCell ref="C416:C417"/>
    <mergeCell ref="D416:D417"/>
    <mergeCell ref="E416:E417"/>
    <mergeCell ref="A400:A401"/>
    <mergeCell ref="B400:B401"/>
    <mergeCell ref="C400:C401"/>
  </mergeCells>
  <pageMargins left="0.16" right="0" top="0.44" bottom="0.16" header="0.16" footer="0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4"/>
  <sheetViews>
    <sheetView zoomScale="90" zoomScaleNormal="90" workbookViewId="0">
      <pane xSplit="5" ySplit="3" topLeftCell="F4" activePane="bottomRight" state="frozen"/>
      <selection activeCell="V99" sqref="V99"/>
      <selection pane="topRight" activeCell="V99" sqref="V99"/>
      <selection pane="bottomLeft" activeCell="V99" sqref="V99"/>
      <selection pane="bottomRight" activeCell="J7" sqref="J7:J11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630" t="s">
        <v>0</v>
      </c>
      <c r="B2" s="630" t="s">
        <v>1</v>
      </c>
      <c r="C2" s="631" t="s">
        <v>2</v>
      </c>
      <c r="D2" s="631"/>
      <c r="E2" s="631"/>
      <c r="F2" s="631" t="s">
        <v>464</v>
      </c>
      <c r="G2" s="631"/>
      <c r="H2" s="631"/>
      <c r="I2" s="631"/>
      <c r="J2" s="680" t="s">
        <v>452</v>
      </c>
      <c r="K2" s="680" t="s">
        <v>893</v>
      </c>
      <c r="L2" s="631" t="s">
        <v>3</v>
      </c>
      <c r="M2" s="631"/>
      <c r="N2" s="631"/>
      <c r="O2" s="631"/>
      <c r="P2" s="631"/>
      <c r="Q2" s="630" t="s">
        <v>451</v>
      </c>
      <c r="R2" s="630"/>
      <c r="S2" s="630"/>
      <c r="T2" s="680" t="s">
        <v>82</v>
      </c>
    </row>
    <row r="3" spans="1:20" s="143" customFormat="1" ht="42" customHeight="1">
      <c r="A3" s="630"/>
      <c r="B3" s="630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681"/>
      <c r="K3" s="681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681"/>
    </row>
    <row r="4" spans="1:20" s="150" customFormat="1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37" si="0">F4*13</f>
        <v>26390</v>
      </c>
      <c r="H4" s="544">
        <v>2.2000000000000002</v>
      </c>
      <c r="I4" s="543">
        <f t="shared" ref="I4:I37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 t="e">
        <f>P4-SUM(J4:K11)-S4-'HUNAM - CT-2017'!#REF!</f>
        <v>#REF!</v>
      </c>
    </row>
    <row r="5" spans="1:20" s="150" customFormat="1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8" si="2">71000000</f>
        <v>71000000</v>
      </c>
      <c r="K5" s="310">
        <v>2880000</v>
      </c>
      <c r="L5" s="638">
        <v>43001</v>
      </c>
      <c r="M5" s="636">
        <v>56.5</v>
      </c>
      <c r="N5" s="636">
        <f>SUM(I5:I7)-M5</f>
        <v>174117.50000000003</v>
      </c>
      <c r="O5" s="624">
        <v>22690</v>
      </c>
      <c r="P5" s="624">
        <f>N5*O5</f>
        <v>3950726075.0000005</v>
      </c>
      <c r="Q5" s="256" t="s">
        <v>926</v>
      </c>
      <c r="R5" s="254">
        <v>597575</v>
      </c>
      <c r="S5" s="255">
        <v>1086500000</v>
      </c>
      <c r="T5" s="144"/>
    </row>
    <row r="6" spans="1:20" s="150" customFormat="1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639"/>
      <c r="M6" s="637"/>
      <c r="N6" s="637"/>
      <c r="O6" s="625"/>
      <c r="P6" s="625"/>
      <c r="Q6" s="256" t="s">
        <v>927</v>
      </c>
      <c r="R6" s="254">
        <v>686950</v>
      </c>
      <c r="S6" s="255">
        <v>1249000000</v>
      </c>
      <c r="T6" s="144"/>
    </row>
    <row r="7" spans="1:20" s="150" customFormat="1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634"/>
      <c r="M7" s="632"/>
      <c r="N7" s="632"/>
      <c r="O7" s="626"/>
      <c r="P7" s="626"/>
      <c r="Q7" s="256" t="s">
        <v>928</v>
      </c>
      <c r="R7" s="254">
        <v>330000</v>
      </c>
      <c r="S7" s="255">
        <v>1000000000</v>
      </c>
      <c r="T7" s="343">
        <f>P5-SUM(R5:S7)-SUM(J12:K23)</f>
        <v>-242948449.99999952</v>
      </c>
    </row>
    <row r="8" spans="1:20" s="150" customFormat="1" ht="18" customHeight="1">
      <c r="A8" s="144">
        <v>5</v>
      </c>
      <c r="B8" s="545">
        <v>42983</v>
      </c>
      <c r="C8" s="243"/>
      <c r="D8" s="243"/>
      <c r="E8" s="243"/>
      <c r="F8" s="539">
        <v>2030</v>
      </c>
      <c r="G8" s="539">
        <f t="shared" si="0"/>
        <v>26390</v>
      </c>
      <c r="H8" s="544">
        <v>2.2000000000000002</v>
      </c>
      <c r="I8" s="543">
        <f t="shared" si="1"/>
        <v>58058.000000000007</v>
      </c>
      <c r="J8" s="310">
        <f t="shared" si="2"/>
        <v>71000000</v>
      </c>
      <c r="K8" s="310">
        <v>2880000</v>
      </c>
      <c r="L8" s="308"/>
      <c r="M8" s="309"/>
      <c r="N8" s="309"/>
      <c r="O8" s="310"/>
      <c r="P8" s="310"/>
      <c r="Q8" s="540"/>
      <c r="R8" s="540"/>
      <c r="S8" s="540"/>
      <c r="T8" s="144"/>
    </row>
    <row r="9" spans="1:20" s="150" customFormat="1" ht="18" customHeight="1">
      <c r="A9" s="144">
        <v>6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636">
        <v>2.2000000000000002</v>
      </c>
      <c r="I9" s="636">
        <f>SUM(G9:G11)*H9</f>
        <v>174174</v>
      </c>
      <c r="J9" s="624">
        <f>71000000*3</f>
        <v>213000000</v>
      </c>
      <c r="K9" s="624">
        <f>2880000*3</f>
        <v>8640000</v>
      </c>
      <c r="L9" s="308"/>
      <c r="M9" s="309"/>
      <c r="N9" s="309"/>
      <c r="O9" s="310"/>
      <c r="P9" s="310"/>
      <c r="Q9" s="540"/>
      <c r="R9" s="540"/>
      <c r="S9" s="540"/>
      <c r="T9" s="144"/>
    </row>
    <row r="10" spans="1:20" s="150" customFormat="1" ht="18" customHeight="1">
      <c r="A10" s="144">
        <v>7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637"/>
      <c r="I10" s="637"/>
      <c r="J10" s="625"/>
      <c r="K10" s="625"/>
      <c r="L10" s="308"/>
      <c r="M10" s="309"/>
      <c r="N10" s="309"/>
      <c r="O10" s="310"/>
      <c r="P10" s="310"/>
      <c r="Q10" s="253"/>
      <c r="R10" s="254"/>
      <c r="S10" s="255"/>
      <c r="T10" s="144"/>
    </row>
    <row r="11" spans="1:20" s="150" customFormat="1" ht="18" customHeight="1">
      <c r="A11" s="144">
        <v>8</v>
      </c>
      <c r="B11" s="551">
        <v>42986</v>
      </c>
      <c r="C11" s="243"/>
      <c r="D11" s="243"/>
      <c r="E11" s="243"/>
      <c r="F11" s="549">
        <v>2030</v>
      </c>
      <c r="G11" s="549">
        <f t="shared" si="0"/>
        <v>26390</v>
      </c>
      <c r="H11" s="632"/>
      <c r="I11" s="632"/>
      <c r="J11" s="626"/>
      <c r="K11" s="626"/>
      <c r="L11" s="308"/>
      <c r="M11" s="309"/>
      <c r="N11" s="309"/>
      <c r="O11" s="310"/>
      <c r="P11" s="310"/>
      <c r="Q11" s="253"/>
      <c r="R11" s="254"/>
      <c r="S11" s="255"/>
      <c r="T11" s="144"/>
    </row>
    <row r="12" spans="1:20" s="150" customFormat="1" ht="18.75" customHeight="1">
      <c r="A12" s="144">
        <v>9</v>
      </c>
      <c r="B12" s="545">
        <v>42990</v>
      </c>
      <c r="C12" s="243"/>
      <c r="D12" s="243"/>
      <c r="E12" s="243"/>
      <c r="F12" s="549">
        <v>2030</v>
      </c>
      <c r="G12" s="549">
        <f t="shared" ref="G12:G14" si="3">F12*13</f>
        <v>26390</v>
      </c>
      <c r="H12" s="636">
        <v>2.2000000000000002</v>
      </c>
      <c r="I12" s="636">
        <f>SUM(G12:G14)*H12</f>
        <v>174174</v>
      </c>
      <c r="J12" s="624">
        <f>68000000*1+71000000*2</f>
        <v>210000000</v>
      </c>
      <c r="K12" s="624">
        <f>2880000*3</f>
        <v>8640000</v>
      </c>
      <c r="L12" s="308"/>
      <c r="M12" s="309"/>
      <c r="N12" s="309"/>
      <c r="O12" s="310"/>
      <c r="P12" s="310"/>
      <c r="Q12" s="253"/>
      <c r="R12" s="254"/>
      <c r="S12" s="255"/>
      <c r="T12" s="144"/>
    </row>
    <row r="13" spans="1:20" s="150" customFormat="1" ht="18.75" customHeight="1">
      <c r="A13" s="144">
        <v>10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637"/>
      <c r="I13" s="637"/>
      <c r="J13" s="625"/>
      <c r="K13" s="625"/>
      <c r="L13" s="308"/>
      <c r="M13" s="309"/>
      <c r="N13" s="309"/>
      <c r="O13" s="310"/>
      <c r="P13" s="310"/>
      <c r="Q13" s="253"/>
      <c r="R13" s="254"/>
      <c r="S13" s="255"/>
      <c r="T13" s="144"/>
    </row>
    <row r="14" spans="1:20" s="150" customFormat="1" ht="18.75" customHeight="1">
      <c r="A14" s="144">
        <v>11</v>
      </c>
      <c r="B14" s="551">
        <v>42990</v>
      </c>
      <c r="C14" s="243"/>
      <c r="D14" s="243"/>
      <c r="E14" s="243"/>
      <c r="F14" s="549">
        <v>2030</v>
      </c>
      <c r="G14" s="549">
        <f t="shared" si="3"/>
        <v>26390</v>
      </c>
      <c r="H14" s="632"/>
      <c r="I14" s="632"/>
      <c r="J14" s="626"/>
      <c r="K14" s="626"/>
      <c r="L14" s="308"/>
      <c r="M14" s="309"/>
      <c r="N14" s="309"/>
      <c r="O14" s="310"/>
      <c r="P14" s="310"/>
      <c r="Q14" s="253"/>
      <c r="R14" s="254"/>
      <c r="S14" s="255"/>
      <c r="T14" s="144"/>
    </row>
    <row r="15" spans="1:20" s="150" customFormat="1" ht="18.75" customHeight="1">
      <c r="A15" s="144">
        <v>12</v>
      </c>
      <c r="B15" s="545">
        <v>42992</v>
      </c>
      <c r="C15" s="243"/>
      <c r="D15" s="243"/>
      <c r="E15" s="243"/>
      <c r="F15" s="553">
        <v>2030</v>
      </c>
      <c r="G15" s="549">
        <f t="shared" si="0"/>
        <v>26390</v>
      </c>
      <c r="H15" s="636">
        <v>2.2000000000000002</v>
      </c>
      <c r="I15" s="636">
        <f>SUM(G15:G17)*H15</f>
        <v>174174</v>
      </c>
      <c r="J15" s="624">
        <f t="shared" ref="J15" si="4">68000000*3</f>
        <v>204000000</v>
      </c>
      <c r="K15" s="624">
        <f>2880000*3</f>
        <v>8640000</v>
      </c>
      <c r="L15" s="308"/>
      <c r="M15" s="309"/>
      <c r="N15" s="309"/>
      <c r="O15" s="310"/>
      <c r="P15" s="310"/>
      <c r="Q15" s="253"/>
      <c r="R15" s="254"/>
      <c r="S15" s="255"/>
      <c r="T15" s="144"/>
    </row>
    <row r="16" spans="1:20" s="150" customFormat="1" ht="18" customHeight="1">
      <c r="A16" s="144">
        <v>13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637"/>
      <c r="I16" s="637"/>
      <c r="J16" s="625"/>
      <c r="K16" s="625"/>
      <c r="L16" s="308"/>
      <c r="M16" s="309"/>
      <c r="N16" s="309"/>
      <c r="O16" s="310"/>
      <c r="P16" s="310"/>
      <c r="Q16" s="540"/>
      <c r="R16" s="540"/>
      <c r="S16" s="540"/>
      <c r="T16" s="144"/>
    </row>
    <row r="17" spans="1:20" s="150" customFormat="1" ht="18" customHeight="1">
      <c r="A17" s="144">
        <v>14</v>
      </c>
      <c r="B17" s="554">
        <v>42992</v>
      </c>
      <c r="C17" s="243"/>
      <c r="D17" s="243"/>
      <c r="E17" s="243"/>
      <c r="F17" s="553">
        <v>2030</v>
      </c>
      <c r="G17" s="539">
        <f t="shared" si="0"/>
        <v>26390</v>
      </c>
      <c r="H17" s="632"/>
      <c r="I17" s="632"/>
      <c r="J17" s="626"/>
      <c r="K17" s="626"/>
      <c r="L17" s="308"/>
      <c r="M17" s="309"/>
      <c r="N17" s="309"/>
      <c r="O17" s="310"/>
      <c r="P17" s="310"/>
      <c r="Q17" s="540"/>
      <c r="R17" s="540"/>
      <c r="S17" s="540"/>
      <c r="T17" s="144"/>
    </row>
    <row r="18" spans="1:20" s="150" customFormat="1" ht="18" customHeight="1">
      <c r="A18" s="144">
        <v>15</v>
      </c>
      <c r="B18" s="545">
        <v>43000</v>
      </c>
      <c r="C18" s="243"/>
      <c r="D18" s="243"/>
      <c r="E18" s="243"/>
      <c r="F18" s="588">
        <v>2030</v>
      </c>
      <c r="G18" s="539">
        <f t="shared" si="0"/>
        <v>26390</v>
      </c>
      <c r="H18" s="636">
        <v>2.2000000000000002</v>
      </c>
      <c r="I18" s="636">
        <f>SUM(G18:G20)*H18</f>
        <v>174174</v>
      </c>
      <c r="J18" s="624">
        <f t="shared" ref="J18" si="5">68000000*3</f>
        <v>204000000</v>
      </c>
      <c r="K18" s="624">
        <f>2880000*3</f>
        <v>8640000</v>
      </c>
      <c r="L18" s="308"/>
      <c r="M18" s="309"/>
      <c r="N18" s="309"/>
      <c r="O18" s="310"/>
      <c r="P18" s="310"/>
      <c r="Q18" s="253"/>
      <c r="R18" s="254"/>
      <c r="S18" s="255"/>
      <c r="T18" s="144"/>
    </row>
    <row r="19" spans="1:20" s="150" customFormat="1" ht="18" customHeight="1">
      <c r="A19" s="144">
        <v>16</v>
      </c>
      <c r="B19" s="592">
        <v>43000</v>
      </c>
      <c r="C19" s="243"/>
      <c r="D19" s="243"/>
      <c r="E19" s="243"/>
      <c r="F19" s="588">
        <v>2030</v>
      </c>
      <c r="G19" s="539">
        <f t="shared" si="0"/>
        <v>26390</v>
      </c>
      <c r="H19" s="637"/>
      <c r="I19" s="637"/>
      <c r="J19" s="625"/>
      <c r="K19" s="625"/>
      <c r="L19" s="308"/>
      <c r="M19" s="309"/>
      <c r="N19" s="309"/>
      <c r="O19" s="310"/>
      <c r="P19" s="310"/>
      <c r="Q19" s="253"/>
      <c r="R19" s="254"/>
      <c r="S19" s="255"/>
      <c r="T19" s="144"/>
    </row>
    <row r="20" spans="1:20" s="150" customFormat="1" ht="18.75" customHeight="1">
      <c r="A20" s="144">
        <v>17</v>
      </c>
      <c r="B20" s="592">
        <v>43000</v>
      </c>
      <c r="C20" s="243"/>
      <c r="D20" s="243"/>
      <c r="E20" s="243"/>
      <c r="F20" s="588">
        <v>2030</v>
      </c>
      <c r="G20" s="539">
        <f t="shared" si="0"/>
        <v>26390</v>
      </c>
      <c r="H20" s="632"/>
      <c r="I20" s="632"/>
      <c r="J20" s="626"/>
      <c r="K20" s="626"/>
      <c r="L20" s="308"/>
      <c r="M20" s="309"/>
      <c r="N20" s="309"/>
      <c r="O20" s="310"/>
      <c r="P20" s="310"/>
      <c r="Q20" s="253"/>
      <c r="R20" s="254"/>
      <c r="S20" s="255"/>
      <c r="T20" s="144"/>
    </row>
    <row r="21" spans="1:20" s="150" customFormat="1" ht="18.75" customHeight="1">
      <c r="A21" s="144">
        <v>18</v>
      </c>
      <c r="B21" s="593">
        <v>43000</v>
      </c>
      <c r="C21" s="243"/>
      <c r="D21" s="243"/>
      <c r="E21" s="243"/>
      <c r="F21" s="588">
        <v>2030</v>
      </c>
      <c r="G21" s="539">
        <f t="shared" si="0"/>
        <v>26390</v>
      </c>
      <c r="H21" s="636">
        <v>2.2000000000000002</v>
      </c>
      <c r="I21" s="636">
        <f>SUM(G21:G23)*H21</f>
        <v>174174</v>
      </c>
      <c r="J21" s="624">
        <f t="shared" ref="J21" si="6">68000000*3</f>
        <v>204000000</v>
      </c>
      <c r="K21" s="624">
        <f>2880000*3</f>
        <v>8640000</v>
      </c>
      <c r="L21" s="308"/>
      <c r="M21" s="309"/>
      <c r="N21" s="309"/>
      <c r="O21" s="310"/>
      <c r="P21" s="310"/>
      <c r="Q21" s="253"/>
      <c r="R21" s="254"/>
      <c r="S21" s="255"/>
      <c r="T21" s="144"/>
    </row>
    <row r="22" spans="1:20" s="150" customFormat="1" ht="18.75" customHeight="1">
      <c r="A22" s="144">
        <v>19</v>
      </c>
      <c r="B22" s="593">
        <v>43000</v>
      </c>
      <c r="C22" s="243"/>
      <c r="D22" s="243"/>
      <c r="E22" s="243"/>
      <c r="F22" s="588">
        <v>2030</v>
      </c>
      <c r="G22" s="539">
        <f t="shared" si="0"/>
        <v>26390</v>
      </c>
      <c r="H22" s="637"/>
      <c r="I22" s="637"/>
      <c r="J22" s="625"/>
      <c r="K22" s="625"/>
      <c r="L22" s="308"/>
      <c r="M22" s="309"/>
      <c r="N22" s="309"/>
      <c r="O22" s="310"/>
      <c r="P22" s="310"/>
      <c r="Q22" s="253"/>
      <c r="R22" s="254"/>
      <c r="S22" s="255"/>
      <c r="T22" s="144"/>
    </row>
    <row r="23" spans="1:20" s="150" customFormat="1" ht="18.75" customHeight="1">
      <c r="A23" s="144">
        <v>20</v>
      </c>
      <c r="B23" s="593">
        <v>43000</v>
      </c>
      <c r="C23" s="243"/>
      <c r="D23" s="243"/>
      <c r="E23" s="243"/>
      <c r="F23" s="588">
        <v>2030</v>
      </c>
      <c r="G23" s="539">
        <f t="shared" si="0"/>
        <v>26390</v>
      </c>
      <c r="H23" s="632"/>
      <c r="I23" s="632"/>
      <c r="J23" s="626"/>
      <c r="K23" s="626"/>
      <c r="L23" s="308"/>
      <c r="M23" s="309"/>
      <c r="N23" s="309"/>
      <c r="O23" s="310"/>
      <c r="P23" s="310"/>
      <c r="Q23" s="253"/>
      <c r="R23" s="254"/>
      <c r="S23" s="255"/>
      <c r="T23" s="144"/>
    </row>
    <row r="24" spans="1:20" s="150" customFormat="1" ht="18" customHeight="1">
      <c r="A24" s="144">
        <v>21</v>
      </c>
      <c r="B24" s="545"/>
      <c r="C24" s="243"/>
      <c r="D24" s="243"/>
      <c r="E24" s="243"/>
      <c r="F24" s="540"/>
      <c r="G24" s="539">
        <f t="shared" si="0"/>
        <v>0</v>
      </c>
      <c r="H24" s="544"/>
      <c r="I24" s="543">
        <f t="shared" si="1"/>
        <v>0</v>
      </c>
      <c r="J24" s="310"/>
      <c r="K24" s="310"/>
      <c r="L24" s="308"/>
      <c r="M24" s="309"/>
      <c r="N24" s="309"/>
      <c r="O24" s="310"/>
      <c r="P24" s="310"/>
      <c r="Q24" s="540"/>
      <c r="R24" s="540"/>
      <c r="S24" s="540"/>
      <c r="T24" s="144"/>
    </row>
    <row r="25" spans="1:20" s="150" customFormat="1" ht="18" customHeight="1">
      <c r="A25" s="144">
        <v>22</v>
      </c>
      <c r="B25" s="545"/>
      <c r="C25" s="243"/>
      <c r="D25" s="243"/>
      <c r="E25" s="243"/>
      <c r="F25" s="540"/>
      <c r="G25" s="539">
        <f t="shared" si="0"/>
        <v>0</v>
      </c>
      <c r="H25" s="544"/>
      <c r="I25" s="543">
        <f t="shared" si="1"/>
        <v>0</v>
      </c>
      <c r="J25" s="310"/>
      <c r="K25" s="310"/>
      <c r="L25" s="308"/>
      <c r="M25" s="309"/>
      <c r="N25" s="309"/>
      <c r="O25" s="310"/>
      <c r="P25" s="310"/>
      <c r="Q25" s="540"/>
      <c r="R25" s="540"/>
      <c r="S25" s="540"/>
      <c r="T25" s="144"/>
    </row>
    <row r="26" spans="1:20" s="150" customFormat="1" ht="18" customHeight="1">
      <c r="A26" s="144">
        <v>23</v>
      </c>
      <c r="B26" s="545"/>
      <c r="C26" s="243"/>
      <c r="D26" s="243"/>
      <c r="E26" s="243"/>
      <c r="F26" s="540"/>
      <c r="G26" s="539">
        <f t="shared" si="0"/>
        <v>0</v>
      </c>
      <c r="H26" s="544"/>
      <c r="I26" s="543">
        <f t="shared" si="1"/>
        <v>0</v>
      </c>
      <c r="J26" s="310"/>
      <c r="K26" s="310"/>
      <c r="L26" s="308"/>
      <c r="M26" s="309"/>
      <c r="N26" s="309"/>
      <c r="O26" s="310"/>
      <c r="P26" s="310"/>
      <c r="Q26" s="253"/>
      <c r="R26" s="254"/>
      <c r="S26" s="255"/>
      <c r="T26" s="144"/>
    </row>
    <row r="27" spans="1:20" s="150" customFormat="1" ht="18" customHeight="1">
      <c r="A27" s="144">
        <v>24</v>
      </c>
      <c r="B27" s="545"/>
      <c r="C27" s="243"/>
      <c r="D27" s="243"/>
      <c r="E27" s="243"/>
      <c r="F27" s="540"/>
      <c r="G27" s="539">
        <f t="shared" si="0"/>
        <v>0</v>
      </c>
      <c r="H27" s="544"/>
      <c r="I27" s="543">
        <f t="shared" si="1"/>
        <v>0</v>
      </c>
      <c r="J27" s="310"/>
      <c r="K27" s="310"/>
      <c r="L27" s="308"/>
      <c r="M27" s="309"/>
      <c r="N27" s="309"/>
      <c r="O27" s="310"/>
      <c r="P27" s="310"/>
      <c r="Q27" s="253"/>
      <c r="R27" s="254"/>
      <c r="S27" s="255"/>
      <c r="T27" s="144"/>
    </row>
    <row r="28" spans="1:20" s="150" customFormat="1" ht="18.75" customHeight="1">
      <c r="A28" s="144">
        <v>25</v>
      </c>
      <c r="B28" s="545"/>
      <c r="C28" s="243"/>
      <c r="D28" s="243"/>
      <c r="E28" s="243"/>
      <c r="F28" s="540"/>
      <c r="G28" s="539">
        <f t="shared" si="0"/>
        <v>0</v>
      </c>
      <c r="H28" s="544"/>
      <c r="I28" s="543">
        <f t="shared" si="1"/>
        <v>0</v>
      </c>
      <c r="J28" s="310"/>
      <c r="K28" s="310"/>
      <c r="L28" s="308"/>
      <c r="M28" s="309"/>
      <c r="N28" s="309"/>
      <c r="O28" s="310"/>
      <c r="P28" s="310"/>
      <c r="Q28" s="253"/>
      <c r="R28" s="254"/>
      <c r="S28" s="255"/>
      <c r="T28" s="144"/>
    </row>
    <row r="29" spans="1:20" s="150" customFormat="1" ht="18.75" customHeight="1">
      <c r="A29" s="144">
        <v>26</v>
      </c>
      <c r="B29" s="545"/>
      <c r="C29" s="243"/>
      <c r="D29" s="243"/>
      <c r="E29" s="243"/>
      <c r="F29" s="540"/>
      <c r="G29" s="539">
        <f t="shared" si="0"/>
        <v>0</v>
      </c>
      <c r="H29" s="544"/>
      <c r="I29" s="543">
        <f t="shared" si="1"/>
        <v>0</v>
      </c>
      <c r="J29" s="310"/>
      <c r="K29" s="310"/>
      <c r="L29" s="308"/>
      <c r="M29" s="309"/>
      <c r="N29" s="309"/>
      <c r="O29" s="310"/>
      <c r="P29" s="310"/>
      <c r="Q29" s="253"/>
      <c r="R29" s="254"/>
      <c r="S29" s="255"/>
      <c r="T29" s="144"/>
    </row>
    <row r="30" spans="1:20" s="150" customFormat="1" ht="18.75" customHeight="1">
      <c r="A30" s="144">
        <v>27</v>
      </c>
      <c r="B30" s="545"/>
      <c r="C30" s="243"/>
      <c r="D30" s="243"/>
      <c r="E30" s="243"/>
      <c r="F30" s="540"/>
      <c r="G30" s="539">
        <f t="shared" si="0"/>
        <v>0</v>
      </c>
      <c r="H30" s="544"/>
      <c r="I30" s="543">
        <f t="shared" si="1"/>
        <v>0</v>
      </c>
      <c r="J30" s="310"/>
      <c r="K30" s="310"/>
      <c r="L30" s="308"/>
      <c r="M30" s="309"/>
      <c r="N30" s="309"/>
      <c r="O30" s="310"/>
      <c r="P30" s="310"/>
      <c r="Q30" s="253"/>
      <c r="R30" s="254"/>
      <c r="S30" s="255"/>
      <c r="T30" s="144"/>
    </row>
    <row r="31" spans="1:20" s="150" customFormat="1" ht="18.75" customHeight="1">
      <c r="A31" s="144">
        <v>28</v>
      </c>
      <c r="B31" s="545"/>
      <c r="C31" s="243"/>
      <c r="D31" s="243"/>
      <c r="E31" s="243"/>
      <c r="F31" s="540"/>
      <c r="G31" s="539">
        <f t="shared" si="0"/>
        <v>0</v>
      </c>
      <c r="H31" s="544"/>
      <c r="I31" s="543">
        <f t="shared" si="1"/>
        <v>0</v>
      </c>
      <c r="J31" s="310"/>
      <c r="K31" s="310"/>
      <c r="L31" s="308"/>
      <c r="M31" s="309"/>
      <c r="N31" s="309"/>
      <c r="O31" s="310"/>
      <c r="P31" s="310"/>
      <c r="Q31" s="253"/>
      <c r="R31" s="254"/>
      <c r="S31" s="255"/>
      <c r="T31" s="144"/>
    </row>
    <row r="32" spans="1:20" s="150" customFormat="1" ht="18" customHeight="1">
      <c r="A32" s="144">
        <v>29</v>
      </c>
      <c r="B32" s="545"/>
      <c r="C32" s="243"/>
      <c r="D32" s="243"/>
      <c r="E32" s="243"/>
      <c r="F32" s="540"/>
      <c r="G32" s="539">
        <f t="shared" si="0"/>
        <v>0</v>
      </c>
      <c r="H32" s="544"/>
      <c r="I32" s="543">
        <f t="shared" si="1"/>
        <v>0</v>
      </c>
      <c r="J32" s="310"/>
      <c r="K32" s="310"/>
      <c r="L32" s="308"/>
      <c r="M32" s="309"/>
      <c r="N32" s="309"/>
      <c r="O32" s="310"/>
      <c r="P32" s="310"/>
      <c r="Q32" s="540"/>
      <c r="R32" s="540"/>
      <c r="S32" s="540"/>
      <c r="T32" s="144"/>
    </row>
    <row r="33" spans="1:20" s="150" customFormat="1" ht="18" customHeight="1">
      <c r="A33" s="144">
        <v>30</v>
      </c>
      <c r="B33" s="545"/>
      <c r="C33" s="243"/>
      <c r="D33" s="243"/>
      <c r="E33" s="243"/>
      <c r="F33" s="540"/>
      <c r="G33" s="539">
        <f t="shared" si="0"/>
        <v>0</v>
      </c>
      <c r="H33" s="544"/>
      <c r="I33" s="543">
        <f t="shared" si="1"/>
        <v>0</v>
      </c>
      <c r="J33" s="310"/>
      <c r="K33" s="310"/>
      <c r="L33" s="308"/>
      <c r="M33" s="309"/>
      <c r="N33" s="309"/>
      <c r="O33" s="310"/>
      <c r="P33" s="310"/>
      <c r="Q33" s="540"/>
      <c r="R33" s="540"/>
      <c r="S33" s="540"/>
      <c r="T33" s="144"/>
    </row>
    <row r="34" spans="1:20" s="150" customFormat="1" ht="18" customHeight="1">
      <c r="A34" s="144">
        <v>31</v>
      </c>
      <c r="B34" s="545"/>
      <c r="C34" s="243"/>
      <c r="D34" s="243"/>
      <c r="E34" s="243"/>
      <c r="F34" s="540"/>
      <c r="G34" s="539">
        <f t="shared" si="0"/>
        <v>0</v>
      </c>
      <c r="H34" s="544"/>
      <c r="I34" s="543">
        <f t="shared" si="1"/>
        <v>0</v>
      </c>
      <c r="J34" s="310"/>
      <c r="K34" s="310"/>
      <c r="L34" s="308"/>
      <c r="M34" s="309"/>
      <c r="N34" s="309"/>
      <c r="O34" s="310"/>
      <c r="P34" s="310"/>
      <c r="Q34" s="253"/>
      <c r="R34" s="254"/>
      <c r="S34" s="255"/>
      <c r="T34" s="144"/>
    </row>
    <row r="35" spans="1:20" s="150" customFormat="1" ht="18" customHeight="1">
      <c r="A35" s="144">
        <v>32</v>
      </c>
      <c r="B35" s="545"/>
      <c r="C35" s="243"/>
      <c r="D35" s="243"/>
      <c r="E35" s="243"/>
      <c r="F35" s="540"/>
      <c r="G35" s="539">
        <f t="shared" si="0"/>
        <v>0</v>
      </c>
      <c r="H35" s="544"/>
      <c r="I35" s="543">
        <f t="shared" si="1"/>
        <v>0</v>
      </c>
      <c r="J35" s="310"/>
      <c r="K35" s="310"/>
      <c r="L35" s="308"/>
      <c r="M35" s="309"/>
      <c r="N35" s="309"/>
      <c r="O35" s="310"/>
      <c r="P35" s="310"/>
      <c r="Q35" s="253"/>
      <c r="R35" s="254"/>
      <c r="S35" s="255"/>
      <c r="T35" s="144"/>
    </row>
    <row r="36" spans="1:20" s="150" customFormat="1" ht="18.75" customHeight="1">
      <c r="A36" s="144">
        <v>33</v>
      </c>
      <c r="B36" s="545"/>
      <c r="C36" s="243"/>
      <c r="D36" s="243"/>
      <c r="E36" s="243"/>
      <c r="F36" s="540"/>
      <c r="G36" s="539">
        <f t="shared" si="0"/>
        <v>0</v>
      </c>
      <c r="H36" s="544"/>
      <c r="I36" s="543">
        <f t="shared" si="1"/>
        <v>0</v>
      </c>
      <c r="J36" s="310"/>
      <c r="K36" s="310"/>
      <c r="L36" s="308"/>
      <c r="M36" s="309"/>
      <c r="N36" s="309"/>
      <c r="O36" s="310"/>
      <c r="P36" s="310"/>
      <c r="Q36" s="253"/>
      <c r="R36" s="254"/>
      <c r="S36" s="255"/>
      <c r="T36" s="144"/>
    </row>
    <row r="37" spans="1:20" s="150" customFormat="1" ht="18.75" customHeight="1">
      <c r="A37" s="144">
        <v>34</v>
      </c>
      <c r="B37" s="545"/>
      <c r="C37" s="243"/>
      <c r="D37" s="243"/>
      <c r="E37" s="243"/>
      <c r="F37" s="540"/>
      <c r="G37" s="539">
        <f t="shared" si="0"/>
        <v>0</v>
      </c>
      <c r="H37" s="544"/>
      <c r="I37" s="543">
        <f t="shared" si="1"/>
        <v>0</v>
      </c>
      <c r="J37" s="310"/>
      <c r="K37" s="310"/>
      <c r="L37" s="308"/>
      <c r="M37" s="309"/>
      <c r="N37" s="309"/>
      <c r="O37" s="310"/>
      <c r="P37" s="310"/>
      <c r="Q37" s="253"/>
      <c r="R37" s="254"/>
      <c r="S37" s="255"/>
      <c r="T37" s="144"/>
    </row>
    <row r="38" spans="1:20" s="150" customFormat="1" ht="18.75" customHeight="1">
      <c r="A38" s="249"/>
      <c r="B38" s="547"/>
      <c r="C38" s="148"/>
      <c r="D38" s="148"/>
      <c r="E38" s="148"/>
      <c r="F38" s="538"/>
      <c r="G38" s="538"/>
      <c r="H38" s="546"/>
      <c r="I38" s="546"/>
      <c r="J38" s="312"/>
      <c r="K38" s="312"/>
      <c r="L38" s="311"/>
      <c r="M38" s="311"/>
      <c r="N38" s="312"/>
      <c r="O38" s="312"/>
      <c r="P38" s="312"/>
      <c r="Q38" s="546"/>
      <c r="R38" s="546"/>
      <c r="S38" s="546"/>
      <c r="T38" s="249"/>
    </row>
    <row r="39" spans="1:20" s="305" customFormat="1" ht="18.75" customHeight="1">
      <c r="A39" s="640" t="s">
        <v>19</v>
      </c>
      <c r="B39" s="641"/>
      <c r="C39" s="641"/>
      <c r="D39" s="641"/>
      <c r="E39" s="642"/>
      <c r="F39" s="261">
        <f>SUM(F4:F38)</f>
        <v>40600</v>
      </c>
      <c r="G39" s="261">
        <f>SUM(G4:G38)</f>
        <v>527800</v>
      </c>
      <c r="H39" s="262"/>
      <c r="I39" s="552">
        <f>SUM(I4:I38)</f>
        <v>1161160</v>
      </c>
      <c r="J39" s="261">
        <f>SUM(J4:J38)</f>
        <v>1390000000</v>
      </c>
      <c r="K39" s="261">
        <f>SUM(K4:K38)</f>
        <v>57600000</v>
      </c>
      <c r="L39" s="262"/>
      <c r="M39" s="262">
        <f>SUM(M4:M38)</f>
        <v>113.00000000000728</v>
      </c>
      <c r="N39" s="262">
        <f>SUM(N4:N38)</f>
        <v>232119.00000000003</v>
      </c>
      <c r="O39" s="262"/>
      <c r="P39" s="261">
        <f>SUM(P4:P38)</f>
        <v>5266780110</v>
      </c>
      <c r="Q39" s="261"/>
      <c r="R39" s="261">
        <f>SUM(R4:R38)</f>
        <v>1614525</v>
      </c>
      <c r="S39" s="261">
        <f>SUM(S4:S38)</f>
        <v>4052494000</v>
      </c>
      <c r="T39" s="262"/>
    </row>
    <row r="40" spans="1:20" ht="18.75" customHeight="1">
      <c r="B40" s="162"/>
    </row>
    <row r="41" spans="1:20" s="237" customFormat="1" ht="18.75" customHeight="1">
      <c r="J41" s="462"/>
      <c r="K41" s="462"/>
      <c r="L41" s="305"/>
      <c r="M41" s="305"/>
      <c r="N41" s="463">
        <f>I39-N39</f>
        <v>929041</v>
      </c>
      <c r="O41" s="305"/>
      <c r="P41" s="548" t="s">
        <v>463</v>
      </c>
      <c r="Q41" s="259"/>
      <c r="R41" s="259"/>
      <c r="S41" s="259"/>
      <c r="T41" s="541"/>
    </row>
    <row r="42" spans="1:20" ht="18.75" customHeight="1">
      <c r="J42" s="259"/>
      <c r="K42" s="259"/>
      <c r="Q42" s="306"/>
      <c r="R42" s="306"/>
      <c r="S42" s="306"/>
      <c r="T42" s="259"/>
    </row>
    <row r="43" spans="1:20" ht="18" customHeight="1">
      <c r="T43" s="307"/>
    </row>
    <row r="44" spans="1:20" ht="18" customHeight="1">
      <c r="T44" s="307"/>
    </row>
  </sheetData>
  <autoFilter ref="A3:T37"/>
  <mergeCells count="35">
    <mergeCell ref="L5:L7"/>
    <mergeCell ref="M5:M7"/>
    <mergeCell ref="N5:N7"/>
    <mergeCell ref="O5:O7"/>
    <mergeCell ref="P5:P7"/>
    <mergeCell ref="A39:E39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9:I11"/>
    <mergeCell ref="H9:H11"/>
    <mergeCell ref="H12:H14"/>
    <mergeCell ref="I12:I14"/>
    <mergeCell ref="J9:J11"/>
    <mergeCell ref="K9:K11"/>
    <mergeCell ref="J12:J14"/>
    <mergeCell ref="K12:K14"/>
    <mergeCell ref="H15:H17"/>
    <mergeCell ref="I15:I17"/>
    <mergeCell ref="J15:J17"/>
    <mergeCell ref="K15:K17"/>
    <mergeCell ref="I18:I20"/>
    <mergeCell ref="J18:J20"/>
    <mergeCell ref="K18:K20"/>
    <mergeCell ref="H18:H20"/>
    <mergeCell ref="H21:H23"/>
    <mergeCell ref="I21:I23"/>
    <mergeCell ref="J21:J23"/>
    <mergeCell ref="K21:K23"/>
  </mergeCells>
  <pageMargins left="0.16" right="0.16" top="0.11" bottom="0.16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V467"/>
  <sheetViews>
    <sheetView topLeftCell="A28" zoomScale="90" zoomScaleNormal="90" workbookViewId="0">
      <selection activeCell="L45" sqref="L45"/>
    </sheetView>
  </sheetViews>
  <sheetFormatPr defaultColWidth="9.140625" defaultRowHeight="15"/>
  <cols>
    <col min="1" max="1" width="4.28515625" style="335" customWidth="1"/>
    <col min="2" max="2" width="38.5703125" style="335" customWidth="1"/>
    <col min="3" max="3" width="11.42578125" style="340" customWidth="1"/>
    <col min="4" max="4" width="8.140625" style="341" customWidth="1"/>
    <col min="5" max="5" width="13.5703125" style="341" customWidth="1"/>
    <col min="6" max="6" width="13.42578125" style="335" customWidth="1"/>
    <col min="7" max="7" width="13.85546875" style="334" customWidth="1"/>
    <col min="8" max="8" width="1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10.140625" style="334" customWidth="1"/>
    <col min="13" max="13" width="6.42578125" style="334" customWidth="1"/>
    <col min="14" max="14" width="5.42578125" style="334" hidden="1" customWidth="1"/>
    <col min="15" max="15" width="7.7109375" style="334" customWidth="1"/>
    <col min="16" max="16" width="7.28515625" style="334" hidden="1" customWidth="1"/>
    <col min="17" max="18" width="8.5703125" style="335" customWidth="1"/>
    <col min="19" max="19" width="10.85546875" style="335" customWidth="1"/>
    <col min="20" max="20" width="14.85546875" style="335" hidden="1" customWidth="1"/>
    <col min="21" max="21" width="9.140625" style="335"/>
    <col min="22" max="22" width="15" style="335" bestFit="1" customWidth="1"/>
    <col min="23" max="16384" width="9.140625" style="335"/>
  </cols>
  <sheetData>
    <row r="1" spans="1:20">
      <c r="J1" s="352" t="s">
        <v>29</v>
      </c>
      <c r="K1" s="353"/>
      <c r="L1" s="354"/>
      <c r="M1" s="353"/>
      <c r="N1" s="353"/>
      <c r="O1" s="353"/>
      <c r="P1" s="353"/>
      <c r="Q1" s="353"/>
      <c r="R1" s="353"/>
      <c r="S1" s="353"/>
    </row>
    <row r="2" spans="1:20" ht="24.75" customHeight="1">
      <c r="A2" s="697" t="s">
        <v>0</v>
      </c>
      <c r="B2" s="697" t="s">
        <v>21</v>
      </c>
      <c r="C2" s="698" t="s">
        <v>50</v>
      </c>
      <c r="D2" s="699" t="s">
        <v>51</v>
      </c>
      <c r="E2" s="699" t="s">
        <v>9</v>
      </c>
      <c r="F2" s="699" t="s">
        <v>117</v>
      </c>
      <c r="G2" s="699" t="s">
        <v>52</v>
      </c>
      <c r="H2" s="559"/>
      <c r="I2" s="697" t="s">
        <v>0</v>
      </c>
      <c r="J2" s="697" t="s">
        <v>30</v>
      </c>
      <c r="K2" s="697" t="s">
        <v>31</v>
      </c>
      <c r="L2" s="697" t="s">
        <v>103</v>
      </c>
      <c r="M2" s="697" t="s">
        <v>32</v>
      </c>
      <c r="N2" s="697" t="s">
        <v>573</v>
      </c>
      <c r="O2" s="717" t="s">
        <v>83</v>
      </c>
      <c r="P2" s="718"/>
      <c r="Q2" s="701" t="s">
        <v>33</v>
      </c>
      <c r="R2" s="699" t="s">
        <v>106</v>
      </c>
      <c r="S2" s="699" t="s">
        <v>9</v>
      </c>
      <c r="T2" s="699" t="s">
        <v>82</v>
      </c>
    </row>
    <row r="3" spans="1:20" ht="23.25" customHeight="1">
      <c r="A3" s="697"/>
      <c r="B3" s="697"/>
      <c r="C3" s="698"/>
      <c r="D3" s="699"/>
      <c r="E3" s="699"/>
      <c r="F3" s="699"/>
      <c r="G3" s="699"/>
      <c r="H3" s="559"/>
      <c r="I3" s="697"/>
      <c r="J3" s="697"/>
      <c r="K3" s="697"/>
      <c r="L3" s="697"/>
      <c r="M3" s="697"/>
      <c r="N3" s="697"/>
      <c r="O3" s="719"/>
      <c r="P3" s="720"/>
      <c r="Q3" s="702"/>
      <c r="R3" s="699"/>
      <c r="S3" s="699"/>
      <c r="T3" s="699"/>
    </row>
    <row r="4" spans="1:20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939</v>
      </c>
      <c r="M4" s="356"/>
      <c r="N4" s="356" t="str">
        <f t="shared" ref="N4:N10" si="0">IF(M4&lt;&gt;"",M4,"")</f>
        <v/>
      </c>
      <c r="O4" s="555">
        <v>2030</v>
      </c>
      <c r="P4" s="555">
        <f t="shared" ref="P4:P10" si="1">IF(K4&lt;&gt;"",O4,0)</f>
        <v>2030</v>
      </c>
      <c r="Q4" s="606">
        <f t="shared" ref="Q4:Q24" si="2">O4*13</f>
        <v>26390</v>
      </c>
      <c r="R4" s="357">
        <f t="shared" ref="R4:R24" si="3">IF(M4&lt;&gt;"",22000,0)</f>
        <v>0</v>
      </c>
      <c r="S4" s="357" t="str">
        <f t="shared" ref="S4:S24" si="4">IF(M4&lt;&gt;"",R4*Q4*M4/1000,"")</f>
        <v/>
      </c>
      <c r="T4" s="357"/>
    </row>
    <row r="5" spans="1:20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939</v>
      </c>
      <c r="M5" s="356">
        <f t="shared" ref="M5:M26" si="5">IF(K5&lt;&gt;"",K5-J5+1,"")</f>
        <v>3</v>
      </c>
      <c r="N5" s="356">
        <f t="shared" ref="N5:N9" si="6">IF(M5&lt;&gt;"",M5,"")</f>
        <v>3</v>
      </c>
      <c r="O5" s="555">
        <v>10</v>
      </c>
      <c r="P5" s="555">
        <f t="shared" ref="P5:P9" si="7">IF(K5&lt;&gt;"",O5,0)</f>
        <v>10</v>
      </c>
      <c r="Q5" s="606">
        <f t="shared" si="2"/>
        <v>130</v>
      </c>
      <c r="R5" s="357">
        <f t="shared" si="3"/>
        <v>22000</v>
      </c>
      <c r="S5" s="357">
        <f t="shared" si="4"/>
        <v>8580</v>
      </c>
      <c r="T5" s="357"/>
    </row>
    <row r="6" spans="1:20">
      <c r="A6" s="356">
        <v>3</v>
      </c>
      <c r="B6" s="264" t="s">
        <v>932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940</v>
      </c>
      <c r="M6" s="356"/>
      <c r="N6" s="356" t="str">
        <f t="shared" si="6"/>
        <v/>
      </c>
      <c r="O6" s="555">
        <v>2020</v>
      </c>
      <c r="P6" s="555">
        <f t="shared" si="7"/>
        <v>2020</v>
      </c>
      <c r="Q6" s="606">
        <f t="shared" si="2"/>
        <v>26260</v>
      </c>
      <c r="R6" s="357">
        <f t="shared" si="3"/>
        <v>0</v>
      </c>
      <c r="S6" s="357" t="str">
        <f t="shared" si="4"/>
        <v/>
      </c>
      <c r="T6" s="357"/>
    </row>
    <row r="7" spans="1:20">
      <c r="A7" s="356">
        <v>4</v>
      </c>
      <c r="B7" s="253" t="s">
        <v>963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941</v>
      </c>
      <c r="M7" s="356"/>
      <c r="N7" s="356" t="str">
        <f t="shared" si="6"/>
        <v/>
      </c>
      <c r="O7" s="555">
        <v>2030</v>
      </c>
      <c r="P7" s="555">
        <f t="shared" si="7"/>
        <v>2030</v>
      </c>
      <c r="Q7" s="606">
        <f t="shared" si="2"/>
        <v>26390</v>
      </c>
      <c r="R7" s="357">
        <f t="shared" si="3"/>
        <v>0</v>
      </c>
      <c r="S7" s="357" t="str">
        <f t="shared" si="4"/>
        <v/>
      </c>
      <c r="T7" s="357"/>
    </row>
    <row r="8" spans="1:20">
      <c r="A8" s="356">
        <v>5</v>
      </c>
      <c r="B8" s="253" t="s">
        <v>966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608" t="s">
        <v>942</v>
      </c>
      <c r="M8" s="356"/>
      <c r="N8" s="356" t="str">
        <f t="shared" si="6"/>
        <v/>
      </c>
      <c r="O8" s="555">
        <v>2030</v>
      </c>
      <c r="P8" s="555">
        <f t="shared" si="7"/>
        <v>2030</v>
      </c>
      <c r="Q8" s="606">
        <f t="shared" si="2"/>
        <v>26390</v>
      </c>
      <c r="R8" s="357">
        <f t="shared" si="3"/>
        <v>0</v>
      </c>
      <c r="S8" s="357" t="str">
        <f t="shared" si="4"/>
        <v/>
      </c>
      <c r="T8" s="357"/>
    </row>
    <row r="9" spans="1:20">
      <c r="A9" s="356">
        <v>6</v>
      </c>
      <c r="B9" s="253" t="s">
        <v>967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943</v>
      </c>
      <c r="M9" s="356">
        <f t="shared" si="5"/>
        <v>7</v>
      </c>
      <c r="N9" s="356">
        <f t="shared" si="6"/>
        <v>7</v>
      </c>
      <c r="O9" s="555">
        <v>2030</v>
      </c>
      <c r="P9" s="555">
        <f t="shared" si="7"/>
        <v>2030</v>
      </c>
      <c r="Q9" s="606">
        <f t="shared" si="2"/>
        <v>26390</v>
      </c>
      <c r="R9" s="357">
        <f t="shared" si="3"/>
        <v>22000</v>
      </c>
      <c r="S9" s="357">
        <f t="shared" si="4"/>
        <v>4064060</v>
      </c>
      <c r="T9" s="357"/>
    </row>
    <row r="10" spans="1:20">
      <c r="A10" s="356">
        <v>7</v>
      </c>
      <c r="B10" s="253" t="s">
        <v>968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944</v>
      </c>
      <c r="M10" s="356">
        <f t="shared" si="5"/>
        <v>6</v>
      </c>
      <c r="N10" s="356">
        <f t="shared" si="0"/>
        <v>6</v>
      </c>
      <c r="O10" s="555">
        <v>1596</v>
      </c>
      <c r="P10" s="555">
        <f t="shared" si="1"/>
        <v>1596</v>
      </c>
      <c r="Q10" s="606">
        <f t="shared" si="2"/>
        <v>20748</v>
      </c>
      <c r="R10" s="357">
        <f t="shared" si="3"/>
        <v>22000</v>
      </c>
      <c r="S10" s="357">
        <f t="shared" si="4"/>
        <v>2738736</v>
      </c>
      <c r="T10" s="357"/>
    </row>
    <row r="11" spans="1:20">
      <c r="A11" s="356">
        <v>8</v>
      </c>
      <c r="B11" s="253" t="s">
        <v>969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945</v>
      </c>
      <c r="M11" s="356">
        <f t="shared" si="5"/>
        <v>6</v>
      </c>
      <c r="N11" s="356">
        <f t="shared" ref="N11:N17" si="8">IF(M11&lt;&gt;"",M11,"")</f>
        <v>6</v>
      </c>
      <c r="O11" s="555">
        <v>1466</v>
      </c>
      <c r="P11" s="555">
        <f t="shared" ref="P11:P17" si="9">IF(K11&lt;&gt;"",O11,0)</f>
        <v>1466</v>
      </c>
      <c r="Q11" s="606">
        <f t="shared" si="2"/>
        <v>19058</v>
      </c>
      <c r="R11" s="357">
        <f t="shared" si="3"/>
        <v>22000</v>
      </c>
      <c r="S11" s="357">
        <f t="shared" si="4"/>
        <v>2515656</v>
      </c>
      <c r="T11" s="357"/>
    </row>
    <row r="12" spans="1:20">
      <c r="A12" s="356">
        <v>9</v>
      </c>
      <c r="B12" s="256" t="s">
        <v>962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356"/>
      <c r="N12" s="356" t="str">
        <f t="shared" si="8"/>
        <v/>
      </c>
      <c r="O12" s="555">
        <v>1070</v>
      </c>
      <c r="P12" s="555">
        <f t="shared" si="9"/>
        <v>1070</v>
      </c>
      <c r="Q12" s="606">
        <f t="shared" si="2"/>
        <v>13910</v>
      </c>
      <c r="R12" s="357">
        <f t="shared" si="3"/>
        <v>0</v>
      </c>
      <c r="S12" s="357" t="str">
        <f t="shared" si="4"/>
        <v/>
      </c>
      <c r="T12" s="357"/>
    </row>
    <row r="13" spans="1:20">
      <c r="A13" s="356">
        <v>10</v>
      </c>
      <c r="B13" s="256" t="s">
        <v>391</v>
      </c>
      <c r="C13" s="310"/>
      <c r="D13" s="255"/>
      <c r="E13" s="255"/>
      <c r="F13" s="254">
        <f>S39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356"/>
      <c r="N13" s="356" t="str">
        <f t="shared" si="8"/>
        <v/>
      </c>
      <c r="O13" s="555">
        <v>4620</v>
      </c>
      <c r="P13" s="555">
        <f t="shared" si="9"/>
        <v>4620</v>
      </c>
      <c r="Q13" s="606">
        <f t="shared" si="2"/>
        <v>60060</v>
      </c>
      <c r="R13" s="357">
        <f t="shared" si="3"/>
        <v>0</v>
      </c>
      <c r="S13" s="357" t="str">
        <f t="shared" si="4"/>
        <v/>
      </c>
      <c r="T13" s="357"/>
    </row>
    <row r="14" spans="1:20">
      <c r="A14" s="356">
        <v>11</v>
      </c>
      <c r="B14" s="256" t="s">
        <v>961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946</v>
      </c>
      <c r="M14" s="356">
        <f t="shared" si="5"/>
        <v>5</v>
      </c>
      <c r="N14" s="356">
        <f t="shared" ref="N14:N16" si="10">IF(M14&lt;&gt;"",M14,"")</f>
        <v>5</v>
      </c>
      <c r="O14" s="555">
        <v>577</v>
      </c>
      <c r="P14" s="555">
        <f t="shared" ref="P14:P16" si="11">IF(K14&lt;&gt;"",O14,0)</f>
        <v>577</v>
      </c>
      <c r="Q14" s="606">
        <f t="shared" si="2"/>
        <v>7501</v>
      </c>
      <c r="R14" s="357">
        <f t="shared" si="3"/>
        <v>22000</v>
      </c>
      <c r="S14" s="357">
        <f t="shared" si="4"/>
        <v>825110</v>
      </c>
      <c r="T14" s="357"/>
    </row>
    <row r="15" spans="1:20">
      <c r="A15" s="356">
        <v>12</v>
      </c>
      <c r="B15" s="256" t="s">
        <v>929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947</v>
      </c>
      <c r="M15" s="356">
        <f t="shared" si="5"/>
        <v>5</v>
      </c>
      <c r="N15" s="356">
        <f t="shared" si="10"/>
        <v>5</v>
      </c>
      <c r="O15" s="555">
        <v>564</v>
      </c>
      <c r="P15" s="555">
        <f t="shared" si="11"/>
        <v>564</v>
      </c>
      <c r="Q15" s="606">
        <f t="shared" si="2"/>
        <v>7332</v>
      </c>
      <c r="R15" s="357">
        <f t="shared" si="3"/>
        <v>22000</v>
      </c>
      <c r="S15" s="357">
        <f t="shared" si="4"/>
        <v>806520</v>
      </c>
      <c r="T15" s="357"/>
    </row>
    <row r="16" spans="1:20">
      <c r="A16" s="356">
        <v>13</v>
      </c>
      <c r="B16" s="256" t="s">
        <v>930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948</v>
      </c>
      <c r="M16" s="356">
        <f t="shared" si="5"/>
        <v>3</v>
      </c>
      <c r="N16" s="356">
        <f t="shared" si="10"/>
        <v>3</v>
      </c>
      <c r="O16" s="555">
        <v>1700</v>
      </c>
      <c r="P16" s="555">
        <f t="shared" si="11"/>
        <v>1700</v>
      </c>
      <c r="Q16" s="606">
        <f t="shared" si="2"/>
        <v>22100</v>
      </c>
      <c r="R16" s="357">
        <f t="shared" si="3"/>
        <v>22000</v>
      </c>
      <c r="S16" s="357">
        <f t="shared" si="4"/>
        <v>1458600</v>
      </c>
      <c r="T16" s="357"/>
    </row>
    <row r="17" spans="1:20">
      <c r="A17" s="356">
        <v>14</v>
      </c>
      <c r="B17" s="256" t="s">
        <v>931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949</v>
      </c>
      <c r="M17" s="356">
        <f t="shared" si="5"/>
        <v>2</v>
      </c>
      <c r="N17" s="356">
        <f t="shared" si="8"/>
        <v>2</v>
      </c>
      <c r="O17" s="555">
        <v>187</v>
      </c>
      <c r="P17" s="555">
        <f t="shared" si="9"/>
        <v>187</v>
      </c>
      <c r="Q17" s="606">
        <f t="shared" si="2"/>
        <v>2431</v>
      </c>
      <c r="R17" s="357">
        <f t="shared" si="3"/>
        <v>22000</v>
      </c>
      <c r="S17" s="357">
        <f t="shared" si="4"/>
        <v>106964</v>
      </c>
      <c r="T17" s="357"/>
    </row>
    <row r="18" spans="1:20">
      <c r="A18" s="356">
        <v>15</v>
      </c>
      <c r="B18" s="256" t="s">
        <v>935</v>
      </c>
      <c r="C18" s="310"/>
      <c r="D18" s="255"/>
      <c r="E18" s="255"/>
      <c r="F18" s="254">
        <f t="shared" ref="F18" si="12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949</v>
      </c>
      <c r="M18" s="356">
        <f t="shared" si="5"/>
        <v>13</v>
      </c>
      <c r="N18" s="356">
        <f t="shared" ref="N18:N19" si="13">IF(M18&lt;&gt;"",M18,"")</f>
        <v>13</v>
      </c>
      <c r="O18" s="604">
        <f>876-O17</f>
        <v>689</v>
      </c>
      <c r="P18" s="604">
        <f t="shared" ref="P18:P19" si="14">IF(K18&lt;&gt;"",O18,0)</f>
        <v>689</v>
      </c>
      <c r="Q18" s="606">
        <f t="shared" si="2"/>
        <v>8957</v>
      </c>
      <c r="R18" s="357">
        <f t="shared" si="3"/>
        <v>22000</v>
      </c>
      <c r="S18" s="357">
        <f t="shared" si="4"/>
        <v>2561702</v>
      </c>
      <c r="T18" s="357"/>
    </row>
    <row r="19" spans="1:20">
      <c r="A19" s="356">
        <v>16</v>
      </c>
      <c r="B19" s="256" t="s">
        <v>937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356">
        <f t="shared" si="5"/>
        <v>13</v>
      </c>
      <c r="N19" s="356">
        <f t="shared" si="13"/>
        <v>13</v>
      </c>
      <c r="O19" s="604">
        <v>1351</v>
      </c>
      <c r="P19" s="604">
        <f t="shared" si="14"/>
        <v>1351</v>
      </c>
      <c r="Q19" s="606">
        <f t="shared" si="2"/>
        <v>17563</v>
      </c>
      <c r="R19" s="357">
        <f t="shared" si="3"/>
        <v>22000</v>
      </c>
      <c r="S19" s="357">
        <f t="shared" si="4"/>
        <v>5023018</v>
      </c>
      <c r="T19" s="357"/>
    </row>
    <row r="20" spans="1:20">
      <c r="A20" s="356">
        <v>17</v>
      </c>
      <c r="B20" s="256" t="s">
        <v>936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356" t="str">
        <f t="shared" si="5"/>
        <v/>
      </c>
      <c r="N20" s="356" t="str">
        <f t="shared" ref="N20:N21" si="15">IF(M20&lt;&gt;"",M20,"")</f>
        <v/>
      </c>
      <c r="O20" s="604">
        <f>1475-O19</f>
        <v>124</v>
      </c>
      <c r="P20" s="604">
        <f t="shared" ref="P20:P21" si="16">IF(K20&lt;&gt;"",O20,0)</f>
        <v>0</v>
      </c>
      <c r="Q20" s="606">
        <f t="shared" si="2"/>
        <v>1612</v>
      </c>
      <c r="R20" s="357">
        <f t="shared" si="3"/>
        <v>0</v>
      </c>
      <c r="S20" s="357" t="str">
        <f t="shared" si="4"/>
        <v/>
      </c>
      <c r="T20" s="357"/>
    </row>
    <row r="21" spans="1:20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356" t="str">
        <f t="shared" si="5"/>
        <v/>
      </c>
      <c r="N21" s="356" t="str">
        <f t="shared" si="15"/>
        <v/>
      </c>
      <c r="O21" s="604">
        <v>1100</v>
      </c>
      <c r="P21" s="604">
        <f t="shared" si="16"/>
        <v>0</v>
      </c>
      <c r="Q21" s="606">
        <f t="shared" si="2"/>
        <v>14300</v>
      </c>
      <c r="R21" s="357">
        <f t="shared" si="3"/>
        <v>0</v>
      </c>
      <c r="S21" s="357" t="str">
        <f t="shared" si="4"/>
        <v/>
      </c>
      <c r="T21" s="415"/>
    </row>
    <row r="22" spans="1:20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943</v>
      </c>
      <c r="M22" s="356"/>
      <c r="N22" s="356" t="str">
        <f t="shared" ref="N22:N36" si="17">IF(M22&lt;&gt;"",M22,"")</f>
        <v/>
      </c>
      <c r="O22" s="596">
        <v>2030</v>
      </c>
      <c r="P22" s="596">
        <f t="shared" ref="P22:P36" si="18">IF(K22&lt;&gt;"",O22,0)</f>
        <v>2030</v>
      </c>
      <c r="Q22" s="606">
        <f t="shared" si="2"/>
        <v>26390</v>
      </c>
      <c r="R22" s="357">
        <f t="shared" si="3"/>
        <v>0</v>
      </c>
      <c r="S22" s="357" t="str">
        <f t="shared" si="4"/>
        <v/>
      </c>
    </row>
    <row r="23" spans="1:20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950</v>
      </c>
      <c r="M23" s="356">
        <f t="shared" si="5"/>
        <v>7</v>
      </c>
      <c r="N23" s="356">
        <f t="shared" si="17"/>
        <v>7</v>
      </c>
      <c r="O23" s="596">
        <v>1000</v>
      </c>
      <c r="P23" s="596">
        <f t="shared" si="18"/>
        <v>1000</v>
      </c>
      <c r="Q23" s="606">
        <f t="shared" si="2"/>
        <v>13000</v>
      </c>
      <c r="R23" s="357">
        <f t="shared" si="3"/>
        <v>22000</v>
      </c>
      <c r="S23" s="357">
        <f t="shared" si="4"/>
        <v>2002000</v>
      </c>
    </row>
    <row r="24" spans="1:20">
      <c r="A24" s="534"/>
      <c r="B24" s="534"/>
      <c r="C24" s="535"/>
      <c r="D24" s="536"/>
      <c r="E24" s="536"/>
      <c r="F24" s="534"/>
      <c r="G24" s="600"/>
      <c r="H24" s="559"/>
      <c r="I24" s="489">
        <v>21</v>
      </c>
      <c r="J24" s="355">
        <v>42993</v>
      </c>
      <c r="K24" s="355">
        <v>42999</v>
      </c>
      <c r="L24" s="356" t="s">
        <v>951</v>
      </c>
      <c r="M24" s="356">
        <f t="shared" si="5"/>
        <v>7</v>
      </c>
      <c r="N24" s="356">
        <f t="shared" si="17"/>
        <v>7</v>
      </c>
      <c r="O24" s="596">
        <v>1030</v>
      </c>
      <c r="P24" s="596">
        <f t="shared" si="18"/>
        <v>1030</v>
      </c>
      <c r="Q24" s="606">
        <f t="shared" si="2"/>
        <v>13390</v>
      </c>
      <c r="R24" s="357">
        <f t="shared" si="3"/>
        <v>22000</v>
      </c>
      <c r="S24" s="357">
        <f t="shared" si="4"/>
        <v>2062060</v>
      </c>
      <c r="T24" s="559"/>
    </row>
    <row r="25" spans="1:20">
      <c r="A25" s="534"/>
      <c r="B25" s="601"/>
      <c r="C25" s="535"/>
      <c r="D25" s="536"/>
      <c r="E25" s="536"/>
      <c r="F25" s="534"/>
      <c r="G25" s="600"/>
      <c r="H25" s="559"/>
      <c r="I25" s="489">
        <v>22</v>
      </c>
      <c r="J25" s="355">
        <v>42994</v>
      </c>
      <c r="K25" s="355">
        <v>42999</v>
      </c>
      <c r="L25" s="356" t="s">
        <v>952</v>
      </c>
      <c r="M25" s="356">
        <f t="shared" si="5"/>
        <v>6</v>
      </c>
      <c r="N25" s="356">
        <f t="shared" si="17"/>
        <v>6</v>
      </c>
      <c r="O25" s="596">
        <v>1030</v>
      </c>
      <c r="P25" s="596">
        <f t="shared" si="18"/>
        <v>1030</v>
      </c>
      <c r="Q25" s="597">
        <f t="shared" ref="Q25:Q36" si="19">O25*13</f>
        <v>13390</v>
      </c>
      <c r="R25" s="357">
        <f t="shared" ref="R25:R36" si="20">IF(M25&lt;&gt;"",22000,0)</f>
        <v>22000</v>
      </c>
      <c r="S25" s="357">
        <f t="shared" ref="S25:S36" si="21">IF(M25&lt;&gt;"",R25*Q25*M25/1000,"")</f>
        <v>1767480</v>
      </c>
      <c r="T25" s="559"/>
    </row>
    <row r="26" spans="1:20" ht="15" customHeight="1">
      <c r="A26" s="534"/>
      <c r="B26" s="534" t="s">
        <v>933</v>
      </c>
      <c r="C26" s="535">
        <f>C23</f>
        <v>406406</v>
      </c>
      <c r="D26" s="536"/>
      <c r="E26" s="536"/>
      <c r="F26" s="715">
        <f>E23</f>
        <v>9221352140</v>
      </c>
      <c r="G26" s="715"/>
      <c r="H26" s="559"/>
      <c r="I26" s="489">
        <v>23</v>
      </c>
      <c r="J26" s="355">
        <v>42994</v>
      </c>
      <c r="K26" s="355">
        <v>42999</v>
      </c>
      <c r="L26" s="356" t="s">
        <v>953</v>
      </c>
      <c r="M26" s="356">
        <f t="shared" si="5"/>
        <v>6</v>
      </c>
      <c r="N26" s="356">
        <f t="shared" si="17"/>
        <v>6</v>
      </c>
      <c r="O26" s="596">
        <v>1000</v>
      </c>
      <c r="P26" s="596">
        <f t="shared" si="18"/>
        <v>1000</v>
      </c>
      <c r="Q26" s="597">
        <f t="shared" si="19"/>
        <v>13000</v>
      </c>
      <c r="R26" s="357">
        <f t="shared" si="20"/>
        <v>22000</v>
      </c>
      <c r="S26" s="357">
        <f t="shared" si="21"/>
        <v>1716000</v>
      </c>
      <c r="T26" s="559"/>
    </row>
    <row r="27" spans="1:20">
      <c r="A27" s="534"/>
      <c r="B27" s="534"/>
      <c r="C27" s="535"/>
      <c r="D27" s="536"/>
      <c r="E27" s="536"/>
      <c r="F27" s="534"/>
      <c r="G27" s="600"/>
      <c r="H27" s="559"/>
      <c r="I27" s="489">
        <v>24</v>
      </c>
      <c r="J27" s="355">
        <v>42994</v>
      </c>
      <c r="K27" s="355">
        <v>42999</v>
      </c>
      <c r="L27" s="356" t="s">
        <v>954</v>
      </c>
      <c r="M27" s="356">
        <f t="shared" ref="M27:M37" si="22">IF(K27&lt;&gt;"",K27-J27+1,"")</f>
        <v>6</v>
      </c>
      <c r="N27" s="356">
        <f t="shared" si="17"/>
        <v>6</v>
      </c>
      <c r="O27" s="596">
        <v>2030</v>
      </c>
      <c r="P27" s="596">
        <f t="shared" si="18"/>
        <v>2030</v>
      </c>
      <c r="Q27" s="597">
        <f t="shared" si="19"/>
        <v>26390</v>
      </c>
      <c r="R27" s="357">
        <f t="shared" si="20"/>
        <v>22000</v>
      </c>
      <c r="S27" s="357">
        <f t="shared" si="21"/>
        <v>3483480</v>
      </c>
      <c r="T27" s="559"/>
    </row>
    <row r="28" spans="1:20">
      <c r="A28" s="602"/>
      <c r="B28" s="602" t="s">
        <v>965</v>
      </c>
      <c r="C28" s="602"/>
      <c r="D28" s="602"/>
      <c r="E28" s="602"/>
      <c r="F28" s="715">
        <f>F23</f>
        <v>1455653793.8</v>
      </c>
      <c r="G28" s="715"/>
      <c r="H28" s="559"/>
      <c r="I28" s="489">
        <v>25</v>
      </c>
      <c r="J28" s="355">
        <v>42995</v>
      </c>
      <c r="K28" s="355">
        <v>42999</v>
      </c>
      <c r="L28" s="356" t="s">
        <v>955</v>
      </c>
      <c r="M28" s="356">
        <f t="shared" si="22"/>
        <v>5</v>
      </c>
      <c r="N28" s="356">
        <f t="shared" si="17"/>
        <v>5</v>
      </c>
      <c r="O28" s="596">
        <v>2030</v>
      </c>
      <c r="P28" s="596">
        <f t="shared" si="18"/>
        <v>2030</v>
      </c>
      <c r="Q28" s="597">
        <f t="shared" si="19"/>
        <v>26390</v>
      </c>
      <c r="R28" s="357">
        <f t="shared" si="20"/>
        <v>22000</v>
      </c>
      <c r="S28" s="357">
        <f t="shared" si="21"/>
        <v>2902900</v>
      </c>
      <c r="T28" s="559"/>
    </row>
    <row r="29" spans="1:20">
      <c r="A29" s="602"/>
      <c r="B29" s="602"/>
      <c r="C29" s="602"/>
      <c r="D29" s="602"/>
      <c r="E29" s="602"/>
      <c r="F29" s="602"/>
      <c r="G29" s="602"/>
      <c r="H29" s="559"/>
      <c r="I29" s="489">
        <v>26</v>
      </c>
      <c r="J29" s="355">
        <v>42996</v>
      </c>
      <c r="K29" s="355"/>
      <c r="L29" s="356" t="s">
        <v>956</v>
      </c>
      <c r="M29" s="356" t="str">
        <f t="shared" si="22"/>
        <v/>
      </c>
      <c r="N29" s="356" t="str">
        <f t="shared" si="17"/>
        <v/>
      </c>
      <c r="O29" s="596">
        <f>1440</f>
        <v>1440</v>
      </c>
      <c r="P29" s="596">
        <f t="shared" si="18"/>
        <v>0</v>
      </c>
      <c r="Q29" s="597">
        <f t="shared" si="19"/>
        <v>18720</v>
      </c>
      <c r="R29" s="357">
        <f t="shared" si="20"/>
        <v>0</v>
      </c>
      <c r="S29" s="357" t="str">
        <f t="shared" si="21"/>
        <v/>
      </c>
      <c r="T29" s="559"/>
    </row>
    <row r="30" spans="1:20">
      <c r="A30" s="602"/>
      <c r="B30" s="602"/>
      <c r="C30" s="602"/>
      <c r="D30" s="602"/>
      <c r="E30" s="602"/>
      <c r="F30" s="602"/>
      <c r="G30" s="602"/>
      <c r="H30" s="559"/>
      <c r="I30" s="489">
        <v>27</v>
      </c>
      <c r="J30" s="355">
        <v>42996</v>
      </c>
      <c r="K30" s="355"/>
      <c r="L30" s="356" t="s">
        <v>945</v>
      </c>
      <c r="M30" s="356"/>
      <c r="N30" s="356" t="str">
        <f t="shared" si="17"/>
        <v/>
      </c>
      <c r="O30" s="596">
        <v>1386</v>
      </c>
      <c r="P30" s="596">
        <f t="shared" si="18"/>
        <v>0</v>
      </c>
      <c r="Q30" s="597">
        <f t="shared" si="19"/>
        <v>18018</v>
      </c>
      <c r="R30" s="357">
        <f t="shared" si="20"/>
        <v>0</v>
      </c>
      <c r="S30" s="357" t="str">
        <f t="shared" si="21"/>
        <v/>
      </c>
      <c r="T30" s="559"/>
    </row>
    <row r="31" spans="1:20">
      <c r="A31" s="602"/>
      <c r="B31" s="602" t="s">
        <v>964</v>
      </c>
      <c r="C31" s="602"/>
      <c r="D31" s="602"/>
      <c r="E31" s="602"/>
      <c r="F31" s="715">
        <f>G23</f>
        <v>7729094000</v>
      </c>
      <c r="G31" s="715"/>
      <c r="H31" s="559"/>
      <c r="I31" s="489">
        <v>28</v>
      </c>
      <c r="J31" s="355">
        <v>43000</v>
      </c>
      <c r="K31" s="355">
        <v>43000</v>
      </c>
      <c r="L31" s="356" t="s">
        <v>957</v>
      </c>
      <c r="M31" s="356"/>
      <c r="N31" s="356" t="str">
        <f t="shared" si="17"/>
        <v/>
      </c>
      <c r="O31" s="596">
        <v>1000</v>
      </c>
      <c r="P31" s="596">
        <f t="shared" si="18"/>
        <v>1000</v>
      </c>
      <c r="Q31" s="597">
        <f t="shared" si="19"/>
        <v>13000</v>
      </c>
      <c r="R31" s="357">
        <f t="shared" si="20"/>
        <v>0</v>
      </c>
      <c r="S31" s="357" t="str">
        <f t="shared" si="21"/>
        <v/>
      </c>
      <c r="T31" s="559"/>
    </row>
    <row r="32" spans="1:20">
      <c r="A32" s="560"/>
      <c r="B32" s="560"/>
      <c r="C32" s="560"/>
      <c r="D32" s="560"/>
      <c r="E32" s="560"/>
      <c r="F32" s="716"/>
      <c r="G32" s="716"/>
      <c r="H32" s="559"/>
      <c r="I32" s="489">
        <v>29</v>
      </c>
      <c r="J32" s="355">
        <v>43000</v>
      </c>
      <c r="K32" s="355">
        <v>43000</v>
      </c>
      <c r="L32" s="356" t="s">
        <v>953</v>
      </c>
      <c r="M32" s="356"/>
      <c r="N32" s="356" t="str">
        <f t="shared" si="17"/>
        <v/>
      </c>
      <c r="O32" s="596">
        <v>1020</v>
      </c>
      <c r="P32" s="596">
        <f t="shared" si="18"/>
        <v>1020</v>
      </c>
      <c r="Q32" s="597">
        <f t="shared" si="19"/>
        <v>13260</v>
      </c>
      <c r="R32" s="357">
        <f t="shared" si="20"/>
        <v>0</v>
      </c>
      <c r="S32" s="357" t="str">
        <f t="shared" si="21"/>
        <v/>
      </c>
      <c r="T32" s="559"/>
    </row>
    <row r="33" spans="1:22">
      <c r="A33" s="560"/>
      <c r="B33" s="560"/>
      <c r="C33" s="560"/>
      <c r="D33" s="560"/>
      <c r="E33" s="560"/>
      <c r="F33" s="715"/>
      <c r="G33" s="715"/>
      <c r="H33" s="559"/>
      <c r="I33" s="489">
        <v>30</v>
      </c>
      <c r="J33" s="355">
        <v>43001</v>
      </c>
      <c r="K33" s="355"/>
      <c r="L33" s="356" t="s">
        <v>556</v>
      </c>
      <c r="M33" s="356" t="str">
        <f t="shared" si="22"/>
        <v/>
      </c>
      <c r="N33" s="356" t="str">
        <f t="shared" si="17"/>
        <v/>
      </c>
      <c r="O33" s="596">
        <v>1983</v>
      </c>
      <c r="P33" s="596">
        <f t="shared" si="18"/>
        <v>0</v>
      </c>
      <c r="Q33" s="597">
        <f t="shared" si="19"/>
        <v>25779</v>
      </c>
      <c r="R33" s="357">
        <f t="shared" si="20"/>
        <v>0</v>
      </c>
      <c r="S33" s="357" t="str">
        <f t="shared" si="21"/>
        <v/>
      </c>
      <c r="T33" s="559"/>
    </row>
    <row r="34" spans="1:22">
      <c r="A34" s="559"/>
      <c r="B34" s="560" t="s">
        <v>934</v>
      </c>
      <c r="C34" s="559"/>
      <c r="D34" s="559"/>
      <c r="E34" s="559"/>
      <c r="F34" s="715">
        <f>F26-F28-F31</f>
        <v>36604346.199999809</v>
      </c>
      <c r="G34" s="715"/>
      <c r="H34" s="559"/>
      <c r="I34" s="489">
        <v>31</v>
      </c>
      <c r="J34" s="355">
        <v>43001</v>
      </c>
      <c r="K34" s="355"/>
      <c r="L34" s="608" t="s">
        <v>942</v>
      </c>
      <c r="M34" s="356" t="str">
        <f t="shared" si="22"/>
        <v/>
      </c>
      <c r="N34" s="356" t="str">
        <f t="shared" si="17"/>
        <v/>
      </c>
      <c r="O34" s="596">
        <v>1574</v>
      </c>
      <c r="P34" s="596">
        <f t="shared" si="18"/>
        <v>0</v>
      </c>
      <c r="Q34" s="597">
        <f t="shared" si="19"/>
        <v>20462</v>
      </c>
      <c r="R34" s="357">
        <f t="shared" si="20"/>
        <v>0</v>
      </c>
      <c r="S34" s="357" t="str">
        <f t="shared" si="21"/>
        <v/>
      </c>
      <c r="T34" s="559"/>
    </row>
    <row r="35" spans="1:22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958</v>
      </c>
      <c r="M35" s="356" t="str">
        <f t="shared" si="22"/>
        <v/>
      </c>
      <c r="N35" s="356" t="str">
        <f t="shared" si="17"/>
        <v/>
      </c>
      <c r="O35" s="596">
        <v>1741</v>
      </c>
      <c r="P35" s="596">
        <f t="shared" si="18"/>
        <v>0</v>
      </c>
      <c r="Q35" s="597">
        <f t="shared" si="19"/>
        <v>22633</v>
      </c>
      <c r="R35" s="357">
        <f t="shared" si="20"/>
        <v>0</v>
      </c>
      <c r="S35" s="357" t="str">
        <f t="shared" si="21"/>
        <v/>
      </c>
      <c r="T35" s="559"/>
      <c r="V35" s="563"/>
    </row>
    <row r="36" spans="1:22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959</v>
      </c>
      <c r="M36" s="356" t="str">
        <f t="shared" si="22"/>
        <v/>
      </c>
      <c r="N36" s="356" t="str">
        <f t="shared" si="17"/>
        <v/>
      </c>
      <c r="O36" s="596">
        <v>812</v>
      </c>
      <c r="P36" s="596">
        <f t="shared" si="18"/>
        <v>0</v>
      </c>
      <c r="Q36" s="597">
        <f t="shared" si="19"/>
        <v>10556</v>
      </c>
      <c r="R36" s="357">
        <f t="shared" si="20"/>
        <v>0</v>
      </c>
      <c r="S36" s="357" t="str">
        <f t="shared" si="21"/>
        <v/>
      </c>
      <c r="T36" s="559"/>
      <c r="V36" s="306"/>
    </row>
    <row r="37" spans="1:22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960</v>
      </c>
      <c r="M37" s="356" t="str">
        <f t="shared" si="22"/>
        <v/>
      </c>
      <c r="N37" s="356" t="str">
        <f t="shared" ref="N37" si="23">IF(M37&lt;&gt;"",M37,"")</f>
        <v/>
      </c>
      <c r="O37" s="604">
        <v>2030</v>
      </c>
      <c r="P37" s="604">
        <f t="shared" ref="P37:P38" si="24">IF(K37&lt;&gt;"",O37,0)</f>
        <v>0</v>
      </c>
      <c r="Q37" s="606">
        <f t="shared" ref="Q37:Q38" si="25">O37*13</f>
        <v>26390</v>
      </c>
      <c r="R37" s="357">
        <f t="shared" ref="R37:R38" si="26">IF(M37&lt;&gt;"",22000,0)</f>
        <v>0</v>
      </c>
      <c r="S37" s="357" t="str">
        <f t="shared" ref="S37:S38" si="27">IF(M37&lt;&gt;"",R37*Q37*M37/1000,"")</f>
        <v/>
      </c>
      <c r="T37" s="560"/>
      <c r="V37" s="562"/>
    </row>
    <row r="38" spans="1:22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356"/>
      <c r="N38" s="356"/>
      <c r="O38" s="604"/>
      <c r="P38" s="604">
        <f t="shared" si="24"/>
        <v>0</v>
      </c>
      <c r="Q38" s="606">
        <f t="shared" si="25"/>
        <v>0</v>
      </c>
      <c r="R38" s="357">
        <f t="shared" si="26"/>
        <v>0</v>
      </c>
      <c r="S38" s="357" t="str">
        <f t="shared" si="27"/>
        <v/>
      </c>
      <c r="T38" s="559"/>
    </row>
    <row r="39" spans="1:22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4"/>
      <c r="O39" s="415">
        <f>SUM(O4:O38)</f>
        <v>48330</v>
      </c>
      <c r="P39" s="415">
        <f t="shared" ref="P39:Q39" si="28">SUM(P4:P38)</f>
        <v>36140</v>
      </c>
      <c r="Q39" s="415">
        <f t="shared" si="28"/>
        <v>628290</v>
      </c>
      <c r="R39" s="415"/>
      <c r="S39" s="415">
        <f>SUM(S4:S38)</f>
        <v>34042866</v>
      </c>
      <c r="T39" s="559"/>
    </row>
    <row r="40" spans="1:22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700">
        <f>O39-P39</f>
        <v>12190</v>
      </c>
      <c r="N40" s="700"/>
      <c r="O40" s="700"/>
      <c r="P40" s="700"/>
      <c r="T40" s="559"/>
    </row>
    <row r="41" spans="1:22" ht="15" customHeight="1">
      <c r="A41" s="559"/>
      <c r="B41" s="559"/>
      <c r="C41" s="559"/>
      <c r="D41" s="559"/>
      <c r="E41" s="559"/>
      <c r="F41" s="559"/>
      <c r="G41" s="559"/>
      <c r="H41" s="559"/>
      <c r="T41" s="559"/>
    </row>
    <row r="42" spans="1:22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353"/>
      <c r="T42" s="559"/>
    </row>
    <row r="43" spans="1:22">
      <c r="G43" s="559"/>
      <c r="H43" s="559"/>
      <c r="I43" s="697" t="s">
        <v>0</v>
      </c>
      <c r="J43" s="697" t="s">
        <v>30</v>
      </c>
      <c r="K43" s="697" t="s">
        <v>725</v>
      </c>
      <c r="L43" s="697" t="s">
        <v>103</v>
      </c>
      <c r="M43" s="697" t="s">
        <v>32</v>
      </c>
      <c r="N43" s="697" t="s">
        <v>573</v>
      </c>
      <c r="O43" s="717" t="s">
        <v>83</v>
      </c>
      <c r="P43" s="718"/>
      <c r="Q43" s="701" t="s">
        <v>33</v>
      </c>
      <c r="R43" s="699" t="s">
        <v>106</v>
      </c>
      <c r="S43" s="699" t="s">
        <v>9</v>
      </c>
      <c r="T43" s="559"/>
    </row>
    <row r="44" spans="1:22" ht="28.5">
      <c r="A44" s="598" t="s">
        <v>0</v>
      </c>
      <c r="B44" s="598" t="s">
        <v>21</v>
      </c>
      <c r="C44" s="709" t="s">
        <v>798</v>
      </c>
      <c r="D44" s="710"/>
      <c r="E44" s="599" t="s">
        <v>799</v>
      </c>
      <c r="F44" s="599" t="s">
        <v>800</v>
      </c>
      <c r="G44" s="559"/>
      <c r="H44" s="559"/>
      <c r="I44" s="697"/>
      <c r="J44" s="697"/>
      <c r="K44" s="697"/>
      <c r="L44" s="697"/>
      <c r="M44" s="697"/>
      <c r="N44" s="697"/>
      <c r="O44" s="719"/>
      <c r="P44" s="720"/>
      <c r="Q44" s="702"/>
      <c r="R44" s="699"/>
      <c r="S44" s="699"/>
      <c r="T44" s="559"/>
    </row>
    <row r="45" spans="1:22">
      <c r="A45" s="489">
        <v>1</v>
      </c>
      <c r="B45" s="253" t="s">
        <v>801</v>
      </c>
      <c r="C45" s="705">
        <v>3720000000</v>
      </c>
      <c r="D45" s="706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29">IF(K45&lt;&gt;"",K45-J45+1,"")</f>
        <v>33</v>
      </c>
      <c r="N45" s="356">
        <f t="shared" ref="N45:N50" si="30">IF(M45&lt;&gt;"",M45,"")</f>
        <v>33</v>
      </c>
      <c r="O45" s="555">
        <v>4370</v>
      </c>
      <c r="P45" s="555">
        <f t="shared" ref="P45:P50" si="31">IF(K45&lt;&gt;"",O45,0)</f>
        <v>4370</v>
      </c>
      <c r="Q45" s="556">
        <f t="shared" ref="Q45:Q50" si="32">O45*13</f>
        <v>56810</v>
      </c>
      <c r="R45" s="357">
        <f>IF(M45&lt;&gt;"",20000,0)</f>
        <v>20000</v>
      </c>
      <c r="S45" s="357">
        <f>IF(M45&lt;&gt;"",R45*Q45*N45/1000,"")</f>
        <v>37494600</v>
      </c>
      <c r="T45" s="559"/>
    </row>
    <row r="46" spans="1:22">
      <c r="A46" s="489">
        <v>2</v>
      </c>
      <c r="B46" s="256" t="s">
        <v>935</v>
      </c>
      <c r="C46" s="721"/>
      <c r="D46" s="722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29"/>
        <v>31</v>
      </c>
      <c r="N46" s="356">
        <f t="shared" si="30"/>
        <v>31</v>
      </c>
      <c r="O46" s="555">
        <v>4961</v>
      </c>
      <c r="P46" s="555">
        <f t="shared" si="31"/>
        <v>4961</v>
      </c>
      <c r="Q46" s="556">
        <f t="shared" si="32"/>
        <v>64493</v>
      </c>
      <c r="R46" s="357">
        <f t="shared" ref="R46:R50" si="33">IF(M46&lt;&gt;"",20000,0)</f>
        <v>20000</v>
      </c>
      <c r="S46" s="357">
        <f t="shared" ref="S46:S50" si="34">IF(M46&lt;&gt;"",R46*Q46*N46/1000,"")</f>
        <v>39985660</v>
      </c>
      <c r="T46" s="559"/>
    </row>
    <row r="47" spans="1:22">
      <c r="A47" s="489">
        <v>3</v>
      </c>
      <c r="B47" s="256" t="s">
        <v>937</v>
      </c>
      <c r="C47" s="721"/>
      <c r="D47" s="722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29"/>
        <v>13</v>
      </c>
      <c r="N47" s="356">
        <f t="shared" si="30"/>
        <v>13</v>
      </c>
      <c r="O47" s="555">
        <v>2497</v>
      </c>
      <c r="P47" s="555">
        <f t="shared" si="31"/>
        <v>2497</v>
      </c>
      <c r="Q47" s="556">
        <f t="shared" si="32"/>
        <v>32461</v>
      </c>
      <c r="R47" s="357">
        <f t="shared" si="33"/>
        <v>20000</v>
      </c>
      <c r="S47" s="357">
        <f t="shared" si="34"/>
        <v>8439860</v>
      </c>
      <c r="T47" s="559"/>
    </row>
    <row r="48" spans="1:22">
      <c r="A48" s="489">
        <v>4</v>
      </c>
      <c r="B48" s="256" t="s">
        <v>936</v>
      </c>
      <c r="C48" s="721"/>
      <c r="D48" s="722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29"/>
        <v>6</v>
      </c>
      <c r="N48" s="356">
        <f t="shared" si="30"/>
        <v>6</v>
      </c>
      <c r="O48" s="555">
        <v>1000</v>
      </c>
      <c r="P48" s="555">
        <f t="shared" si="31"/>
        <v>1000</v>
      </c>
      <c r="Q48" s="556">
        <f t="shared" si="32"/>
        <v>13000</v>
      </c>
      <c r="R48" s="357">
        <f t="shared" si="33"/>
        <v>20000</v>
      </c>
      <c r="S48" s="357">
        <f t="shared" si="34"/>
        <v>1560000</v>
      </c>
      <c r="T48" s="559"/>
    </row>
    <row r="49" spans="1:20">
      <c r="A49" s="489">
        <v>5</v>
      </c>
      <c r="B49" s="256" t="s">
        <v>938</v>
      </c>
      <c r="C49" s="721"/>
      <c r="D49" s="722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29"/>
        <v>2</v>
      </c>
      <c r="N49" s="356">
        <f t="shared" si="30"/>
        <v>2</v>
      </c>
      <c r="O49" s="555">
        <v>210</v>
      </c>
      <c r="P49" s="555">
        <f t="shared" si="31"/>
        <v>210</v>
      </c>
      <c r="Q49" s="556">
        <f t="shared" si="32"/>
        <v>2730</v>
      </c>
      <c r="R49" s="357">
        <f t="shared" si="33"/>
        <v>20000</v>
      </c>
      <c r="S49" s="357">
        <f t="shared" si="34"/>
        <v>109200</v>
      </c>
      <c r="T49" s="559"/>
    </row>
    <row r="50" spans="1:20">
      <c r="A50" s="329"/>
      <c r="B50" s="253"/>
      <c r="C50" s="705"/>
      <c r="D50" s="706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29"/>
        <v/>
      </c>
      <c r="N50" s="356" t="str">
        <f t="shared" si="30"/>
        <v/>
      </c>
      <c r="O50" s="555"/>
      <c r="P50" s="555">
        <f t="shared" si="31"/>
        <v>0</v>
      </c>
      <c r="Q50" s="556">
        <f t="shared" si="32"/>
        <v>0</v>
      </c>
      <c r="R50" s="357">
        <f t="shared" si="33"/>
        <v>0</v>
      </c>
      <c r="S50" s="357" t="str">
        <f t="shared" si="34"/>
        <v/>
      </c>
      <c r="T50" s="559"/>
    </row>
    <row r="51" spans="1:20">
      <c r="A51" s="376"/>
      <c r="B51" s="376" t="s">
        <v>57</v>
      </c>
      <c r="C51" s="707">
        <f>SUM(C45:C50)</f>
        <v>3720000000</v>
      </c>
      <c r="D51" s="708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4"/>
      <c r="O51" s="413">
        <f>SUM(O45:O50)</f>
        <v>13038</v>
      </c>
      <c r="P51" s="413">
        <f>SUM(P45:P50)</f>
        <v>13038</v>
      </c>
      <c r="Q51" s="413">
        <f>SUM(Q45:Q50)</f>
        <v>169494</v>
      </c>
      <c r="R51" s="413"/>
      <c r="S51" s="415">
        <f>SUM(S45:S50)</f>
        <v>87589320</v>
      </c>
      <c r="T51" s="559"/>
    </row>
    <row r="52" spans="1:20">
      <c r="G52" s="559"/>
      <c r="H52" s="559"/>
      <c r="L52" s="352"/>
      <c r="M52" s="700"/>
      <c r="N52" s="700"/>
      <c r="O52" s="557" t="s">
        <v>899</v>
      </c>
      <c r="P52" s="557"/>
      <c r="S52" s="537">
        <f>Q51*15</f>
        <v>2542410</v>
      </c>
      <c r="T52" s="559"/>
    </row>
    <row r="53" spans="1:20">
      <c r="G53" s="559"/>
      <c r="H53" s="559"/>
      <c r="S53" s="558"/>
      <c r="T53" s="559"/>
    </row>
    <row r="54" spans="1:20">
      <c r="G54" s="559"/>
      <c r="H54" s="559"/>
      <c r="I54" s="560"/>
      <c r="J54" s="560"/>
      <c r="K54" s="560"/>
      <c r="L54" s="560"/>
      <c r="M54" s="560"/>
      <c r="N54" s="560"/>
      <c r="O54" s="560" t="s">
        <v>900</v>
      </c>
      <c r="P54" s="560"/>
      <c r="Q54" s="560"/>
      <c r="R54" s="560"/>
      <c r="S54" s="561">
        <f>S51+S52</f>
        <v>90131730</v>
      </c>
      <c r="T54" s="559"/>
    </row>
    <row r="55" spans="1:20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  <c r="T55" s="559"/>
    </row>
    <row r="56" spans="1:20">
      <c r="A56" s="559"/>
      <c r="B56" s="559"/>
      <c r="C56" s="559"/>
      <c r="D56" s="559"/>
      <c r="E56" s="559"/>
      <c r="F56" s="559"/>
      <c r="G56" s="559"/>
      <c r="H56" s="559"/>
      <c r="I56" s="559"/>
      <c r="J56" s="559"/>
      <c r="K56" s="559"/>
      <c r="L56" s="559"/>
      <c r="M56" s="559"/>
      <c r="N56" s="559"/>
      <c r="O56" s="559"/>
      <c r="P56" s="559"/>
      <c r="Q56" s="559"/>
      <c r="R56" s="559"/>
      <c r="S56" s="559"/>
      <c r="T56" s="559"/>
    </row>
    <row r="57" spans="1:20">
      <c r="A57" s="559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59"/>
      <c r="P57" s="559"/>
      <c r="Q57" s="559"/>
      <c r="R57" s="559"/>
      <c r="S57" s="559"/>
      <c r="T57" s="559"/>
    </row>
    <row r="58" spans="1:20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59"/>
      <c r="P58" s="559"/>
      <c r="Q58" s="559"/>
      <c r="R58" s="559"/>
      <c r="S58" s="559"/>
      <c r="T58" s="559"/>
    </row>
    <row r="59" spans="1:20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</row>
    <row r="60" spans="1:20">
      <c r="A60" s="559"/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</row>
    <row r="61" spans="1:20">
      <c r="A61" s="559"/>
      <c r="B61" s="559"/>
      <c r="C61" s="559"/>
      <c r="D61" s="559"/>
      <c r="E61" s="559"/>
      <c r="F61" s="559"/>
      <c r="G61" s="559"/>
      <c r="H61" s="559"/>
      <c r="I61" s="559"/>
      <c r="J61" s="559"/>
      <c r="K61" s="559"/>
      <c r="L61" s="559"/>
      <c r="M61" s="559"/>
      <c r="N61" s="559"/>
      <c r="O61" s="559"/>
      <c r="P61" s="559"/>
      <c r="Q61" s="559"/>
      <c r="R61" s="559"/>
      <c r="S61" s="559"/>
      <c r="T61" s="559"/>
    </row>
    <row r="62" spans="1:20">
      <c r="A62" s="559"/>
      <c r="B62" s="559"/>
      <c r="C62" s="559"/>
      <c r="D62" s="559"/>
      <c r="E62" s="559"/>
      <c r="F62" s="559"/>
      <c r="G62" s="559"/>
      <c r="H62" s="559"/>
      <c r="I62" s="559"/>
      <c r="J62" s="559"/>
      <c r="K62" s="559"/>
      <c r="L62" s="559"/>
      <c r="M62" s="559"/>
      <c r="N62" s="559"/>
      <c r="O62" s="559"/>
      <c r="P62" s="559"/>
      <c r="Q62" s="559"/>
      <c r="R62" s="559"/>
      <c r="S62" s="559"/>
      <c r="T62" s="559"/>
    </row>
    <row r="63" spans="1:20">
      <c r="A63" s="559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59"/>
      <c r="P63" s="559"/>
      <c r="Q63" s="559"/>
      <c r="R63" s="559"/>
      <c r="S63" s="559"/>
      <c r="T63" s="559"/>
    </row>
    <row r="64" spans="1:20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59"/>
      <c r="P64" s="559"/>
      <c r="Q64" s="559"/>
      <c r="R64" s="559"/>
      <c r="S64" s="559"/>
      <c r="T64" s="559"/>
    </row>
    <row r="65" spans="1:20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</row>
    <row r="66" spans="1:20">
      <c r="A66" s="559"/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</row>
    <row r="67" spans="1:20">
      <c r="A67" s="559"/>
      <c r="B67" s="559"/>
      <c r="C67" s="559"/>
      <c r="D67" s="559"/>
      <c r="E67" s="559"/>
      <c r="F67" s="559"/>
      <c r="G67" s="559"/>
      <c r="H67" s="559"/>
      <c r="I67" s="559"/>
      <c r="J67" s="559"/>
      <c r="K67" s="559"/>
      <c r="L67" s="559"/>
      <c r="M67" s="559"/>
      <c r="N67" s="559"/>
      <c r="O67" s="559"/>
      <c r="P67" s="559"/>
      <c r="Q67" s="559"/>
      <c r="R67" s="559"/>
      <c r="S67" s="559"/>
      <c r="T67" s="559"/>
    </row>
    <row r="68" spans="1:20">
      <c r="A68" s="559"/>
      <c r="B68" s="559"/>
      <c r="C68" s="559"/>
      <c r="D68" s="559"/>
      <c r="E68" s="559"/>
      <c r="F68" s="559"/>
      <c r="G68" s="559"/>
      <c r="H68" s="559"/>
      <c r="I68" s="559"/>
      <c r="J68" s="559"/>
      <c r="K68" s="559"/>
      <c r="L68" s="559"/>
      <c r="M68" s="559"/>
      <c r="N68" s="559"/>
      <c r="O68" s="559"/>
      <c r="P68" s="559"/>
      <c r="Q68" s="559"/>
      <c r="R68" s="559"/>
      <c r="S68" s="559"/>
      <c r="T68" s="559"/>
    </row>
    <row r="69" spans="1:20">
      <c r="A69" s="559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59"/>
      <c r="P69" s="559"/>
      <c r="Q69" s="559"/>
      <c r="R69" s="559"/>
      <c r="S69" s="559"/>
      <c r="T69" s="559"/>
    </row>
    <row r="70" spans="1:20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59"/>
      <c r="P70" s="559"/>
      <c r="Q70" s="559"/>
      <c r="R70" s="559"/>
      <c r="S70" s="559"/>
      <c r="T70" s="559"/>
    </row>
    <row r="71" spans="1:20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</row>
    <row r="72" spans="1:20">
      <c r="A72" s="559"/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</row>
    <row r="73" spans="1:20">
      <c r="A73" s="559"/>
      <c r="B73" s="559"/>
      <c r="C73" s="559"/>
      <c r="D73" s="559"/>
      <c r="E73" s="559"/>
      <c r="F73" s="559"/>
      <c r="G73" s="559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  <c r="T73" s="559"/>
    </row>
    <row r="74" spans="1:20">
      <c r="A74" s="559"/>
      <c r="B74" s="559"/>
      <c r="C74" s="559"/>
      <c r="D74" s="559"/>
      <c r="E74" s="559"/>
      <c r="F74" s="559"/>
      <c r="G74" s="559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  <c r="T74" s="559"/>
    </row>
    <row r="75" spans="1:20">
      <c r="A75" s="559"/>
      <c r="B75" s="559"/>
      <c r="C75" s="559"/>
      <c r="D75" s="559"/>
      <c r="E75" s="559"/>
      <c r="F75" s="559"/>
      <c r="G75" s="559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  <c r="T75" s="559"/>
    </row>
    <row r="76" spans="1:20">
      <c r="A76" s="559"/>
      <c r="B76" s="559"/>
      <c r="C76" s="559"/>
      <c r="D76" s="559"/>
      <c r="E76" s="559"/>
      <c r="F76" s="559"/>
      <c r="G76" s="559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  <c r="T76" s="559"/>
    </row>
    <row r="77" spans="1:20">
      <c r="A77" s="559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  <c r="T77" s="559"/>
    </row>
    <row r="78" spans="1:20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  <c r="T78" s="559"/>
    </row>
    <row r="79" spans="1:20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</row>
    <row r="80" spans="1:20">
      <c r="A80" s="559"/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</row>
    <row r="81" spans="1:20">
      <c r="A81" s="559"/>
      <c r="B81" s="559"/>
      <c r="C81" s="559"/>
      <c r="D81" s="559"/>
      <c r="E81" s="559"/>
      <c r="F81" s="559"/>
      <c r="G81" s="559"/>
      <c r="H81" s="559"/>
      <c r="I81" s="559"/>
      <c r="J81" s="559"/>
      <c r="K81" s="559"/>
      <c r="L81" s="559"/>
      <c r="M81" s="559"/>
      <c r="N81" s="559"/>
      <c r="O81" s="559"/>
      <c r="P81" s="559"/>
      <c r="Q81" s="559"/>
      <c r="R81" s="559"/>
      <c r="S81" s="559"/>
      <c r="T81" s="559"/>
    </row>
    <row r="82" spans="1:20">
      <c r="A82" s="559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59"/>
      <c r="P82" s="559"/>
      <c r="Q82" s="559"/>
      <c r="R82" s="559"/>
      <c r="S82" s="559"/>
      <c r="T82" s="559"/>
    </row>
    <row r="83" spans="1:20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59"/>
      <c r="P83" s="559"/>
      <c r="Q83" s="559"/>
      <c r="R83" s="559"/>
      <c r="S83" s="559"/>
      <c r="T83" s="559"/>
    </row>
    <row r="84" spans="1:20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</row>
    <row r="85" spans="1:20">
      <c r="A85" s="559"/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</row>
    <row r="86" spans="1:20">
      <c r="A86" s="559"/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</row>
    <row r="87" spans="1:20">
      <c r="A87" s="559"/>
      <c r="B87" s="559"/>
      <c r="C87" s="559"/>
      <c r="D87" s="559"/>
      <c r="E87" s="559"/>
      <c r="F87" s="559"/>
      <c r="G87" s="559"/>
      <c r="H87" s="559"/>
      <c r="I87" s="559"/>
      <c r="J87" s="559"/>
      <c r="K87" s="559"/>
      <c r="L87" s="559"/>
      <c r="M87" s="559"/>
      <c r="N87" s="559"/>
      <c r="O87" s="559"/>
      <c r="P87" s="559"/>
      <c r="Q87" s="559"/>
      <c r="R87" s="559"/>
      <c r="S87" s="559"/>
      <c r="T87" s="559"/>
    </row>
    <row r="88" spans="1:20">
      <c r="A88" s="559"/>
      <c r="B88" s="559"/>
      <c r="C88" s="559"/>
      <c r="D88" s="559"/>
      <c r="E88" s="559"/>
      <c r="F88" s="559"/>
      <c r="G88" s="559"/>
      <c r="H88" s="559"/>
      <c r="I88" s="559"/>
      <c r="J88" s="559"/>
      <c r="K88" s="559"/>
      <c r="L88" s="559"/>
      <c r="M88" s="559"/>
      <c r="N88" s="559"/>
      <c r="O88" s="559"/>
      <c r="P88" s="559"/>
      <c r="Q88" s="559"/>
      <c r="R88" s="559"/>
      <c r="S88" s="559"/>
      <c r="T88" s="559"/>
    </row>
    <row r="89" spans="1:20">
      <c r="A89" s="559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59"/>
      <c r="P89" s="559"/>
      <c r="Q89" s="559"/>
      <c r="R89" s="559"/>
      <c r="S89" s="559"/>
      <c r="T89" s="559"/>
    </row>
    <row r="90" spans="1:20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59"/>
      <c r="P90" s="559"/>
      <c r="Q90" s="559"/>
      <c r="R90" s="559"/>
      <c r="S90" s="559"/>
      <c r="T90" s="559"/>
    </row>
    <row r="91" spans="1:20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</row>
    <row r="92" spans="1:20">
      <c r="A92" s="559"/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</row>
    <row r="93" spans="1:20">
      <c r="A93" s="559"/>
      <c r="B93" s="559"/>
      <c r="C93" s="559"/>
      <c r="D93" s="559"/>
      <c r="E93" s="559"/>
      <c r="F93" s="559"/>
      <c r="G93" s="559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  <c r="T93" s="559"/>
    </row>
    <row r="94" spans="1:20">
      <c r="A94" s="559"/>
      <c r="B94" s="559"/>
      <c r="C94" s="559"/>
      <c r="D94" s="559"/>
      <c r="E94" s="559"/>
      <c r="F94" s="559"/>
      <c r="G94" s="559"/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  <c r="T94" s="559"/>
    </row>
    <row r="95" spans="1:20">
      <c r="A95" s="559"/>
      <c r="B95" s="559"/>
      <c r="C95" s="559"/>
      <c r="D95" s="559"/>
      <c r="E95" s="559"/>
      <c r="F95" s="559"/>
      <c r="G95" s="559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  <c r="T95" s="559"/>
    </row>
    <row r="96" spans="1:20">
      <c r="A96" s="559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  <c r="T96" s="559"/>
    </row>
    <row r="97" spans="1:20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  <c r="T97" s="559"/>
    </row>
    <row r="98" spans="1:20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</row>
    <row r="99" spans="1:20">
      <c r="A99" s="559"/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</row>
    <row r="100" spans="1:20">
      <c r="A100" s="559"/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</row>
    <row r="101" spans="1:20">
      <c r="A101" s="559"/>
      <c r="B101" s="559"/>
      <c r="C101" s="559"/>
      <c r="D101" s="559"/>
      <c r="E101" s="559"/>
      <c r="F101" s="559"/>
      <c r="G101" s="559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  <c r="T101" s="559"/>
    </row>
    <row r="102" spans="1:20">
      <c r="A102" s="559"/>
      <c r="B102" s="559"/>
      <c r="C102" s="559"/>
      <c r="D102" s="559"/>
      <c r="E102" s="559"/>
      <c r="F102" s="559"/>
      <c r="G102" s="559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  <c r="T102" s="559"/>
    </row>
    <row r="103" spans="1:20">
      <c r="A103" s="559"/>
      <c r="B103" s="559"/>
      <c r="C103" s="559"/>
      <c r="D103" s="559"/>
      <c r="E103" s="559"/>
      <c r="F103" s="559"/>
      <c r="G103" s="559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  <c r="T103" s="559"/>
    </row>
    <row r="104" spans="1:20">
      <c r="A104" s="559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  <c r="T104" s="559"/>
    </row>
    <row r="105" spans="1:20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  <c r="T105" s="559"/>
    </row>
    <row r="106" spans="1:20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</row>
    <row r="107" spans="1:20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</row>
    <row r="108" spans="1:20">
      <c r="A108" s="559"/>
      <c r="B108" s="559"/>
      <c r="C108" s="559"/>
      <c r="D108" s="559"/>
      <c r="E108" s="559"/>
      <c r="F108" s="559"/>
      <c r="G108" s="559"/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  <c r="T108" s="559"/>
    </row>
    <row r="109" spans="1:20">
      <c r="A109" s="559"/>
      <c r="B109" s="559"/>
      <c r="C109" s="559"/>
      <c r="D109" s="559"/>
      <c r="E109" s="559"/>
      <c r="F109" s="559"/>
      <c r="G109" s="559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  <c r="T109" s="559"/>
    </row>
    <row r="110" spans="1:20">
      <c r="A110" s="559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  <c r="T110" s="559"/>
    </row>
    <row r="111" spans="1:20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  <c r="T111" s="559"/>
    </row>
    <row r="112" spans="1:20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</row>
    <row r="113" spans="1:20">
      <c r="A113" s="559"/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</row>
    <row r="114" spans="1:20">
      <c r="A114" s="559"/>
      <c r="B114" s="559"/>
      <c r="C114" s="559"/>
      <c r="D114" s="559"/>
      <c r="E114" s="559"/>
      <c r="F114" s="559"/>
      <c r="G114" s="559"/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  <c r="T114" s="559"/>
    </row>
    <row r="115" spans="1:20">
      <c r="A115" s="559"/>
      <c r="B115" s="559"/>
      <c r="C115" s="559"/>
      <c r="D115" s="559"/>
      <c r="E115" s="559"/>
      <c r="F115" s="559"/>
      <c r="G115" s="559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  <c r="T115" s="559"/>
    </row>
    <row r="116" spans="1:20">
      <c r="A116" s="559"/>
      <c r="B116" s="559"/>
      <c r="C116" s="559"/>
      <c r="D116" s="559"/>
      <c r="E116" s="559"/>
      <c r="F116" s="559"/>
      <c r="G116" s="559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  <c r="T116" s="559"/>
    </row>
    <row r="117" spans="1:20">
      <c r="A117" s="559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  <c r="T117" s="559"/>
    </row>
    <row r="118" spans="1:20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  <c r="T118" s="559"/>
    </row>
    <row r="119" spans="1:20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</row>
    <row r="120" spans="1:20">
      <c r="A120" s="559"/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</row>
    <row r="121" spans="1:20">
      <c r="A121" s="559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  <c r="T121" s="559"/>
    </row>
    <row r="122" spans="1:20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  <c r="T122" s="559"/>
    </row>
    <row r="123" spans="1:20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</row>
    <row r="124" spans="1:20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</row>
    <row r="125" spans="1:20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</row>
    <row r="126" spans="1:20">
      <c r="A126" s="559"/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</row>
    <row r="127" spans="1:20">
      <c r="A127" s="559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  <c r="T127" s="559"/>
    </row>
    <row r="128" spans="1:20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  <c r="T128" s="559"/>
    </row>
    <row r="129" spans="1:20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</row>
    <row r="130" spans="1:20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</row>
    <row r="131" spans="1:20">
      <c r="A131" s="559"/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</row>
    <row r="132" spans="1:20">
      <c r="A132" s="559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  <c r="T132" s="559"/>
    </row>
    <row r="133" spans="1:20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  <c r="T133" s="559"/>
    </row>
    <row r="134" spans="1:20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</row>
    <row r="135" spans="1:20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</row>
    <row r="136" spans="1:20">
      <c r="A136" s="559"/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</row>
    <row r="137" spans="1:20">
      <c r="A137" s="559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  <c r="T137" s="559"/>
    </row>
    <row r="138" spans="1:20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  <c r="T138" s="559"/>
    </row>
    <row r="139" spans="1:20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</row>
    <row r="140" spans="1:20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</row>
    <row r="141" spans="1:20">
      <c r="A141" s="559"/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</row>
    <row r="142" spans="1:20">
      <c r="A142" s="559"/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</row>
    <row r="143" spans="1:20">
      <c r="A143" s="559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  <c r="T143" s="559"/>
    </row>
    <row r="144" spans="1:20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  <c r="T144" s="559"/>
    </row>
    <row r="145" spans="1:20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</row>
    <row r="146" spans="1:20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</row>
    <row r="147" spans="1:20">
      <c r="A147" s="559"/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</row>
    <row r="148" spans="1:20">
      <c r="A148" s="559"/>
      <c r="B148" s="559"/>
      <c r="C148" s="559"/>
      <c r="D148" s="559"/>
      <c r="E148" s="559"/>
      <c r="F148" s="559"/>
      <c r="G148" s="559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  <c r="T148" s="559"/>
    </row>
    <row r="149" spans="1:20">
      <c r="A149" s="559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  <c r="T149" s="559"/>
    </row>
    <row r="150" spans="1:20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  <c r="T150" s="559"/>
    </row>
    <row r="151" spans="1:20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  <c r="T151" s="559"/>
    </row>
    <row r="152" spans="1:20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</row>
    <row r="153" spans="1:20">
      <c r="A153" s="559"/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</row>
    <row r="154" spans="1:20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</row>
    <row r="155" spans="1:20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</row>
    <row r="156" spans="1:20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  <c r="T156" s="559"/>
    </row>
    <row r="157" spans="1:20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</row>
    <row r="158" spans="1:20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</row>
    <row r="159" spans="1:20">
      <c r="A159" s="559"/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</row>
    <row r="160" spans="1:20">
      <c r="A160" s="559"/>
      <c r="B160" s="559"/>
      <c r="C160" s="559"/>
      <c r="D160" s="559"/>
      <c r="E160" s="559"/>
      <c r="F160" s="559"/>
      <c r="G160" s="559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  <c r="T160" s="559"/>
    </row>
    <row r="161" spans="1:20">
      <c r="A161" s="559"/>
      <c r="B161" s="559"/>
      <c r="C161" s="559"/>
      <c r="D161" s="559"/>
      <c r="E161" s="559"/>
      <c r="F161" s="559"/>
      <c r="G161" s="559"/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  <c r="T161" s="559"/>
    </row>
    <row r="162" spans="1:20">
      <c r="A162" s="559"/>
      <c r="B162" s="559"/>
      <c r="C162" s="559"/>
      <c r="D162" s="559"/>
      <c r="E162" s="559"/>
      <c r="F162" s="559"/>
      <c r="G162" s="559"/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  <c r="T162" s="559"/>
    </row>
    <row r="163" spans="1:20">
      <c r="A163" s="559"/>
      <c r="B163" s="559"/>
      <c r="C163" s="559"/>
      <c r="D163" s="559"/>
      <c r="E163" s="559"/>
      <c r="F163" s="559"/>
      <c r="G163" s="559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  <c r="T163" s="559"/>
    </row>
    <row r="164" spans="1:20">
      <c r="A164" s="559"/>
      <c r="B164" s="559"/>
      <c r="C164" s="559"/>
      <c r="D164" s="559"/>
      <c r="E164" s="559"/>
      <c r="F164" s="559"/>
      <c r="G164" s="559"/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  <c r="T164" s="559"/>
    </row>
    <row r="165" spans="1:20">
      <c r="A165" s="559"/>
      <c r="B165" s="559"/>
      <c r="C165" s="559"/>
      <c r="D165" s="559"/>
      <c r="E165" s="559"/>
      <c r="F165" s="559"/>
      <c r="G165" s="559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  <c r="T165" s="559"/>
    </row>
    <row r="166" spans="1:20">
      <c r="A166" s="559"/>
      <c r="B166" s="559"/>
      <c r="C166" s="559"/>
      <c r="D166" s="559"/>
      <c r="E166" s="559"/>
      <c r="F166" s="559"/>
      <c r="G166" s="559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  <c r="T166" s="559"/>
    </row>
    <row r="167" spans="1:20">
      <c r="A167" s="559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  <c r="T167" s="559"/>
    </row>
    <row r="168" spans="1:20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  <c r="T168" s="559"/>
    </row>
    <row r="169" spans="1:20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</row>
    <row r="170" spans="1:20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</row>
    <row r="171" spans="1:20">
      <c r="A171" s="559"/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</row>
    <row r="172" spans="1:20">
      <c r="A172" s="559"/>
      <c r="B172" s="559"/>
      <c r="C172" s="559"/>
      <c r="D172" s="559"/>
      <c r="E172" s="559"/>
      <c r="F172" s="559"/>
      <c r="G172" s="559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  <c r="T172" s="559"/>
    </row>
    <row r="173" spans="1:20">
      <c r="A173" s="559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  <c r="T173" s="559"/>
    </row>
    <row r="174" spans="1:20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  <c r="T174" s="559"/>
    </row>
    <row r="175" spans="1:20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</row>
    <row r="176" spans="1:20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</row>
    <row r="177" spans="1:20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</row>
    <row r="178" spans="1:20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  <c r="T178" s="559"/>
    </row>
    <row r="179" spans="1:20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</row>
    <row r="180" spans="1:20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</row>
    <row r="181" spans="1:20">
      <c r="A181" s="559"/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</row>
    <row r="182" spans="1:20">
      <c r="A182" s="559"/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</row>
    <row r="183" spans="1:20">
      <c r="A183" s="559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  <c r="T183" s="559"/>
    </row>
    <row r="184" spans="1:20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  <c r="T184" s="559"/>
    </row>
    <row r="185" spans="1:20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</row>
    <row r="186" spans="1:20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</row>
    <row r="187" spans="1:20">
      <c r="A187" s="559"/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</row>
    <row r="188" spans="1:20">
      <c r="A188" s="559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  <c r="T188" s="559"/>
    </row>
    <row r="189" spans="1:20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  <c r="T189" s="559"/>
    </row>
    <row r="190" spans="1:20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</row>
    <row r="191" spans="1:20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</row>
    <row r="192" spans="1:20">
      <c r="A192" s="559"/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</row>
    <row r="193" spans="1:20">
      <c r="A193" s="559"/>
      <c r="B193" s="559"/>
      <c r="C193" s="559"/>
      <c r="D193" s="559"/>
      <c r="E193" s="559"/>
      <c r="F193" s="559"/>
      <c r="G193" s="559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  <c r="T193" s="559"/>
    </row>
    <row r="194" spans="1:20">
      <c r="A194" s="559"/>
      <c r="B194" s="559"/>
      <c r="C194" s="559"/>
      <c r="D194" s="559"/>
      <c r="E194" s="559"/>
      <c r="F194" s="559"/>
      <c r="G194" s="559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  <c r="T194" s="559"/>
    </row>
    <row r="195" spans="1:20">
      <c r="A195" s="559"/>
      <c r="B195" s="559"/>
      <c r="C195" s="559"/>
      <c r="D195" s="559"/>
      <c r="E195" s="559"/>
      <c r="F195" s="559"/>
      <c r="G195" s="559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  <c r="T195" s="559"/>
    </row>
    <row r="196" spans="1:20">
      <c r="A196" s="559"/>
      <c r="B196" s="559"/>
      <c r="C196" s="559"/>
      <c r="D196" s="559"/>
      <c r="E196" s="559"/>
      <c r="F196" s="559"/>
      <c r="G196" s="559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  <c r="T196" s="559"/>
    </row>
    <row r="197" spans="1:20">
      <c r="A197" s="559"/>
      <c r="B197" s="559"/>
      <c r="C197" s="559"/>
      <c r="D197" s="559"/>
      <c r="E197" s="559"/>
      <c r="F197" s="559"/>
      <c r="G197" s="559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  <c r="T197" s="559"/>
    </row>
    <row r="198" spans="1:20">
      <c r="A198" s="559"/>
      <c r="B198" s="559"/>
      <c r="C198" s="559"/>
      <c r="D198" s="559"/>
      <c r="E198" s="559"/>
      <c r="F198" s="559"/>
      <c r="G198" s="559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  <c r="T198" s="559"/>
    </row>
    <row r="199" spans="1:20">
      <c r="A199" s="559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  <c r="T199" s="559"/>
    </row>
    <row r="200" spans="1:20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  <c r="T200" s="559"/>
    </row>
    <row r="201" spans="1:20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</row>
    <row r="202" spans="1:20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</row>
    <row r="203" spans="1:20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</row>
    <row r="204" spans="1:20">
      <c r="A204" s="559"/>
      <c r="B204" s="559"/>
      <c r="C204" s="559"/>
      <c r="D204" s="559"/>
      <c r="E204" s="559"/>
      <c r="F204" s="559"/>
      <c r="G204" s="559"/>
      <c r="H204" s="559"/>
      <c r="I204" s="559"/>
      <c r="J204" s="559"/>
      <c r="K204" s="559"/>
      <c r="L204" s="559"/>
      <c r="M204" s="559"/>
      <c r="N204" s="559"/>
      <c r="O204" s="559"/>
      <c r="P204" s="559"/>
      <c r="Q204" s="559"/>
      <c r="R204" s="559"/>
      <c r="S204" s="559"/>
      <c r="T204" s="559"/>
    </row>
    <row r="205" spans="1:20">
      <c r="A205" s="559"/>
      <c r="B205" s="559"/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  <c r="N205" s="559"/>
      <c r="O205" s="559"/>
      <c r="P205" s="559"/>
      <c r="Q205" s="559"/>
      <c r="R205" s="559"/>
      <c r="S205" s="559"/>
      <c r="T205" s="559"/>
    </row>
    <row r="206" spans="1:20">
      <c r="A206" s="559"/>
      <c r="B206" s="559"/>
      <c r="C206" s="559"/>
      <c r="D206" s="559"/>
      <c r="E206" s="559"/>
      <c r="F206" s="559"/>
      <c r="G206" s="559"/>
      <c r="H206" s="559"/>
      <c r="I206" s="559"/>
      <c r="J206" s="559"/>
      <c r="K206" s="559"/>
      <c r="L206" s="559"/>
      <c r="M206" s="559"/>
      <c r="N206" s="559"/>
      <c r="O206" s="559"/>
      <c r="P206" s="559"/>
      <c r="Q206" s="559"/>
      <c r="R206" s="559"/>
      <c r="S206" s="559"/>
      <c r="T206" s="559"/>
    </row>
    <row r="207" spans="1:20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  <c r="N207" s="559"/>
      <c r="O207" s="559"/>
      <c r="P207" s="559"/>
      <c r="Q207" s="559"/>
      <c r="R207" s="559"/>
      <c r="S207" s="559"/>
      <c r="T207" s="559"/>
    </row>
    <row r="208" spans="1:20">
      <c r="A208" s="559"/>
      <c r="B208" s="559"/>
      <c r="C208" s="559"/>
      <c r="D208" s="559"/>
      <c r="E208" s="559"/>
      <c r="F208" s="559"/>
      <c r="G208" s="559"/>
      <c r="H208" s="559"/>
      <c r="I208" s="559"/>
      <c r="J208" s="559"/>
      <c r="K208" s="559"/>
      <c r="L208" s="559"/>
      <c r="M208" s="559"/>
      <c r="N208" s="559"/>
      <c r="O208" s="559"/>
      <c r="P208" s="559"/>
      <c r="Q208" s="559"/>
      <c r="R208" s="559"/>
      <c r="S208" s="559"/>
      <c r="T208" s="559"/>
    </row>
    <row r="209" spans="1:20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  <c r="N209" s="559"/>
      <c r="O209" s="559"/>
      <c r="P209" s="559"/>
      <c r="Q209" s="559"/>
      <c r="R209" s="559"/>
      <c r="S209" s="559"/>
      <c r="T209" s="559"/>
    </row>
    <row r="210" spans="1:20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  <c r="N210" s="559"/>
      <c r="O210" s="559"/>
      <c r="P210" s="559"/>
      <c r="Q210" s="559"/>
      <c r="R210" s="559"/>
      <c r="S210" s="559"/>
      <c r="T210" s="559"/>
    </row>
    <row r="211" spans="1:20">
      <c r="A211" s="559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59"/>
      <c r="P211" s="559"/>
      <c r="Q211" s="559"/>
      <c r="R211" s="559"/>
      <c r="S211" s="559"/>
      <c r="T211" s="559"/>
    </row>
    <row r="212" spans="1:20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59"/>
      <c r="P212" s="559"/>
      <c r="Q212" s="559"/>
      <c r="R212" s="559"/>
      <c r="S212" s="559"/>
      <c r="T212" s="559"/>
    </row>
    <row r="213" spans="1:20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</row>
    <row r="214" spans="1:20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</row>
    <row r="215" spans="1:20">
      <c r="A215" s="559"/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</row>
    <row r="216" spans="1:20">
      <c r="A216" s="559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  <c r="T216" s="559"/>
    </row>
    <row r="217" spans="1:20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  <c r="T217" s="559"/>
    </row>
    <row r="218" spans="1:20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</row>
    <row r="219" spans="1:20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</row>
    <row r="220" spans="1:20">
      <c r="A220" s="559"/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</row>
    <row r="221" spans="1:20">
      <c r="A221" s="559"/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</row>
    <row r="222" spans="1:20">
      <c r="A222" s="559"/>
      <c r="B222" s="559"/>
      <c r="C222" s="559"/>
      <c r="D222" s="559"/>
      <c r="E222" s="559"/>
      <c r="F222" s="559"/>
      <c r="G222" s="559"/>
      <c r="H222" s="559"/>
      <c r="I222" s="559"/>
      <c r="J222" s="559"/>
      <c r="K222" s="559"/>
      <c r="L222" s="559"/>
      <c r="M222" s="559"/>
      <c r="N222" s="559"/>
      <c r="O222" s="559"/>
      <c r="P222" s="559"/>
      <c r="Q222" s="559"/>
      <c r="R222" s="559"/>
      <c r="S222" s="559"/>
      <c r="T222" s="559"/>
    </row>
    <row r="223" spans="1:20">
      <c r="A223" s="559"/>
      <c r="B223" s="559"/>
      <c r="C223" s="559"/>
      <c r="D223" s="559"/>
      <c r="E223" s="559"/>
      <c r="F223" s="559"/>
      <c r="G223" s="559"/>
      <c r="H223" s="559"/>
      <c r="I223" s="559"/>
      <c r="J223" s="559"/>
      <c r="K223" s="559"/>
      <c r="L223" s="559"/>
      <c r="M223" s="559"/>
      <c r="N223" s="559"/>
      <c r="O223" s="559"/>
      <c r="P223" s="559"/>
      <c r="Q223" s="559"/>
      <c r="R223" s="559"/>
      <c r="S223" s="559"/>
      <c r="T223" s="559"/>
    </row>
    <row r="224" spans="1:20">
      <c r="A224" s="559"/>
      <c r="B224" s="559"/>
      <c r="C224" s="559"/>
      <c r="D224" s="559"/>
      <c r="E224" s="559"/>
      <c r="F224" s="559"/>
      <c r="G224" s="559"/>
      <c r="H224" s="559"/>
      <c r="I224" s="559"/>
      <c r="J224" s="559"/>
      <c r="K224" s="559"/>
      <c r="L224" s="559"/>
      <c r="M224" s="559"/>
      <c r="N224" s="559"/>
      <c r="O224" s="559"/>
      <c r="P224" s="559"/>
      <c r="Q224" s="559"/>
      <c r="R224" s="559"/>
      <c r="S224" s="559"/>
      <c r="T224" s="559"/>
    </row>
    <row r="225" spans="1:20">
      <c r="A225" s="559"/>
      <c r="B225" s="559"/>
      <c r="C225" s="559"/>
      <c r="D225" s="559"/>
      <c r="E225" s="559"/>
      <c r="F225" s="559"/>
      <c r="G225" s="559"/>
      <c r="H225" s="559"/>
      <c r="I225" s="559"/>
      <c r="J225" s="559"/>
      <c r="K225" s="559"/>
      <c r="L225" s="559"/>
      <c r="M225" s="559"/>
      <c r="N225" s="559"/>
      <c r="O225" s="559"/>
      <c r="P225" s="559"/>
      <c r="Q225" s="559"/>
      <c r="R225" s="559"/>
      <c r="S225" s="559"/>
      <c r="T225" s="559"/>
    </row>
    <row r="226" spans="1:20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  <c r="O226" s="559"/>
      <c r="P226" s="559"/>
      <c r="Q226" s="559"/>
      <c r="R226" s="559"/>
      <c r="S226" s="559"/>
      <c r="T226" s="559"/>
    </row>
    <row r="227" spans="1:20">
      <c r="A227" s="559"/>
      <c r="B227" s="559"/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  <c r="N227" s="559"/>
      <c r="O227" s="559"/>
      <c r="P227" s="559"/>
      <c r="Q227" s="559"/>
      <c r="R227" s="559"/>
      <c r="S227" s="559"/>
      <c r="T227" s="559"/>
    </row>
    <row r="228" spans="1:20">
      <c r="A228" s="559"/>
      <c r="B228" s="559"/>
      <c r="C228" s="559"/>
      <c r="D228" s="559"/>
      <c r="E228" s="559"/>
      <c r="F228" s="559"/>
      <c r="G228" s="559"/>
      <c r="H228" s="559"/>
      <c r="I228" s="559"/>
      <c r="J228" s="559"/>
      <c r="K228" s="559"/>
      <c r="L228" s="559"/>
      <c r="M228" s="559"/>
      <c r="N228" s="559"/>
      <c r="O228" s="559"/>
      <c r="P228" s="559"/>
      <c r="Q228" s="559"/>
      <c r="R228" s="559"/>
      <c r="S228" s="559"/>
      <c r="T228" s="559"/>
    </row>
    <row r="229" spans="1:20">
      <c r="A229" s="559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59"/>
      <c r="P229" s="559"/>
      <c r="Q229" s="559"/>
      <c r="R229" s="559"/>
      <c r="S229" s="559"/>
      <c r="T229" s="559"/>
    </row>
    <row r="230" spans="1:20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59"/>
      <c r="P230" s="559"/>
      <c r="Q230" s="559"/>
      <c r="R230" s="559"/>
      <c r="S230" s="559"/>
      <c r="T230" s="559"/>
    </row>
    <row r="231" spans="1:20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</row>
    <row r="232" spans="1:20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</row>
    <row r="233" spans="1:20">
      <c r="A233" s="559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</row>
    <row r="234" spans="1:20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59"/>
      <c r="P234" s="559"/>
      <c r="Q234" s="559"/>
      <c r="R234" s="559"/>
      <c r="S234" s="559"/>
      <c r="T234" s="559"/>
    </row>
    <row r="235" spans="1:20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</row>
    <row r="236" spans="1:20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</row>
    <row r="237" spans="1:20">
      <c r="A237" s="559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</row>
    <row r="238" spans="1:20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  <c r="T238" s="559"/>
    </row>
    <row r="239" spans="1:20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</row>
    <row r="240" spans="1:20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</row>
    <row r="241" spans="1:20">
      <c r="A241" s="559"/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</row>
    <row r="242" spans="1:20">
      <c r="A242" s="559"/>
      <c r="B242" s="559"/>
      <c r="C242" s="559"/>
      <c r="D242" s="559"/>
      <c r="E242" s="559"/>
      <c r="F242" s="559"/>
      <c r="G242" s="559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  <c r="T242" s="559"/>
    </row>
    <row r="243" spans="1:20">
      <c r="A243" s="559"/>
      <c r="B243" s="559"/>
      <c r="C243" s="559"/>
      <c r="D243" s="559"/>
      <c r="E243" s="559"/>
      <c r="F243" s="559"/>
      <c r="G243" s="559"/>
      <c r="H243" s="559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59"/>
      <c r="T243" s="559"/>
    </row>
    <row r="244" spans="1:20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  <c r="T244" s="559"/>
    </row>
    <row r="245" spans="1:20">
      <c r="A245" s="559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  <c r="T245" s="559"/>
    </row>
    <row r="246" spans="1:20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  <c r="T246" s="559"/>
    </row>
    <row r="247" spans="1:20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</row>
    <row r="248" spans="1:20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</row>
    <row r="249" spans="1:20">
      <c r="A249" s="559"/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</row>
    <row r="250" spans="1:20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</row>
    <row r="251" spans="1:20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  <c r="T251" s="559"/>
    </row>
    <row r="252" spans="1:20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  <c r="T252" s="559"/>
    </row>
    <row r="253" spans="1:20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  <c r="T253" s="559"/>
    </row>
    <row r="254" spans="1:20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  <c r="T254" s="559"/>
    </row>
    <row r="255" spans="1:20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  <c r="T255" s="559"/>
    </row>
    <row r="256" spans="1:20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</row>
    <row r="257" spans="1:20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</row>
    <row r="258" spans="1:20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</row>
    <row r="259" spans="1:20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</row>
    <row r="260" spans="1:20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  <c r="T260" s="559"/>
    </row>
    <row r="261" spans="1:20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  <c r="T261" s="559"/>
    </row>
    <row r="262" spans="1:20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  <c r="T262" s="559"/>
    </row>
    <row r="263" spans="1:20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  <c r="T263" s="559"/>
    </row>
    <row r="264" spans="1:20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</row>
    <row r="265" spans="1:20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</row>
    <row r="266" spans="1:20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</row>
    <row r="267" spans="1:20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</row>
    <row r="268" spans="1:20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  <c r="T268" s="559"/>
    </row>
    <row r="269" spans="1:20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  <c r="T269" s="559"/>
    </row>
    <row r="270" spans="1:20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  <c r="T270" s="559"/>
    </row>
    <row r="271" spans="1:20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</row>
    <row r="272" spans="1:20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</row>
    <row r="273" spans="1:20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</row>
    <row r="274" spans="1:20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</row>
    <row r="275" spans="1:20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  <c r="T275" s="559"/>
    </row>
    <row r="276" spans="1:20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</row>
    <row r="277" spans="1:20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</row>
    <row r="278" spans="1:20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</row>
    <row r="279" spans="1:20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  <c r="T279" s="559"/>
    </row>
    <row r="280" spans="1:20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</row>
    <row r="281" spans="1:20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</row>
    <row r="282" spans="1:20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</row>
    <row r="283" spans="1:20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</row>
    <row r="284" spans="1:20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  <c r="T284" s="559"/>
    </row>
    <row r="285" spans="1:20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</row>
    <row r="286" spans="1:20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</row>
    <row r="287" spans="1:20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</row>
    <row r="288" spans="1:20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</row>
    <row r="289" spans="1:20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  <c r="T289" s="559"/>
    </row>
    <row r="290" spans="1:20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  <c r="T290" s="559"/>
    </row>
    <row r="291" spans="1:20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  <c r="T291" s="559"/>
    </row>
    <row r="292" spans="1:20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  <c r="T292" s="559"/>
    </row>
    <row r="293" spans="1:20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  <c r="T293" s="559"/>
    </row>
    <row r="294" spans="1:20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  <c r="T294" s="559"/>
    </row>
    <row r="295" spans="1:20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</row>
    <row r="296" spans="1:20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</row>
    <row r="297" spans="1:20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  <c r="T297" s="559"/>
    </row>
    <row r="298" spans="1:20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  <c r="T298" s="559"/>
    </row>
    <row r="299" spans="1:20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  <c r="T299" s="559"/>
    </row>
    <row r="300" spans="1:20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  <c r="T300" s="559"/>
    </row>
    <row r="301" spans="1:20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  <c r="T301" s="559"/>
    </row>
    <row r="302" spans="1:20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  <c r="T302" s="559"/>
    </row>
    <row r="303" spans="1:20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  <c r="T303" s="559"/>
    </row>
    <row r="304" spans="1:20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  <c r="T304" s="559"/>
    </row>
    <row r="305" spans="1:20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</row>
    <row r="306" spans="1:20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</row>
    <row r="307" spans="1:20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  <c r="T307" s="559"/>
    </row>
    <row r="308" spans="1:20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  <c r="T308" s="559"/>
    </row>
    <row r="309" spans="1:20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  <c r="T309" s="559"/>
    </row>
    <row r="310" spans="1:20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  <c r="T310" s="559"/>
    </row>
    <row r="311" spans="1:20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  <c r="T311" s="559"/>
    </row>
    <row r="312" spans="1:20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  <c r="T312" s="559"/>
    </row>
    <row r="313" spans="1:20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</row>
    <row r="314" spans="1:20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</row>
    <row r="315" spans="1:20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  <c r="T315" s="559"/>
    </row>
    <row r="316" spans="1:20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  <c r="T316" s="559"/>
    </row>
    <row r="317" spans="1:20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  <c r="T317" s="559"/>
    </row>
    <row r="318" spans="1:20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  <c r="T318" s="559"/>
    </row>
    <row r="319" spans="1:20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</row>
    <row r="320" spans="1:20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</row>
    <row r="321" spans="1:20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  <c r="T321" s="559"/>
    </row>
    <row r="322" spans="1:20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  <c r="T322" s="559"/>
    </row>
    <row r="323" spans="1:20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  <c r="T323" s="559"/>
    </row>
    <row r="324" spans="1:20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  <c r="T324" s="559"/>
    </row>
    <row r="325" spans="1:20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  <c r="T325" s="559"/>
    </row>
    <row r="326" spans="1:20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</row>
    <row r="327" spans="1:20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</row>
    <row r="328" spans="1:20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  <c r="T328" s="559"/>
    </row>
    <row r="329" spans="1:20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  <c r="T329" s="559"/>
    </row>
    <row r="330" spans="1:20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  <c r="T330" s="559"/>
    </row>
    <row r="331" spans="1:20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  <c r="T331" s="559"/>
    </row>
    <row r="332" spans="1:20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</row>
    <row r="333" spans="1:20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</row>
    <row r="334" spans="1:20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</row>
    <row r="335" spans="1:20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  <c r="T335" s="559"/>
    </row>
    <row r="336" spans="1:20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  <c r="T336" s="559"/>
    </row>
    <row r="337" spans="1:20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  <c r="T337" s="559"/>
    </row>
    <row r="338" spans="1:20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  <c r="T338" s="559"/>
    </row>
    <row r="339" spans="1:20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  <c r="T339" s="559"/>
    </row>
    <row r="340" spans="1:20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</row>
    <row r="341" spans="1:20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</row>
    <row r="342" spans="1:20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</row>
    <row r="343" spans="1:20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  <c r="T343" s="559"/>
    </row>
    <row r="344" spans="1:20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  <c r="T344" s="559"/>
    </row>
    <row r="345" spans="1:20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  <c r="T345" s="559"/>
    </row>
    <row r="346" spans="1:20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  <c r="T346" s="559"/>
    </row>
    <row r="347" spans="1:20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  <c r="T347" s="559"/>
    </row>
    <row r="348" spans="1:20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  <c r="T348" s="559"/>
    </row>
    <row r="349" spans="1:20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  <c r="T349" s="559"/>
    </row>
    <row r="350" spans="1:20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  <c r="T350" s="559"/>
    </row>
    <row r="351" spans="1:20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</row>
    <row r="352" spans="1:20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</row>
    <row r="353" spans="1:20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  <c r="T353" s="559"/>
    </row>
    <row r="354" spans="1:20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  <c r="T354" s="559"/>
    </row>
    <row r="355" spans="1:20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  <c r="T355" s="559"/>
    </row>
    <row r="356" spans="1:20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</row>
    <row r="357" spans="1:20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</row>
    <row r="358" spans="1:20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  <c r="T358" s="559"/>
    </row>
    <row r="359" spans="1:20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  <c r="T359" s="559"/>
    </row>
    <row r="360" spans="1:20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  <c r="T360" s="559"/>
    </row>
    <row r="361" spans="1:20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</row>
    <row r="362" spans="1:20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</row>
    <row r="363" spans="1:20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  <c r="T363" s="559"/>
    </row>
    <row r="364" spans="1:20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  <c r="T364" s="559"/>
    </row>
    <row r="365" spans="1:20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</row>
    <row r="366" spans="1:20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</row>
    <row r="367" spans="1:20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</row>
    <row r="368" spans="1:20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  <c r="T368" s="559"/>
    </row>
    <row r="369" spans="1:20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  <c r="T369" s="559"/>
    </row>
    <row r="370" spans="1:20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  <c r="T370" s="559"/>
    </row>
    <row r="371" spans="1:20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  <c r="T371" s="559"/>
    </row>
    <row r="372" spans="1:20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</row>
    <row r="373" spans="1:20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</row>
    <row r="374" spans="1:20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  <c r="T374" s="559"/>
    </row>
    <row r="375" spans="1:20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  <c r="T375" s="559"/>
    </row>
    <row r="376" spans="1:20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</row>
    <row r="377" spans="1:20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</row>
    <row r="378" spans="1:20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  <c r="T378" s="559"/>
    </row>
    <row r="379" spans="1:20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  <c r="T379" s="559"/>
    </row>
    <row r="380" spans="1:20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  <c r="T380" s="559"/>
    </row>
    <row r="381" spans="1:20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</row>
    <row r="382" spans="1:20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</row>
    <row r="383" spans="1:20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  <c r="T383" s="559"/>
    </row>
    <row r="384" spans="1:20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  <c r="T384" s="559"/>
    </row>
    <row r="385" spans="1:20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  <c r="T385" s="559"/>
    </row>
    <row r="386" spans="1:20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</row>
    <row r="387" spans="1:20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</row>
    <row r="388" spans="1:20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</row>
    <row r="389" spans="1:20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  <c r="T389" s="559"/>
    </row>
    <row r="390" spans="1:20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  <c r="T390" s="559"/>
    </row>
    <row r="391" spans="1:20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  <c r="T391" s="559"/>
    </row>
    <row r="392" spans="1:20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  <c r="T392" s="559"/>
    </row>
    <row r="393" spans="1:20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  <c r="T393" s="559"/>
    </row>
    <row r="394" spans="1:20">
      <c r="A394" s="559"/>
      <c r="B394" s="559"/>
      <c r="C394" s="559"/>
      <c r="D394" s="559"/>
      <c r="E394" s="559"/>
      <c r="F394" s="559"/>
      <c r="G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  <c r="T394" s="559"/>
    </row>
    <row r="395" spans="1:20">
      <c r="A395" s="559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  <c r="T395" s="559"/>
    </row>
    <row r="396" spans="1:20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  <c r="T396" s="559"/>
    </row>
    <row r="397" spans="1:20">
      <c r="A397" s="559"/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  <c r="T397" s="559"/>
    </row>
    <row r="398" spans="1:20">
      <c r="A398" s="559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  <c r="T398" s="559"/>
    </row>
    <row r="399" spans="1:20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59"/>
      <c r="P399" s="559"/>
      <c r="Q399" s="559"/>
      <c r="R399" s="559"/>
      <c r="S399" s="559"/>
      <c r="T399" s="559"/>
    </row>
    <row r="400" spans="1:20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</row>
    <row r="401" spans="1:20">
      <c r="A401" s="559"/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</row>
    <row r="402" spans="1:20">
      <c r="A402" s="559"/>
      <c r="B402" s="559"/>
      <c r="C402" s="559"/>
      <c r="D402" s="559"/>
      <c r="E402" s="559"/>
      <c r="F402" s="559"/>
      <c r="G402" s="559"/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  <c r="T402" s="559"/>
    </row>
    <row r="403" spans="1:20">
      <c r="A403" s="559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59"/>
      <c r="P403" s="559"/>
      <c r="Q403" s="559"/>
      <c r="R403" s="559"/>
      <c r="S403" s="559"/>
      <c r="T403" s="559"/>
    </row>
    <row r="404" spans="1:20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59"/>
      <c r="P404" s="559"/>
      <c r="Q404" s="559"/>
      <c r="R404" s="559"/>
      <c r="S404" s="559"/>
      <c r="T404" s="559"/>
    </row>
    <row r="405" spans="1:20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</row>
    <row r="406" spans="1:20">
      <c r="A406" s="559"/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</row>
    <row r="407" spans="1:20">
      <c r="A407" s="559"/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</row>
    <row r="408" spans="1:20">
      <c r="A408" s="559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59"/>
      <c r="P408" s="559"/>
      <c r="Q408" s="559"/>
      <c r="R408" s="559"/>
      <c r="S408" s="559"/>
      <c r="T408" s="559"/>
    </row>
    <row r="409" spans="1:20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59"/>
      <c r="P409" s="559"/>
      <c r="Q409" s="559"/>
      <c r="R409" s="559"/>
      <c r="S409" s="559"/>
      <c r="T409" s="559"/>
    </row>
    <row r="410" spans="1:20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</row>
    <row r="411" spans="1:20">
      <c r="A411" s="559"/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</row>
    <row r="412" spans="1:20">
      <c r="A412" s="559"/>
      <c r="B412" s="559"/>
      <c r="C412" s="559"/>
      <c r="D412" s="559"/>
      <c r="E412" s="559"/>
      <c r="F412" s="559"/>
      <c r="G412" s="559"/>
      <c r="H412" s="559"/>
      <c r="I412" s="559"/>
      <c r="J412" s="559"/>
      <c r="K412" s="559"/>
      <c r="L412" s="559"/>
      <c r="M412" s="559"/>
      <c r="N412" s="559"/>
      <c r="O412" s="559"/>
      <c r="P412" s="559"/>
      <c r="Q412" s="559"/>
      <c r="R412" s="559"/>
      <c r="S412" s="559"/>
      <c r="T412" s="559"/>
    </row>
    <row r="413" spans="1:20">
      <c r="A413" s="559"/>
      <c r="B413" s="559"/>
      <c r="C413" s="559"/>
      <c r="D413" s="559"/>
      <c r="E413" s="559"/>
      <c r="F413" s="559"/>
      <c r="G413" s="559"/>
      <c r="H413" s="559"/>
      <c r="I413" s="559"/>
      <c r="J413" s="559"/>
      <c r="K413" s="559"/>
      <c r="L413" s="559"/>
      <c r="M413" s="559"/>
      <c r="N413" s="559"/>
      <c r="O413" s="559"/>
      <c r="P413" s="559"/>
      <c r="Q413" s="559"/>
      <c r="R413" s="559"/>
      <c r="S413" s="559"/>
      <c r="T413" s="559"/>
    </row>
    <row r="414" spans="1:20">
      <c r="A414" s="559"/>
      <c r="B414" s="559"/>
      <c r="C414" s="559"/>
      <c r="D414" s="559"/>
      <c r="E414" s="559"/>
      <c r="F414" s="559"/>
      <c r="G414" s="559"/>
      <c r="H414" s="559"/>
      <c r="I414" s="559"/>
      <c r="J414" s="559"/>
      <c r="K414" s="559"/>
      <c r="L414" s="559"/>
      <c r="M414" s="559"/>
      <c r="N414" s="559"/>
      <c r="O414" s="559"/>
      <c r="P414" s="559"/>
      <c r="Q414" s="559"/>
      <c r="R414" s="559"/>
      <c r="S414" s="559"/>
      <c r="T414" s="559"/>
    </row>
    <row r="415" spans="1:20">
      <c r="A415" s="559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59"/>
      <c r="P415" s="559"/>
      <c r="Q415" s="559"/>
      <c r="R415" s="559"/>
      <c r="S415" s="559"/>
      <c r="T415" s="559"/>
    </row>
    <row r="416" spans="1:20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59"/>
      <c r="P416" s="559"/>
      <c r="Q416" s="559"/>
      <c r="R416" s="559"/>
      <c r="S416" s="559"/>
      <c r="T416" s="559"/>
    </row>
    <row r="417" spans="1:20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</row>
    <row r="418" spans="1:20">
      <c r="A418" s="559"/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</row>
    <row r="419" spans="1:20">
      <c r="A419" s="559"/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</row>
    <row r="420" spans="1:20">
      <c r="A420" s="559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59"/>
      <c r="P420" s="559"/>
      <c r="Q420" s="559"/>
      <c r="R420" s="559"/>
      <c r="S420" s="559"/>
      <c r="T420" s="559"/>
    </row>
    <row r="421" spans="1:20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59"/>
      <c r="P421" s="559"/>
      <c r="Q421" s="559"/>
      <c r="R421" s="559"/>
      <c r="S421" s="559"/>
      <c r="T421" s="559"/>
    </row>
    <row r="422" spans="1:20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</row>
    <row r="423" spans="1:20">
      <c r="A423" s="559"/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</row>
    <row r="424" spans="1:20">
      <c r="A424" s="559"/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</row>
    <row r="425" spans="1:20">
      <c r="A425" s="559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59"/>
      <c r="P425" s="559"/>
      <c r="Q425" s="559"/>
      <c r="R425" s="559"/>
      <c r="S425" s="559"/>
      <c r="T425" s="559"/>
    </row>
    <row r="426" spans="1:20">
      <c r="A426" s="559"/>
      <c r="B426" s="559"/>
      <c r="C426" s="559"/>
      <c r="D426" s="559"/>
      <c r="E426" s="559"/>
      <c r="F426" s="559"/>
      <c r="H426" s="559"/>
      <c r="I426" s="559"/>
      <c r="J426" s="559"/>
      <c r="K426" s="559"/>
      <c r="L426" s="559"/>
      <c r="M426" s="559"/>
      <c r="N426" s="559"/>
      <c r="O426" s="559"/>
      <c r="P426" s="559"/>
      <c r="Q426" s="559"/>
      <c r="R426" s="559"/>
      <c r="S426" s="559"/>
      <c r="T426" s="559"/>
    </row>
    <row r="427" spans="1:20">
      <c r="H427" s="559"/>
      <c r="I427" s="559"/>
      <c r="J427" s="559"/>
      <c r="K427" s="559"/>
      <c r="L427" s="559"/>
      <c r="M427" s="559"/>
      <c r="N427" s="559"/>
      <c r="O427" s="559"/>
      <c r="P427" s="559"/>
      <c r="Q427" s="559"/>
      <c r="R427" s="559"/>
      <c r="S427" s="559"/>
      <c r="T427" s="559"/>
    </row>
    <row r="428" spans="1:20"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</row>
    <row r="429" spans="1:20"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</row>
    <row r="430" spans="1:20"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</row>
    <row r="431" spans="1:20">
      <c r="H431" s="559"/>
      <c r="I431" s="559"/>
      <c r="J431" s="559"/>
      <c r="K431" s="559"/>
      <c r="L431" s="559"/>
      <c r="M431" s="559"/>
      <c r="N431" s="559"/>
      <c r="O431" s="559"/>
      <c r="P431" s="559"/>
      <c r="Q431" s="559"/>
      <c r="R431" s="559"/>
      <c r="S431" s="559"/>
      <c r="T431" s="559"/>
    </row>
    <row r="432" spans="1:20">
      <c r="H432" s="559"/>
      <c r="I432" s="559"/>
      <c r="J432" s="559"/>
      <c r="K432" s="559"/>
      <c r="L432" s="559"/>
      <c r="M432" s="559"/>
      <c r="N432" s="559"/>
      <c r="O432" s="559"/>
      <c r="P432" s="559"/>
      <c r="Q432" s="559"/>
      <c r="R432" s="559"/>
      <c r="S432" s="559"/>
      <c r="T432" s="559"/>
    </row>
    <row r="433" spans="8:20">
      <c r="H433" s="559"/>
      <c r="I433" s="559"/>
      <c r="J433" s="559"/>
      <c r="K433" s="559"/>
      <c r="L433" s="559"/>
      <c r="M433" s="559"/>
      <c r="N433" s="559"/>
      <c r="O433" s="559"/>
      <c r="P433" s="559"/>
      <c r="Q433" s="559"/>
      <c r="R433" s="559"/>
      <c r="S433" s="559"/>
      <c r="T433" s="559"/>
    </row>
    <row r="434" spans="8:20">
      <c r="H434" s="559"/>
      <c r="I434" s="559"/>
      <c r="J434" s="559"/>
      <c r="K434" s="559"/>
      <c r="L434" s="559"/>
      <c r="M434" s="559"/>
      <c r="N434" s="559"/>
      <c r="O434" s="559"/>
      <c r="P434" s="559"/>
      <c r="Q434" s="559"/>
      <c r="R434" s="559"/>
      <c r="S434" s="559"/>
      <c r="T434" s="559"/>
    </row>
    <row r="435" spans="8:20">
      <c r="H435" s="559"/>
      <c r="I435" s="559"/>
      <c r="J435" s="559"/>
      <c r="K435" s="559"/>
      <c r="L435" s="559"/>
      <c r="M435" s="559"/>
      <c r="N435" s="559"/>
      <c r="O435" s="559"/>
      <c r="P435" s="559"/>
      <c r="Q435" s="559"/>
      <c r="R435" s="559"/>
      <c r="S435" s="559"/>
      <c r="T435" s="559"/>
    </row>
    <row r="436" spans="8:20">
      <c r="H436" s="559"/>
      <c r="I436" s="559"/>
      <c r="J436" s="559"/>
      <c r="K436" s="559"/>
      <c r="L436" s="559"/>
      <c r="M436" s="559"/>
      <c r="N436" s="559"/>
      <c r="O436" s="559"/>
      <c r="P436" s="559"/>
      <c r="Q436" s="559"/>
      <c r="R436" s="559"/>
      <c r="S436" s="559"/>
      <c r="T436" s="559"/>
    </row>
    <row r="437" spans="8:20">
      <c r="H437" s="559"/>
      <c r="I437" s="559"/>
      <c r="J437" s="559"/>
      <c r="K437" s="559"/>
      <c r="L437" s="559"/>
      <c r="M437" s="559"/>
      <c r="N437" s="559"/>
      <c r="O437" s="559"/>
      <c r="P437" s="559"/>
      <c r="Q437" s="559"/>
      <c r="R437" s="559"/>
      <c r="S437" s="559"/>
      <c r="T437" s="559"/>
    </row>
    <row r="438" spans="8:20">
      <c r="H438" s="559"/>
      <c r="I438" s="559"/>
      <c r="J438" s="559"/>
      <c r="K438" s="559"/>
      <c r="L438" s="559"/>
      <c r="M438" s="559"/>
      <c r="N438" s="559"/>
      <c r="O438" s="559"/>
      <c r="P438" s="559"/>
      <c r="Q438" s="559"/>
      <c r="R438" s="559"/>
      <c r="S438" s="559"/>
      <c r="T438" s="559"/>
    </row>
    <row r="439" spans="8:20">
      <c r="H439" s="559"/>
      <c r="I439" s="559"/>
      <c r="J439" s="559"/>
      <c r="K439" s="559"/>
      <c r="L439" s="559"/>
      <c r="M439" s="559"/>
      <c r="N439" s="559"/>
      <c r="O439" s="559"/>
      <c r="P439" s="559"/>
      <c r="Q439" s="559"/>
      <c r="R439" s="559"/>
      <c r="S439" s="559"/>
      <c r="T439" s="559"/>
    </row>
    <row r="440" spans="8:20">
      <c r="H440" s="559"/>
      <c r="I440" s="559"/>
      <c r="J440" s="559"/>
      <c r="K440" s="559"/>
      <c r="L440" s="559"/>
      <c r="M440" s="559"/>
      <c r="N440" s="559"/>
      <c r="O440" s="559"/>
      <c r="P440" s="559"/>
      <c r="Q440" s="559"/>
      <c r="R440" s="559"/>
      <c r="S440" s="559"/>
      <c r="T440" s="559"/>
    </row>
    <row r="441" spans="8:20">
      <c r="H441" s="559"/>
      <c r="I441" s="559"/>
      <c r="J441" s="559"/>
      <c r="K441" s="559"/>
      <c r="L441" s="559"/>
      <c r="M441" s="559"/>
      <c r="N441" s="559"/>
      <c r="O441" s="559"/>
      <c r="P441" s="559"/>
      <c r="Q441" s="559"/>
      <c r="R441" s="559"/>
      <c r="S441" s="559"/>
      <c r="T441" s="559"/>
    </row>
    <row r="442" spans="8:20">
      <c r="H442" s="559"/>
      <c r="I442" s="559"/>
      <c r="J442" s="559"/>
      <c r="K442" s="559"/>
      <c r="L442" s="559"/>
      <c r="M442" s="559"/>
      <c r="N442" s="559"/>
      <c r="O442" s="559"/>
      <c r="P442" s="559"/>
      <c r="Q442" s="559"/>
      <c r="R442" s="559"/>
      <c r="S442" s="559"/>
      <c r="T442" s="559"/>
    </row>
    <row r="443" spans="8:20">
      <c r="H443" s="559"/>
      <c r="I443" s="559"/>
      <c r="J443" s="559"/>
      <c r="K443" s="559"/>
      <c r="L443" s="559"/>
      <c r="M443" s="559"/>
      <c r="N443" s="559"/>
      <c r="O443" s="559"/>
      <c r="P443" s="559"/>
      <c r="Q443" s="559"/>
      <c r="R443" s="559"/>
      <c r="S443" s="559"/>
      <c r="T443" s="559"/>
    </row>
    <row r="444" spans="8:20"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</row>
    <row r="445" spans="8:20"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</row>
    <row r="446" spans="8:20">
      <c r="H446" s="559"/>
      <c r="I446" s="559"/>
      <c r="J446" s="559"/>
      <c r="K446" s="559"/>
      <c r="L446" s="559"/>
      <c r="M446" s="559"/>
      <c r="N446" s="559"/>
      <c r="O446" s="559"/>
      <c r="P446" s="559"/>
      <c r="Q446" s="559"/>
      <c r="R446" s="559"/>
      <c r="S446" s="559"/>
      <c r="T446" s="559"/>
    </row>
    <row r="447" spans="8:20">
      <c r="H447" s="559"/>
      <c r="I447" s="559"/>
      <c r="J447" s="559"/>
      <c r="K447" s="559"/>
      <c r="L447" s="559"/>
      <c r="M447" s="559"/>
      <c r="N447" s="559"/>
      <c r="O447" s="559"/>
      <c r="P447" s="559"/>
      <c r="Q447" s="559"/>
      <c r="R447" s="559"/>
      <c r="S447" s="559"/>
      <c r="T447" s="559"/>
    </row>
    <row r="448" spans="8:20">
      <c r="H448" s="559"/>
      <c r="I448" s="559"/>
      <c r="J448" s="559"/>
      <c r="K448" s="559"/>
      <c r="L448" s="559"/>
      <c r="M448" s="559"/>
      <c r="N448" s="559"/>
      <c r="O448" s="559"/>
      <c r="P448" s="559"/>
      <c r="Q448" s="559"/>
      <c r="R448" s="559"/>
      <c r="S448" s="559"/>
      <c r="T448" s="559"/>
    </row>
    <row r="449" spans="8:20">
      <c r="H449" s="559"/>
      <c r="I449" s="559"/>
      <c r="J449" s="559"/>
      <c r="K449" s="559"/>
      <c r="L449" s="559"/>
      <c r="M449" s="559"/>
      <c r="N449" s="559"/>
      <c r="O449" s="559"/>
      <c r="P449" s="559"/>
      <c r="Q449" s="559"/>
      <c r="R449" s="559"/>
      <c r="S449" s="559"/>
      <c r="T449" s="559"/>
    </row>
    <row r="450" spans="8:20"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</row>
    <row r="451" spans="8:20">
      <c r="T451" s="559"/>
    </row>
    <row r="452" spans="8:20">
      <c r="T452" s="559"/>
    </row>
    <row r="453" spans="8:20">
      <c r="T453" s="559"/>
    </row>
    <row r="454" spans="8:20">
      <c r="T454" s="559"/>
    </row>
    <row r="455" spans="8:20">
      <c r="T455" s="559"/>
    </row>
    <row r="456" spans="8:20">
      <c r="T456" s="559"/>
    </row>
    <row r="457" spans="8:20">
      <c r="T457" s="559"/>
    </row>
    <row r="458" spans="8:20">
      <c r="T458" s="559"/>
    </row>
    <row r="459" spans="8:20">
      <c r="T459" s="559"/>
    </row>
    <row r="460" spans="8:20">
      <c r="T460" s="559"/>
    </row>
    <row r="461" spans="8:20">
      <c r="T461" s="559"/>
    </row>
    <row r="462" spans="8:20">
      <c r="T462" s="559"/>
    </row>
    <row r="463" spans="8:20">
      <c r="T463" s="559"/>
    </row>
    <row r="464" spans="8:20">
      <c r="T464" s="559"/>
    </row>
    <row r="465" spans="20:20">
      <c r="T465" s="559"/>
    </row>
    <row r="466" spans="20:20">
      <c r="T466" s="559"/>
    </row>
    <row r="467" spans="20:20">
      <c r="T467" s="559"/>
    </row>
  </sheetData>
  <mergeCells count="44">
    <mergeCell ref="C51:D51"/>
    <mergeCell ref="C47:D47"/>
    <mergeCell ref="C48:D48"/>
    <mergeCell ref="C49:D49"/>
    <mergeCell ref="M40:P40"/>
    <mergeCell ref="C44:D44"/>
    <mergeCell ref="C45:D45"/>
    <mergeCell ref="C46:D46"/>
    <mergeCell ref="C50:D50"/>
    <mergeCell ref="M52:N52"/>
    <mergeCell ref="O43:P44"/>
    <mergeCell ref="N43:N44"/>
    <mergeCell ref="Q43:Q44"/>
    <mergeCell ref="R43:R44"/>
    <mergeCell ref="S43:S44"/>
    <mergeCell ref="I43:I44"/>
    <mergeCell ref="J43:J44"/>
    <mergeCell ref="K43:K44"/>
    <mergeCell ref="L43:L44"/>
    <mergeCell ref="M43:M44"/>
    <mergeCell ref="Q2:Q3"/>
    <mergeCell ref="R2:R3"/>
    <mergeCell ref="S2:S3"/>
    <mergeCell ref="T2:T3"/>
    <mergeCell ref="G2:G3"/>
    <mergeCell ref="O2:P3"/>
    <mergeCell ref="I2:I3"/>
    <mergeCell ref="J2:J3"/>
    <mergeCell ref="K2:K3"/>
    <mergeCell ref="L2:L3"/>
    <mergeCell ref="M2:M3"/>
    <mergeCell ref="N2:N3"/>
    <mergeCell ref="F2:F3"/>
    <mergeCell ref="A2:A3"/>
    <mergeCell ref="B2:B3"/>
    <mergeCell ref="C2:C3"/>
    <mergeCell ref="D2:D3"/>
    <mergeCell ref="E2:E3"/>
    <mergeCell ref="F34:G34"/>
    <mergeCell ref="F26:G26"/>
    <mergeCell ref="F28:G28"/>
    <mergeCell ref="F31:G31"/>
    <mergeCell ref="F32:G32"/>
    <mergeCell ref="F33:G33"/>
  </mergeCells>
  <pageMargins left="0.16" right="0.16" top="0.27" bottom="0.16" header="0.16" footer="0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58"/>
  <sheetViews>
    <sheetView topLeftCell="A137" workbookViewId="0">
      <selection activeCell="D128" sqref="D128"/>
    </sheetView>
  </sheetViews>
  <sheetFormatPr defaultRowHeight="15"/>
  <cols>
    <col min="1" max="1" width="6.85546875" style="150" customWidth="1"/>
    <col min="2" max="2" width="18.1406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9.140625" style="146"/>
    <col min="11" max="11" width="11.28515625" style="146" bestFit="1" customWidth="1"/>
    <col min="12" max="16384" width="9.140625" style="146"/>
  </cols>
  <sheetData>
    <row r="2" spans="1:11" s="141" customFormat="1" ht="28.5" customHeight="1">
      <c r="A2" s="669" t="s">
        <v>518</v>
      </c>
      <c r="B2" s="669"/>
      <c r="C2" s="669"/>
      <c r="D2" s="669"/>
      <c r="E2" s="669"/>
      <c r="F2" s="669"/>
      <c r="G2" s="669"/>
      <c r="H2" s="669"/>
      <c r="I2" s="669"/>
      <c r="J2" s="669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670" t="s">
        <v>19</v>
      </c>
      <c r="B28" s="670"/>
      <c r="C28" s="670"/>
      <c r="D28" s="670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669" t="s">
        <v>574</v>
      </c>
      <c r="B35" s="669"/>
      <c r="C35" s="669"/>
      <c r="D35" s="669"/>
      <c r="E35" s="669"/>
      <c r="F35" s="669"/>
      <c r="G35" s="669"/>
      <c r="H35" s="669"/>
      <c r="I35" s="669"/>
      <c r="J35" s="669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670" t="s">
        <v>19</v>
      </c>
      <c r="B58" s="670"/>
      <c r="C58" s="670"/>
      <c r="D58" s="670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669" t="s">
        <v>707</v>
      </c>
      <c r="B67" s="669"/>
      <c r="C67" s="669"/>
      <c r="D67" s="669"/>
      <c r="E67" s="669"/>
      <c r="F67" s="669"/>
      <c r="G67" s="669"/>
      <c r="H67" s="669"/>
      <c r="I67" s="669"/>
      <c r="J67" s="669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670" t="s">
        <v>19</v>
      </c>
      <c r="B87" s="670"/>
      <c r="C87" s="670"/>
      <c r="D87" s="670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669" t="s">
        <v>750</v>
      </c>
      <c r="B97" s="669"/>
      <c r="C97" s="669"/>
      <c r="D97" s="669"/>
      <c r="E97" s="669"/>
      <c r="F97" s="669"/>
      <c r="G97" s="669"/>
      <c r="H97" s="669"/>
      <c r="I97" s="669"/>
      <c r="J97" s="669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670" t="s">
        <v>19</v>
      </c>
      <c r="B111" s="670"/>
      <c r="C111" s="670"/>
      <c r="D111" s="670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669" t="s">
        <v>909</v>
      </c>
      <c r="B118" s="669"/>
      <c r="C118" s="669"/>
      <c r="D118" s="669"/>
      <c r="E118" s="669"/>
      <c r="F118" s="669"/>
      <c r="G118" s="669"/>
      <c r="H118" s="669"/>
      <c r="I118" s="669"/>
      <c r="J118" s="669"/>
    </row>
    <row r="119" spans="1:11" s="143" customFormat="1" ht="33.75" customHeight="1">
      <c r="A119" s="590" t="s">
        <v>0</v>
      </c>
      <c r="B119" s="590" t="s">
        <v>205</v>
      </c>
      <c r="C119" s="590" t="s">
        <v>206</v>
      </c>
      <c r="D119" s="590" t="s">
        <v>207</v>
      </c>
      <c r="E119" s="590" t="s">
        <v>7</v>
      </c>
      <c r="F119" s="590" t="s">
        <v>8</v>
      </c>
      <c r="G119" s="590" t="s">
        <v>9</v>
      </c>
      <c r="H119" s="590" t="s">
        <v>208</v>
      </c>
      <c r="I119" s="590" t="s">
        <v>465</v>
      </c>
      <c r="J119" s="590" t="s">
        <v>82</v>
      </c>
    </row>
    <row r="120" spans="1:11" ht="20.25" customHeight="1">
      <c r="A120" s="144">
        <v>1</v>
      </c>
      <c r="B120" s="591">
        <v>42945</v>
      </c>
      <c r="C120" s="156" t="s">
        <v>911</v>
      </c>
      <c r="D120" s="145" t="s">
        <v>218</v>
      </c>
      <c r="E120" s="588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91">
        <v>42957</v>
      </c>
      <c r="C121" s="156" t="s">
        <v>912</v>
      </c>
      <c r="D121" s="145" t="s">
        <v>218</v>
      </c>
      <c r="E121" s="588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91">
        <v>42958</v>
      </c>
      <c r="C122" s="156" t="s">
        <v>913</v>
      </c>
      <c r="D122" s="145" t="s">
        <v>218</v>
      </c>
      <c r="E122" s="588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91">
        <v>42960</v>
      </c>
      <c r="C123" s="152" t="s">
        <v>914</v>
      </c>
      <c r="D123" s="145" t="s">
        <v>218</v>
      </c>
      <c r="E123" s="588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91">
        <v>42965</v>
      </c>
      <c r="C124" s="156" t="s">
        <v>915</v>
      </c>
      <c r="D124" s="145" t="s">
        <v>218</v>
      </c>
      <c r="E124" s="588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91">
        <v>42971</v>
      </c>
      <c r="C125" s="156" t="s">
        <v>916</v>
      </c>
      <c r="D125" s="145" t="s">
        <v>218</v>
      </c>
      <c r="E125" s="588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91">
        <v>42978</v>
      </c>
      <c r="C126" s="156" t="s">
        <v>917</v>
      </c>
      <c r="D126" s="145" t="s">
        <v>218</v>
      </c>
      <c r="E126" s="588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91">
        <v>42985</v>
      </c>
      <c r="C127" s="156" t="s">
        <v>918</v>
      </c>
      <c r="D127" s="145" t="s">
        <v>218</v>
      </c>
      <c r="E127" s="588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91">
        <v>42989</v>
      </c>
      <c r="C128" s="156" t="s">
        <v>919</v>
      </c>
      <c r="D128" s="145" t="s">
        <v>218</v>
      </c>
      <c r="E128" s="588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91">
        <v>42992</v>
      </c>
      <c r="C129" s="156" t="s">
        <v>920</v>
      </c>
      <c r="D129" s="145" t="s">
        <v>218</v>
      </c>
      <c r="E129" s="588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91">
        <v>42994</v>
      </c>
      <c r="C130" s="373" t="s">
        <v>921</v>
      </c>
      <c r="D130" s="145" t="s">
        <v>218</v>
      </c>
      <c r="E130" s="588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91">
        <v>42999</v>
      </c>
      <c r="C131" s="156"/>
      <c r="D131" s="145" t="s">
        <v>218</v>
      </c>
      <c r="E131" s="588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95">
        <v>43000</v>
      </c>
      <c r="C132" s="156"/>
      <c r="D132" s="145" t="s">
        <v>218</v>
      </c>
      <c r="E132" s="588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91">
        <v>43003</v>
      </c>
      <c r="C133" s="156"/>
      <c r="D133" s="145" t="s">
        <v>218</v>
      </c>
      <c r="E133" s="588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670" t="s">
        <v>19</v>
      </c>
      <c r="B135" s="670"/>
      <c r="C135" s="670"/>
      <c r="D135" s="670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89"/>
      <c r="D137" s="594" t="s">
        <v>908</v>
      </c>
      <c r="E137" s="594">
        <f>E135/2030</f>
        <v>21</v>
      </c>
    </row>
    <row r="139" spans="1:11" s="141" customFormat="1" ht="28.5" customHeight="1">
      <c r="A139" s="669" t="s">
        <v>909</v>
      </c>
      <c r="B139" s="669"/>
      <c r="C139" s="669"/>
      <c r="D139" s="669"/>
      <c r="E139" s="669"/>
      <c r="F139" s="669"/>
      <c r="G139" s="669"/>
      <c r="H139" s="669"/>
      <c r="I139" s="669"/>
      <c r="J139" s="669"/>
    </row>
    <row r="140" spans="1:11" s="143" customFormat="1" ht="33.75" customHeight="1">
      <c r="A140" s="590" t="s">
        <v>0</v>
      </c>
      <c r="B140" s="590" t="s">
        <v>205</v>
      </c>
      <c r="C140" s="590" t="s">
        <v>206</v>
      </c>
      <c r="D140" s="590" t="s">
        <v>207</v>
      </c>
      <c r="E140" s="590" t="s">
        <v>7</v>
      </c>
      <c r="F140" s="590" t="s">
        <v>8</v>
      </c>
      <c r="G140" s="590" t="s">
        <v>9</v>
      </c>
      <c r="H140" s="590" t="s">
        <v>208</v>
      </c>
      <c r="I140" s="590" t="s">
        <v>465</v>
      </c>
      <c r="J140" s="590" t="s">
        <v>82</v>
      </c>
    </row>
    <row r="141" spans="1:11" ht="21" customHeight="1">
      <c r="A141" s="144">
        <v>1</v>
      </c>
      <c r="B141" s="591" t="s">
        <v>922</v>
      </c>
      <c r="C141" s="156"/>
      <c r="D141" s="145" t="s">
        <v>218</v>
      </c>
      <c r="E141" s="588">
        <v>3045</v>
      </c>
      <c r="F141" s="138">
        <v>5900</v>
      </c>
      <c r="G141" s="138">
        <f t="shared" ref="G141:G154" si="35">E141*F141</f>
        <v>17965500</v>
      </c>
      <c r="H141" s="138">
        <f t="shared" ref="H141:H154" si="36">G141*10%</f>
        <v>1796550</v>
      </c>
      <c r="I141" s="138">
        <f t="shared" ref="I141:I154" si="37">G141+H141</f>
        <v>19762050</v>
      </c>
      <c r="J141" s="147"/>
      <c r="K141" s="157"/>
    </row>
    <row r="142" spans="1:11" ht="21" customHeight="1">
      <c r="A142" s="144">
        <v>2</v>
      </c>
      <c r="B142" s="595" t="s">
        <v>922</v>
      </c>
      <c r="C142" s="156"/>
      <c r="D142" s="145" t="s">
        <v>218</v>
      </c>
      <c r="E142" s="588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595" t="s">
        <v>922</v>
      </c>
      <c r="C143" s="156"/>
      <c r="D143" s="145" t="s">
        <v>218</v>
      </c>
      <c r="E143" s="588">
        <v>3045</v>
      </c>
      <c r="F143" s="138">
        <v>5900</v>
      </c>
      <c r="G143" s="138">
        <f t="shared" si="35"/>
        <v>17965500</v>
      </c>
      <c r="H143" s="138">
        <f t="shared" si="36"/>
        <v>1796550</v>
      </c>
      <c r="I143" s="138">
        <f t="shared" si="37"/>
        <v>19762050</v>
      </c>
      <c r="J143" s="147"/>
      <c r="K143" s="157"/>
    </row>
    <row r="144" spans="1:11" ht="21" customHeight="1">
      <c r="A144" s="144">
        <v>4</v>
      </c>
      <c r="B144" s="595" t="s">
        <v>922</v>
      </c>
      <c r="C144" s="152"/>
      <c r="D144" s="145" t="s">
        <v>218</v>
      </c>
      <c r="E144" s="588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595" t="s">
        <v>923</v>
      </c>
      <c r="C145" s="156"/>
      <c r="D145" s="145" t="s">
        <v>218</v>
      </c>
      <c r="E145" s="588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595" t="s">
        <v>923</v>
      </c>
      <c r="C146" s="156"/>
      <c r="D146" s="145" t="s">
        <v>218</v>
      </c>
      <c r="E146" s="588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95" t="s">
        <v>923</v>
      </c>
      <c r="C147" s="156"/>
      <c r="D147" s="145" t="s">
        <v>218</v>
      </c>
      <c r="E147" s="588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595" t="s">
        <v>923</v>
      </c>
      <c r="C148" s="156"/>
      <c r="D148" s="145" t="s">
        <v>218</v>
      </c>
      <c r="E148" s="588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595" t="s">
        <v>923</v>
      </c>
      <c r="C149" s="156"/>
      <c r="D149" s="145" t="s">
        <v>218</v>
      </c>
      <c r="E149" s="588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144">
        <v>10</v>
      </c>
      <c r="B150" s="595" t="s">
        <v>923</v>
      </c>
      <c r="C150" s="156"/>
      <c r="D150" s="145" t="s">
        <v>218</v>
      </c>
      <c r="E150" s="588">
        <v>3045</v>
      </c>
      <c r="F150" s="138">
        <v>5900</v>
      </c>
      <c r="G150" s="138">
        <f t="shared" si="35"/>
        <v>17965500</v>
      </c>
      <c r="H150" s="138">
        <f t="shared" si="36"/>
        <v>1796550</v>
      </c>
      <c r="I150" s="138">
        <f t="shared" si="37"/>
        <v>19762050</v>
      </c>
      <c r="J150" s="147"/>
      <c r="K150" s="157"/>
    </row>
    <row r="151" spans="1:11" ht="21" customHeight="1">
      <c r="A151" s="144">
        <v>11</v>
      </c>
      <c r="B151" s="595" t="s">
        <v>923</v>
      </c>
      <c r="C151" s="373"/>
      <c r="D151" s="145" t="s">
        <v>218</v>
      </c>
      <c r="E151" s="588">
        <v>3045</v>
      </c>
      <c r="F151" s="138">
        <v>5900</v>
      </c>
      <c r="G151" s="138">
        <f t="shared" si="35"/>
        <v>17965500</v>
      </c>
      <c r="H151" s="138">
        <f t="shared" si="36"/>
        <v>1796550</v>
      </c>
      <c r="I151" s="138">
        <f t="shared" si="37"/>
        <v>19762050</v>
      </c>
      <c r="J151" s="149"/>
      <c r="K151" s="157"/>
    </row>
    <row r="152" spans="1:11" ht="21" customHeight="1">
      <c r="A152" s="144">
        <v>12</v>
      </c>
      <c r="B152" s="595" t="s">
        <v>924</v>
      </c>
      <c r="C152" s="156"/>
      <c r="D152" s="145" t="s">
        <v>218</v>
      </c>
      <c r="E152" s="588">
        <v>3045</v>
      </c>
      <c r="F152" s="138">
        <v>5900</v>
      </c>
      <c r="G152" s="138">
        <f t="shared" si="35"/>
        <v>17965500</v>
      </c>
      <c r="H152" s="138">
        <f t="shared" si="36"/>
        <v>1796550</v>
      </c>
      <c r="I152" s="138">
        <f t="shared" si="37"/>
        <v>19762050</v>
      </c>
      <c r="J152" s="147"/>
      <c r="K152" s="157"/>
    </row>
    <row r="153" spans="1:11" ht="21" customHeight="1">
      <c r="A153" s="144">
        <v>13</v>
      </c>
      <c r="B153" s="595" t="s">
        <v>924</v>
      </c>
      <c r="C153" s="156"/>
      <c r="D153" s="145" t="s">
        <v>218</v>
      </c>
      <c r="E153" s="588">
        <v>3045</v>
      </c>
      <c r="F153" s="138">
        <v>5900</v>
      </c>
      <c r="G153" s="138">
        <f t="shared" si="35"/>
        <v>17965500</v>
      </c>
      <c r="H153" s="138">
        <f t="shared" si="36"/>
        <v>1796550</v>
      </c>
      <c r="I153" s="138">
        <f t="shared" si="37"/>
        <v>19762050</v>
      </c>
      <c r="J153" s="147"/>
      <c r="K153" s="157"/>
    </row>
    <row r="154" spans="1:11" ht="21" customHeight="1">
      <c r="A154" s="144">
        <v>14</v>
      </c>
      <c r="B154" s="595" t="s">
        <v>925</v>
      </c>
      <c r="C154" s="156"/>
      <c r="D154" s="145" t="s">
        <v>218</v>
      </c>
      <c r="E154" s="588">
        <v>3045</v>
      </c>
      <c r="F154" s="138">
        <v>5900</v>
      </c>
      <c r="G154" s="138">
        <f t="shared" si="35"/>
        <v>17965500</v>
      </c>
      <c r="H154" s="138">
        <f t="shared" si="36"/>
        <v>1796550</v>
      </c>
      <c r="I154" s="138">
        <f t="shared" si="37"/>
        <v>19762050</v>
      </c>
      <c r="J154" s="147"/>
      <c r="K154" s="157"/>
    </row>
    <row r="155" spans="1:11" ht="21" customHeight="1">
      <c r="A155" s="368"/>
      <c r="B155" s="369"/>
      <c r="C155" s="369"/>
      <c r="D155" s="369"/>
      <c r="E155" s="370"/>
      <c r="F155" s="370"/>
      <c r="G155" s="370"/>
      <c r="H155" s="370"/>
      <c r="I155" s="370"/>
      <c r="J155" s="369"/>
    </row>
    <row r="156" spans="1:11" s="155" customFormat="1" ht="21" customHeight="1">
      <c r="A156" s="670" t="s">
        <v>19</v>
      </c>
      <c r="B156" s="670"/>
      <c r="C156" s="670"/>
      <c r="D156" s="670"/>
      <c r="E156" s="153">
        <f>SUM(E141:E155)</f>
        <v>42630</v>
      </c>
      <c r="F156" s="153"/>
      <c r="G156" s="153">
        <f>SUM(G141:G155)</f>
        <v>251517000</v>
      </c>
      <c r="H156" s="153">
        <f>SUM(H141:H155)</f>
        <v>25151700</v>
      </c>
      <c r="I156" s="153"/>
      <c r="J156" s="154"/>
    </row>
    <row r="158" spans="1:11" s="141" customFormat="1" ht="14.25">
      <c r="A158" s="589"/>
      <c r="D158" s="594" t="s">
        <v>908</v>
      </c>
      <c r="E158" s="594">
        <f>E156/2030</f>
        <v>21</v>
      </c>
    </row>
  </sheetData>
  <sortState ref="A37:K46">
    <sortCondition ref="B37:B46"/>
  </sortState>
  <mergeCells count="12">
    <mergeCell ref="A87:D87"/>
    <mergeCell ref="A2:J2"/>
    <mergeCell ref="A28:D28"/>
    <mergeCell ref="A35:J35"/>
    <mergeCell ref="A58:D58"/>
    <mergeCell ref="A67:J67"/>
    <mergeCell ref="A118:J118"/>
    <mergeCell ref="A135:D135"/>
    <mergeCell ref="A139:J139"/>
    <mergeCell ref="A156:D156"/>
    <mergeCell ref="A97:J97"/>
    <mergeCell ref="A111:D111"/>
  </mergeCells>
  <pageMargins left="0.16" right="0.13" top="0.16" bottom="0.16" header="0.3" footer="0.3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TD-TQ 2016</vt:lpstr>
      <vt:lpstr>CT-2016</vt:lpstr>
      <vt:lpstr>GC - TQ 2016</vt:lpstr>
      <vt:lpstr>BSHĐ - 2016</vt:lpstr>
      <vt:lpstr>ZHOUSHAN - 2017</vt:lpstr>
      <vt:lpstr>ZHOUSHAN - CT-2017</vt:lpstr>
      <vt:lpstr>HUNAM - 2017</vt:lpstr>
      <vt:lpstr>HUNAM - CT-2017</vt:lpstr>
      <vt:lpstr>BSHĐ - 2017</vt:lpstr>
      <vt:lpstr>CP-TQ</vt:lpstr>
      <vt:lpstr>Sheet1</vt:lpstr>
      <vt:lpstr>'BSHĐ - 2016'!Print_Area</vt:lpstr>
      <vt:lpstr>'BSHĐ - 2017'!Print_Area</vt:lpstr>
      <vt:lpstr>'CT-2016'!Print_Area</vt:lpstr>
      <vt:lpstr>'HUNAM - CT-2017'!Print_Area</vt:lpstr>
      <vt:lpstr>'ZHOUSHAN - CT-2017'!Print_Area</vt:lpstr>
      <vt:lpstr>'HUNAM - 2017'!Print_Titles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2017-09-29T03:41:12Z</cp:lastPrinted>
  <dcterms:created xsi:type="dcterms:W3CDTF">2016-10-31T06:49:38Z</dcterms:created>
  <dcterms:modified xsi:type="dcterms:W3CDTF">2017-09-29T08:38:01Z</dcterms:modified>
</cp:coreProperties>
</file>