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725" windowWidth="13020" windowHeight="8355" tabRatio="834"/>
  </bookViews>
  <sheets>
    <sheet name="C.THANH MN" sheetId="16" r:id="rId1"/>
    <sheet name="HUNAM - 2017" sheetId="11" r:id="rId2"/>
    <sheet name="HUNAM - CT-2017" sheetId="12" r:id="rId3"/>
    <sheet name="TD-TQ 2016" sheetId="1" r:id="rId4"/>
    <sheet name="CT-2016" sheetId="5" r:id="rId5"/>
    <sheet name="GC - TQ 2016" sheetId="2" r:id="rId6"/>
    <sheet name="BSHĐ - 2016" sheetId="6" r:id="rId7"/>
    <sheet name="ZHOUSHAN - 2017" sheetId="8" r:id="rId8"/>
    <sheet name="ZHOUSHAN - CT-2017" sheetId="9" r:id="rId9"/>
    <sheet name="KIM CHÂU" sheetId="20" r:id="rId10"/>
    <sheet name="M. TRÍ CM" sheetId="21" r:id="rId11"/>
    <sheet name="HUNAM (MB) - 2018" sheetId="18" r:id="rId12"/>
    <sheet name="HUNAM (MB) - CT-2018" sheetId="19" r:id="rId13"/>
    <sheet name="BSHĐ - 2017" sheetId="10" r:id="rId14"/>
    <sheet name="CP-TQ" sheetId="14" r:id="rId15"/>
    <sheet name="Sheet1" sheetId="15" r:id="rId16"/>
    <sheet name="ZHOUSHAN - CT-2017 (2)" sheetId="17" r:id="rId17"/>
  </sheets>
  <definedNames>
    <definedName name="_Fill" localSheetId="13" hidden="1">#REF!</definedName>
    <definedName name="_Fill" localSheetId="0" hidden="1">#REF!</definedName>
    <definedName name="_Fill" localSheetId="14" hidden="1">#REF!</definedName>
    <definedName name="_Fill" localSheetId="4" hidden="1">#REF!</definedName>
    <definedName name="_Fill" localSheetId="5" hidden="1">#REF!</definedName>
    <definedName name="_Fill" localSheetId="1" hidden="1">#REF!</definedName>
    <definedName name="_Fill" localSheetId="2" hidden="1">#REF!</definedName>
    <definedName name="_Fill" localSheetId="11" hidden="1">#REF!</definedName>
    <definedName name="_Fill" localSheetId="12" hidden="1">#REF!</definedName>
    <definedName name="_Fill" localSheetId="9" hidden="1">#REF!</definedName>
    <definedName name="_Fill" localSheetId="10" hidden="1">#REF!</definedName>
    <definedName name="_Fill" localSheetId="7" hidden="1">#REF!</definedName>
    <definedName name="_Fill" localSheetId="8" hidden="1">#REF!</definedName>
    <definedName name="_Fill" localSheetId="16" hidden="1">#REF!</definedName>
    <definedName name="_Fill" hidden="1">#REF!</definedName>
    <definedName name="_xlnm._FilterDatabase" localSheetId="1" hidden="1">'HUNAM - 2017'!$A$3:$T$90</definedName>
    <definedName name="_xlnm._FilterDatabase" localSheetId="11" hidden="1">'HUNAM (MB) - 2018'!$A$3:$R$17</definedName>
    <definedName name="_xlnm._FilterDatabase" localSheetId="7" hidden="1">'ZHOUSHAN - 2017'!$A$3:$V$216</definedName>
    <definedName name="_xlnm._FilterDatabase" localSheetId="8" hidden="1">'ZHOUSHAN - CT-2017'!$A$287:$T$297</definedName>
    <definedName name="_xlnm._FilterDatabase" localSheetId="16" hidden="1">'ZHOUSHAN - CT-2017 (2)'!$A$2:$P$23</definedName>
    <definedName name="_xlnm.Print_Area" localSheetId="6">'BSHĐ - 2016'!$A$67:$I$89</definedName>
    <definedName name="_xlnm.Print_Area" localSheetId="13">'BSHĐ - 2017'!$A$174:$J$198</definedName>
    <definedName name="_xlnm.Print_Area" localSheetId="0">'C.THANH MN'!$N$55:$W$108</definedName>
    <definedName name="_xlnm.Print_Area" localSheetId="4">'CT-2016'!$A$522:$E$535</definedName>
    <definedName name="_xlnm.Print_Area" localSheetId="2">'HUNAM - CT-2017'!$A$285:$R$326</definedName>
    <definedName name="_xlnm.Print_Area" localSheetId="11">'HUNAM (MB) - 2018'!$A$2:$G$19</definedName>
    <definedName name="_xlnm.Print_Area" localSheetId="12">'HUNAM (MB) - CT-2018'!$A$2:$O$27</definedName>
    <definedName name="_xlnm.Print_Area" localSheetId="9">'KIM CHÂU'!#REF!</definedName>
    <definedName name="_xlnm.Print_Area" localSheetId="10">'M. TRÍ CM'!#REF!</definedName>
    <definedName name="_xlnm.Print_Area" localSheetId="15">Sheet1!$A$1:$G$22</definedName>
    <definedName name="_xlnm.Print_Area" localSheetId="7">'ZHOUSHAN - 2017'!$B$193:$K$204</definedName>
    <definedName name="_xlnm.Print_Area" localSheetId="8">'ZHOUSHAN - CT-2017'!$A$746:$G$757</definedName>
    <definedName name="_xlnm.Print_Area" localSheetId="16">'ZHOUSHAN - CT-2017 (2)'!#REF!</definedName>
    <definedName name="_xlnm.Print_Titles" localSheetId="1">'HUNAM - 2017'!$2:$3</definedName>
    <definedName name="_xlnm.Print_Titles" localSheetId="11">'HUNAM (MB) - 2018'!$2:$3</definedName>
    <definedName name="_xlnm.Print_Titles" localSheetId="3">'TD-TQ 2016'!$17:$18</definedName>
    <definedName name="_xlnm.Print_Titles" localSheetId="7">'ZHOUSHAN - 2017'!$2:$3</definedName>
  </definedNames>
  <calcPr calcId="144525"/>
</workbook>
</file>

<file path=xl/calcChain.xml><?xml version="1.0" encoding="utf-8"?>
<calcChain xmlns="http://schemas.openxmlformats.org/spreadsheetml/2006/main">
  <c r="F290" i="12" l="1"/>
  <c r="N71" i="11"/>
  <c r="L21" i="18" l="1"/>
  <c r="E5" i="19"/>
  <c r="N7" i="18"/>
  <c r="K7" i="18"/>
  <c r="V101" i="16" l="1"/>
  <c r="V100" i="16"/>
  <c r="V96" i="16"/>
  <c r="R64" i="16"/>
  <c r="R80" i="16"/>
  <c r="R77" i="16"/>
  <c r="T88" i="16"/>
  <c r="R86" i="16"/>
  <c r="T86" i="16" s="1"/>
  <c r="AE62" i="16" l="1"/>
  <c r="AG62" i="16" s="1"/>
  <c r="AE61" i="16"/>
  <c r="AG61" i="16" s="1"/>
  <c r="AE60" i="16"/>
  <c r="AG60" i="16" s="1"/>
  <c r="AE59" i="16"/>
  <c r="AG59" i="16" s="1"/>
  <c r="AE58" i="16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V98" i="16"/>
  <c r="R74" i="16"/>
  <c r="R76" i="16"/>
  <c r="F300" i="12"/>
  <c r="F299" i="12"/>
  <c r="F298" i="12"/>
  <c r="F297" i="12"/>
  <c r="AG70" i="16" l="1"/>
  <c r="AE64" i="16"/>
  <c r="AC64" i="16"/>
  <c r="AG58" i="16"/>
  <c r="AG64" i="16" s="1"/>
  <c r="M300" i="12"/>
  <c r="Q300" i="12" s="1"/>
  <c r="O300" i="12"/>
  <c r="P300" i="12"/>
  <c r="M301" i="12"/>
  <c r="Q301" i="12" s="1"/>
  <c r="O301" i="12"/>
  <c r="P301" i="12"/>
  <c r="F264" i="12"/>
  <c r="F263" i="12"/>
  <c r="T74" i="16"/>
  <c r="F292" i="12"/>
  <c r="N294" i="12"/>
  <c r="O289" i="12"/>
  <c r="P289" i="12"/>
  <c r="O290" i="12"/>
  <c r="P290" i="12"/>
  <c r="O291" i="12"/>
  <c r="P291" i="12"/>
  <c r="O292" i="12"/>
  <c r="P292" i="12"/>
  <c r="M291" i="12"/>
  <c r="Q291" i="12" s="1"/>
  <c r="M290" i="12"/>
  <c r="M289" i="12"/>
  <c r="Q289" i="12" s="1"/>
  <c r="P288" i="12"/>
  <c r="O288" i="12"/>
  <c r="M288" i="12"/>
  <c r="M302" i="12"/>
  <c r="Q302" i="12" s="1"/>
  <c r="M303" i="12"/>
  <c r="Q303" i="12" s="1"/>
  <c r="M304" i="12"/>
  <c r="M305" i="12"/>
  <c r="Q305" i="12" s="1"/>
  <c r="M306" i="12"/>
  <c r="Q306" i="12" s="1"/>
  <c r="M307" i="12"/>
  <c r="Q307" i="12" s="1"/>
  <c r="M308" i="12"/>
  <c r="Q308" i="12" s="1"/>
  <c r="M309" i="12"/>
  <c r="Q309" i="12" s="1"/>
  <c r="M310" i="12"/>
  <c r="Q310" i="12" s="1"/>
  <c r="M311" i="12"/>
  <c r="R311" i="12" s="1"/>
  <c r="M312" i="12"/>
  <c r="M313" i="12"/>
  <c r="Q313" i="12" s="1"/>
  <c r="M314" i="12"/>
  <c r="Q314" i="12" s="1"/>
  <c r="M315" i="12"/>
  <c r="Q315" i="12" s="1"/>
  <c r="M316" i="12"/>
  <c r="Q316" i="12" s="1"/>
  <c r="Q304" i="12"/>
  <c r="Q312" i="12"/>
  <c r="P309" i="12"/>
  <c r="P310" i="12"/>
  <c r="P312" i="12"/>
  <c r="P313" i="12"/>
  <c r="P314" i="12"/>
  <c r="P315" i="12"/>
  <c r="P316" i="12"/>
  <c r="N311" i="12"/>
  <c r="P311" i="12" s="1"/>
  <c r="N308" i="12"/>
  <c r="P308" i="12" s="1"/>
  <c r="N306" i="12"/>
  <c r="N304" i="12"/>
  <c r="N302" i="12"/>
  <c r="O302" i="12" s="1"/>
  <c r="P317" i="12"/>
  <c r="M317" i="12"/>
  <c r="R317" i="12" s="1"/>
  <c r="P307" i="12"/>
  <c r="G305" i="12"/>
  <c r="F320" i="12" s="1"/>
  <c r="C305" i="12"/>
  <c r="C316" i="12" s="1"/>
  <c r="P305" i="12"/>
  <c r="P303" i="12"/>
  <c r="E290" i="12"/>
  <c r="E289" i="12"/>
  <c r="M292" i="12"/>
  <c r="Q292" i="12" s="1"/>
  <c r="E288" i="12"/>
  <c r="R58" i="16"/>
  <c r="T75" i="16"/>
  <c r="V75" i="16" s="1"/>
  <c r="T77" i="16"/>
  <c r="V77" i="16" s="1"/>
  <c r="T80" i="16"/>
  <c r="V80" i="16" s="1"/>
  <c r="T76" i="16"/>
  <c r="V76" i="16" s="1"/>
  <c r="T78" i="16"/>
  <c r="V78" i="16" s="1"/>
  <c r="T79" i="16"/>
  <c r="V79" i="16" s="1"/>
  <c r="R69" i="16"/>
  <c r="T69" i="16" s="1"/>
  <c r="V69" i="16" s="1"/>
  <c r="R65" i="16"/>
  <c r="T65" i="16" s="1"/>
  <c r="V65" i="16" s="1"/>
  <c r="T68" i="16"/>
  <c r="V68" i="16" s="1"/>
  <c r="R71" i="16"/>
  <c r="T71" i="16" s="1"/>
  <c r="V71" i="16" s="1"/>
  <c r="R67" i="16"/>
  <c r="T67" i="16" s="1"/>
  <c r="V67" i="16" s="1"/>
  <c r="T72" i="16"/>
  <c r="V72" i="16" s="1"/>
  <c r="T73" i="16"/>
  <c r="V73" i="16" s="1"/>
  <c r="T70" i="16"/>
  <c r="V70" i="16" s="1"/>
  <c r="AG72" i="16" l="1"/>
  <c r="R300" i="12"/>
  <c r="R301" i="12"/>
  <c r="R314" i="12"/>
  <c r="P294" i="12"/>
  <c r="F294" i="12" s="1"/>
  <c r="R305" i="12"/>
  <c r="R309" i="12"/>
  <c r="R312" i="12"/>
  <c r="Q311" i="12"/>
  <c r="P302" i="12"/>
  <c r="R302" i="12" s="1"/>
  <c r="R307" i="12"/>
  <c r="R310" i="12"/>
  <c r="R315" i="12"/>
  <c r="R303" i="12"/>
  <c r="O294" i="12"/>
  <c r="R308" i="12"/>
  <c r="Q290" i="12"/>
  <c r="R290" i="12" s="1"/>
  <c r="R292" i="12"/>
  <c r="R291" i="12"/>
  <c r="R289" i="12"/>
  <c r="Q288" i="12"/>
  <c r="R288" i="12" s="1"/>
  <c r="P306" i="12"/>
  <c r="R306" i="12" s="1"/>
  <c r="M295" i="12"/>
  <c r="P304" i="12"/>
  <c r="R304" i="12" s="1"/>
  <c r="N318" i="12"/>
  <c r="O318" i="12"/>
  <c r="M319" i="12" s="1"/>
  <c r="Q317" i="12"/>
  <c r="G80" i="11"/>
  <c r="I80" i="11" s="1"/>
  <c r="G79" i="11"/>
  <c r="I79" i="11" s="1"/>
  <c r="G78" i="11"/>
  <c r="I78" i="11" s="1"/>
  <c r="G77" i="11"/>
  <c r="I77" i="11" s="1"/>
  <c r="G76" i="11"/>
  <c r="I76" i="11" s="1"/>
  <c r="G85" i="11"/>
  <c r="I85" i="11" s="1"/>
  <c r="G84" i="11"/>
  <c r="I84" i="11" s="1"/>
  <c r="G83" i="11"/>
  <c r="I83" i="11" s="1"/>
  <c r="G82" i="11"/>
  <c r="I82" i="11" s="1"/>
  <c r="G81" i="11"/>
  <c r="I81" i="11" s="1"/>
  <c r="R294" i="12" l="1"/>
  <c r="F293" i="12" s="1"/>
  <c r="P318" i="12"/>
  <c r="F296" i="12" s="1"/>
  <c r="R318" i="12"/>
  <c r="F295" i="12" s="1"/>
  <c r="N67" i="11"/>
  <c r="F305" i="12" l="1"/>
  <c r="F318" i="12" s="1"/>
  <c r="G75" i="11"/>
  <c r="I75" i="11" s="1"/>
  <c r="G74" i="11"/>
  <c r="I74" i="11" s="1"/>
  <c r="G73" i="11"/>
  <c r="I73" i="11" s="1"/>
  <c r="G72" i="11"/>
  <c r="I72" i="11" s="1"/>
  <c r="G71" i="11"/>
  <c r="I71" i="11" s="1"/>
  <c r="F256" i="12" l="1"/>
  <c r="F262" i="12"/>
  <c r="F261" i="12"/>
  <c r="N264" i="12"/>
  <c r="M265" i="12"/>
  <c r="O265" i="12"/>
  <c r="M266" i="12"/>
  <c r="Q266" i="12" s="1"/>
  <c r="O266" i="12"/>
  <c r="P266" i="12"/>
  <c r="M267" i="12"/>
  <c r="O267" i="12"/>
  <c r="P267" i="12"/>
  <c r="M268" i="12"/>
  <c r="Q268" i="12" s="1"/>
  <c r="O268" i="12"/>
  <c r="P268" i="12"/>
  <c r="M269" i="12"/>
  <c r="Q269" i="12" s="1"/>
  <c r="O269" i="12"/>
  <c r="P269" i="12"/>
  <c r="M270" i="12"/>
  <c r="Q270" i="12" s="1"/>
  <c r="O270" i="12"/>
  <c r="P270" i="12"/>
  <c r="M271" i="12"/>
  <c r="R271" i="12" s="1"/>
  <c r="N271" i="12"/>
  <c r="P271" i="12" s="1"/>
  <c r="O271" i="12"/>
  <c r="R267" i="12" l="1"/>
  <c r="R268" i="12"/>
  <c r="N274" i="12"/>
  <c r="Q271" i="12"/>
  <c r="R266" i="12"/>
  <c r="R269" i="12"/>
  <c r="Q265" i="12"/>
  <c r="Q267" i="12"/>
  <c r="R270" i="12"/>
  <c r="V102" i="16"/>
  <c r="V97" i="16"/>
  <c r="V106" i="16" s="1"/>
  <c r="T89" i="16"/>
  <c r="V89" i="16" s="1"/>
  <c r="V88" i="16"/>
  <c r="T87" i="16"/>
  <c r="V87" i="16" s="1"/>
  <c r="T59" i="16"/>
  <c r="V59" i="16" s="1"/>
  <c r="T66" i="16"/>
  <c r="V66" i="16" s="1"/>
  <c r="T64" i="16"/>
  <c r="V64" i="16" s="1"/>
  <c r="T63" i="16"/>
  <c r="V63" i="16" s="1"/>
  <c r="T62" i="16"/>
  <c r="V62" i="16" s="1"/>
  <c r="T61" i="16"/>
  <c r="V61" i="16" s="1"/>
  <c r="T60" i="16"/>
  <c r="V60" i="16" s="1"/>
  <c r="T58" i="16"/>
  <c r="G68" i="11"/>
  <c r="I68" i="11" s="1"/>
  <c r="G69" i="11"/>
  <c r="I69" i="11"/>
  <c r="G70" i="11"/>
  <c r="I70" i="11" s="1"/>
  <c r="G86" i="11"/>
  <c r="I86" i="11"/>
  <c r="G87" i="11"/>
  <c r="I87" i="11"/>
  <c r="G88" i="11"/>
  <c r="I88" i="11"/>
  <c r="G89" i="11"/>
  <c r="I89" i="11" s="1"/>
  <c r="G90" i="11"/>
  <c r="I90" i="11"/>
  <c r="N58" i="11"/>
  <c r="E254" i="12"/>
  <c r="N257" i="12"/>
  <c r="P255" i="12"/>
  <c r="O255" i="12"/>
  <c r="M255" i="12"/>
  <c r="P254" i="12"/>
  <c r="O254" i="12"/>
  <c r="M254" i="12"/>
  <c r="P253" i="12"/>
  <c r="O253" i="12"/>
  <c r="M253" i="12"/>
  <c r="P252" i="12"/>
  <c r="O252" i="12"/>
  <c r="M252" i="12"/>
  <c r="P273" i="12"/>
  <c r="O273" i="12"/>
  <c r="M273" i="12"/>
  <c r="R273" i="12" s="1"/>
  <c r="P272" i="12"/>
  <c r="O272" i="12"/>
  <c r="M272" i="12"/>
  <c r="R272" i="12" s="1"/>
  <c r="O264" i="12"/>
  <c r="P265" i="12"/>
  <c r="M264" i="12"/>
  <c r="R264" i="12" s="1"/>
  <c r="P263" i="12"/>
  <c r="O263" i="12"/>
  <c r="M263" i="12"/>
  <c r="R265" i="12" l="1"/>
  <c r="T90" i="16"/>
  <c r="R90" i="16"/>
  <c r="V86" i="16"/>
  <c r="V90" i="16" s="1"/>
  <c r="T82" i="16"/>
  <c r="V58" i="16"/>
  <c r="V82" i="16" s="1"/>
  <c r="R82" i="16"/>
  <c r="O257" i="12"/>
  <c r="M258" i="12" s="1"/>
  <c r="P257" i="12"/>
  <c r="F258" i="12" s="1"/>
  <c r="Q272" i="12"/>
  <c r="Q263" i="12"/>
  <c r="R263" i="12" s="1"/>
  <c r="O274" i="12"/>
  <c r="Q252" i="12"/>
  <c r="R252" i="12" s="1"/>
  <c r="Q253" i="12"/>
  <c r="R253" i="12" s="1"/>
  <c r="Q254" i="12"/>
  <c r="R254" i="12" s="1"/>
  <c r="Q255" i="12"/>
  <c r="R255" i="12" s="1"/>
  <c r="P264" i="12"/>
  <c r="P274" i="12" s="1"/>
  <c r="F260" i="12" s="1"/>
  <c r="Q273" i="12"/>
  <c r="Q264" i="12"/>
  <c r="N92" i="11"/>
  <c r="M92" i="11"/>
  <c r="N60" i="11"/>
  <c r="M60" i="11"/>
  <c r="C283" i="12"/>
  <c r="G270" i="12"/>
  <c r="F277" i="12" s="1"/>
  <c r="C270" i="12"/>
  <c r="C273" i="12" s="1"/>
  <c r="E253" i="12"/>
  <c r="E252" i="12"/>
  <c r="M275" i="12" l="1"/>
  <c r="R257" i="12"/>
  <c r="F257" i="12" s="1"/>
  <c r="R274" i="12"/>
  <c r="F259" i="12" s="1"/>
  <c r="F10" i="19"/>
  <c r="F9" i="19"/>
  <c r="F8" i="19"/>
  <c r="F7" i="19"/>
  <c r="E29" i="14"/>
  <c r="F12" i="19" l="1"/>
  <c r="F270" i="12"/>
  <c r="F275" i="12" s="1"/>
  <c r="N157" i="8"/>
  <c r="V50" i="16" l="1"/>
  <c r="L63" i="16"/>
  <c r="L62" i="16"/>
  <c r="L61" i="16"/>
  <c r="L60" i="16"/>
  <c r="L59" i="16"/>
  <c r="L58" i="16"/>
  <c r="L57" i="16"/>
  <c r="L55" i="16"/>
  <c r="T17" i="16"/>
  <c r="V17" i="16" s="1"/>
  <c r="T18" i="16"/>
  <c r="V18" i="16" s="1"/>
  <c r="T19" i="16"/>
  <c r="V19" i="16" s="1"/>
  <c r="T20" i="16"/>
  <c r="V20" i="16" s="1"/>
  <c r="L65" i="16" l="1"/>
  <c r="T21" i="16"/>
  <c r="V21" i="16" s="1"/>
  <c r="T22" i="16"/>
  <c r="V22" i="16" s="1"/>
  <c r="T23" i="16"/>
  <c r="V23" i="16" s="1"/>
  <c r="T24" i="16"/>
  <c r="V24" i="16" s="1"/>
  <c r="T25" i="16"/>
  <c r="V25" i="16" s="1"/>
  <c r="T26" i="16"/>
  <c r="V26" i="16" s="1"/>
  <c r="T27" i="16"/>
  <c r="V27" i="16" s="1"/>
  <c r="T28" i="16"/>
  <c r="V28" i="16" s="1"/>
  <c r="T29" i="16"/>
  <c r="V29" i="16" s="1"/>
  <c r="T30" i="16"/>
  <c r="V30" i="16" s="1"/>
  <c r="T31" i="16"/>
  <c r="V31" i="16" s="1"/>
  <c r="T32" i="16"/>
  <c r="V32" i="16" s="1"/>
  <c r="T33" i="16"/>
  <c r="V33" i="16" s="1"/>
  <c r="T34" i="16"/>
  <c r="V34" i="16" s="1"/>
  <c r="T35" i="16"/>
  <c r="V35" i="16" s="1"/>
  <c r="T36" i="16"/>
  <c r="V36" i="16" s="1"/>
  <c r="T37" i="16"/>
  <c r="V37" i="16" s="1"/>
  <c r="V40" i="16" l="1"/>
  <c r="R40" i="16"/>
  <c r="F216" i="12"/>
  <c r="R38" i="16"/>
  <c r="T38" i="16" s="1"/>
  <c r="V38" i="16" s="1"/>
  <c r="M226" i="12" l="1"/>
  <c r="Q226" i="12" s="1"/>
  <c r="O226" i="12"/>
  <c r="P226" i="12"/>
  <c r="M227" i="12"/>
  <c r="Q227" i="12" s="1"/>
  <c r="O227" i="12"/>
  <c r="P227" i="12"/>
  <c r="M228" i="12"/>
  <c r="Q228" i="12" s="1"/>
  <c r="O228" i="12"/>
  <c r="P228" i="12"/>
  <c r="M229" i="12"/>
  <c r="Q229" i="12" s="1"/>
  <c r="O229" i="12"/>
  <c r="P229" i="12"/>
  <c r="M230" i="12"/>
  <c r="Q230" i="12" s="1"/>
  <c r="O230" i="12"/>
  <c r="P230" i="12"/>
  <c r="M231" i="12"/>
  <c r="Q231" i="12" s="1"/>
  <c r="O231" i="12"/>
  <c r="P231" i="12"/>
  <c r="M232" i="12"/>
  <c r="Q232" i="12" s="1"/>
  <c r="O232" i="12"/>
  <c r="P232" i="12"/>
  <c r="M233" i="12"/>
  <c r="Q233" i="12" s="1"/>
  <c r="O233" i="12"/>
  <c r="P233" i="12"/>
  <c r="M234" i="12"/>
  <c r="Q234" i="12" s="1"/>
  <c r="O234" i="12"/>
  <c r="P234" i="12"/>
  <c r="N236" i="12"/>
  <c r="P225" i="12"/>
  <c r="O225" i="12"/>
  <c r="M225" i="12"/>
  <c r="P224" i="12"/>
  <c r="O224" i="12"/>
  <c r="M224" i="12"/>
  <c r="Q224" i="12" s="1"/>
  <c r="P223" i="12"/>
  <c r="O223" i="12"/>
  <c r="M223" i="12"/>
  <c r="Q223" i="12" s="1"/>
  <c r="P222" i="12"/>
  <c r="O222" i="12"/>
  <c r="M222" i="12"/>
  <c r="Q222" i="12" s="1"/>
  <c r="P221" i="12"/>
  <c r="O221" i="12"/>
  <c r="M221" i="12"/>
  <c r="Q221" i="12" s="1"/>
  <c r="F225" i="12"/>
  <c r="F222" i="12"/>
  <c r="M209" i="12"/>
  <c r="Q209" i="12" s="1"/>
  <c r="O209" i="12"/>
  <c r="P209" i="12"/>
  <c r="M210" i="12"/>
  <c r="Q210" i="12" s="1"/>
  <c r="O210" i="12"/>
  <c r="P210" i="12"/>
  <c r="M211" i="12"/>
  <c r="Q211" i="12" s="1"/>
  <c r="O211" i="12"/>
  <c r="P211" i="12"/>
  <c r="M212" i="12"/>
  <c r="Q212" i="12" s="1"/>
  <c r="O212" i="12"/>
  <c r="P212" i="12"/>
  <c r="N214" i="12"/>
  <c r="P208" i="12"/>
  <c r="O208" i="12"/>
  <c r="M208" i="12"/>
  <c r="Q208" i="12" s="1"/>
  <c r="P207" i="12"/>
  <c r="O207" i="12"/>
  <c r="M207" i="12"/>
  <c r="Q207" i="12" s="1"/>
  <c r="F213" i="12"/>
  <c r="F61" i="11"/>
  <c r="G232" i="12"/>
  <c r="E211" i="12"/>
  <c r="M52" i="11"/>
  <c r="R233" i="12" l="1"/>
  <c r="R229" i="12"/>
  <c r="R228" i="12"/>
  <c r="R230" i="12"/>
  <c r="R227" i="12"/>
  <c r="R226" i="12"/>
  <c r="R232" i="12"/>
  <c r="R231" i="12"/>
  <c r="R234" i="12"/>
  <c r="O236" i="12"/>
  <c r="M237" i="12" s="1"/>
  <c r="R222" i="12"/>
  <c r="R223" i="12"/>
  <c r="R224" i="12"/>
  <c r="P236" i="12"/>
  <c r="F218" i="12" s="1"/>
  <c r="R221" i="12"/>
  <c r="Q225" i="12"/>
  <c r="R225" i="12" s="1"/>
  <c r="R212" i="12"/>
  <c r="R211" i="12"/>
  <c r="R210" i="12"/>
  <c r="R209" i="12"/>
  <c r="O214" i="12"/>
  <c r="M215" i="12" s="1"/>
  <c r="R208" i="12"/>
  <c r="P214" i="12"/>
  <c r="F215" i="12" s="1"/>
  <c r="R207" i="12"/>
  <c r="F224" i="12"/>
  <c r="F223" i="12"/>
  <c r="F58" i="11"/>
  <c r="F59" i="11"/>
  <c r="G59" i="11" s="1"/>
  <c r="R236" i="12" l="1"/>
  <c r="F217" i="12" s="1"/>
  <c r="R214" i="12"/>
  <c r="F214" i="12" s="1"/>
  <c r="I32" i="21"/>
  <c r="E24" i="21"/>
  <c r="G23" i="21"/>
  <c r="I22" i="21"/>
  <c r="G22" i="21"/>
  <c r="G21" i="21"/>
  <c r="I21" i="21" s="1"/>
  <c r="I20" i="21"/>
  <c r="G20" i="21"/>
  <c r="G19" i="21"/>
  <c r="I19" i="21" s="1"/>
  <c r="I18" i="21"/>
  <c r="G18" i="21"/>
  <c r="G17" i="21"/>
  <c r="I17" i="21" s="1"/>
  <c r="I16" i="21"/>
  <c r="G16" i="21"/>
  <c r="G15" i="21"/>
  <c r="I15" i="21" s="1"/>
  <c r="I14" i="21"/>
  <c r="G14" i="21"/>
  <c r="G13" i="21"/>
  <c r="I13" i="21" s="1"/>
  <c r="I12" i="21"/>
  <c r="G12" i="21"/>
  <c r="G11" i="21"/>
  <c r="I11" i="21" s="1"/>
  <c r="I10" i="21"/>
  <c r="G10" i="21"/>
  <c r="G9" i="21"/>
  <c r="I9" i="21" s="1"/>
  <c r="I8" i="21"/>
  <c r="G8" i="21"/>
  <c r="G7" i="21"/>
  <c r="I7" i="21" s="1"/>
  <c r="I6" i="21"/>
  <c r="G6" i="21"/>
  <c r="I5" i="21"/>
  <c r="G24" i="21" l="1"/>
  <c r="I4" i="21"/>
  <c r="I24" i="21" s="1"/>
  <c r="I34" i="21" s="1"/>
  <c r="F221" i="12"/>
  <c r="F220" i="12"/>
  <c r="F219" i="12"/>
  <c r="F57" i="11"/>
  <c r="G57" i="11" s="1"/>
  <c r="I57" i="11" s="1"/>
  <c r="F56" i="11"/>
  <c r="G60" i="11"/>
  <c r="I60" i="11" s="1"/>
  <c r="G53" i="11"/>
  <c r="I53" i="11" s="1"/>
  <c r="I32" i="20" l="1"/>
  <c r="E24" i="20"/>
  <c r="G23" i="20"/>
  <c r="G22" i="20"/>
  <c r="I22" i="20" s="1"/>
  <c r="G21" i="20"/>
  <c r="I21" i="20" s="1"/>
  <c r="G20" i="20"/>
  <c r="I20" i="20" s="1"/>
  <c r="G19" i="20"/>
  <c r="I19" i="20" s="1"/>
  <c r="G18" i="20"/>
  <c r="I18" i="20" s="1"/>
  <c r="G17" i="20"/>
  <c r="I17" i="20" s="1"/>
  <c r="G16" i="20"/>
  <c r="I16" i="20" s="1"/>
  <c r="G15" i="20"/>
  <c r="I15" i="20" s="1"/>
  <c r="G14" i="20"/>
  <c r="I14" i="20" s="1"/>
  <c r="G13" i="20"/>
  <c r="I13" i="20" s="1"/>
  <c r="G12" i="20"/>
  <c r="I12" i="20" s="1"/>
  <c r="G11" i="20"/>
  <c r="I11" i="20" s="1"/>
  <c r="G10" i="20"/>
  <c r="I10" i="20" s="1"/>
  <c r="G9" i="20"/>
  <c r="I9" i="20" s="1"/>
  <c r="G8" i="20"/>
  <c r="I8" i="20" s="1"/>
  <c r="G7" i="20"/>
  <c r="I7" i="20" s="1"/>
  <c r="G6" i="20"/>
  <c r="I6" i="20" s="1"/>
  <c r="G5" i="20"/>
  <c r="I5" i="20" s="1"/>
  <c r="G4" i="20"/>
  <c r="I4" i="20" s="1"/>
  <c r="G24" i="20" l="1"/>
  <c r="I24" i="20"/>
  <c r="I34" i="20" s="1"/>
  <c r="T39" i="16" l="1"/>
  <c r="T40" i="16" l="1"/>
  <c r="G63" i="11"/>
  <c r="I63" i="11" s="1"/>
  <c r="G62" i="11"/>
  <c r="I62" i="11" s="1"/>
  <c r="G61" i="11"/>
  <c r="I61" i="11" s="1"/>
  <c r="I59" i="11"/>
  <c r="G58" i="11"/>
  <c r="I58" i="11" s="1"/>
  <c r="F239" i="12"/>
  <c r="C232" i="12"/>
  <c r="C235" i="12" s="1"/>
  <c r="F210" i="12"/>
  <c r="E209" i="12"/>
  <c r="E208" i="12"/>
  <c r="E207" i="12"/>
  <c r="E232" i="12" l="1"/>
  <c r="F235" i="12" s="1"/>
  <c r="M10" i="19"/>
  <c r="O10" i="19" s="1"/>
  <c r="M9" i="19"/>
  <c r="O9" i="19" s="1"/>
  <c r="M8" i="19"/>
  <c r="O8" i="19" s="1"/>
  <c r="M7" i="19"/>
  <c r="O7" i="19" s="1"/>
  <c r="O6" i="19"/>
  <c r="O5" i="19"/>
  <c r="O4" i="19"/>
  <c r="M12" i="19" l="1"/>
  <c r="O12" i="19"/>
  <c r="F19" i="19" s="1"/>
  <c r="N4" i="18" l="1"/>
  <c r="K4" i="18"/>
  <c r="F182" i="12" l="1"/>
  <c r="F183" i="12"/>
  <c r="F177" i="12"/>
  <c r="F176" i="12" l="1"/>
  <c r="F178" i="12" l="1"/>
  <c r="E175" i="12" l="1"/>
  <c r="F181" i="12" l="1"/>
  <c r="G12" i="19" l="1"/>
  <c r="F21" i="19" s="1"/>
  <c r="C12" i="19"/>
  <c r="C15" i="19" s="1"/>
  <c r="E4" i="19"/>
  <c r="Q19" i="18"/>
  <c r="P19" i="18"/>
  <c r="D19" i="18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G9" i="18"/>
  <c r="G8" i="18"/>
  <c r="G7" i="18"/>
  <c r="G6" i="18"/>
  <c r="G5" i="18"/>
  <c r="G4" i="18"/>
  <c r="I19" i="18"/>
  <c r="H19" i="18"/>
  <c r="E12" i="19" l="1"/>
  <c r="F15" i="19" s="1"/>
  <c r="E19" i="18"/>
  <c r="L19" i="18"/>
  <c r="N19" i="18"/>
  <c r="E174" i="12"/>
  <c r="F17" i="19" l="1"/>
  <c r="F24" i="19" s="1"/>
  <c r="G19" i="18"/>
  <c r="E27" i="19" s="1"/>
  <c r="K19" i="18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G44" i="11"/>
  <c r="I44" i="11" s="1"/>
  <c r="N44" i="11" s="1"/>
  <c r="F180" i="12"/>
  <c r="F179" i="12"/>
  <c r="G5" i="17" l="1"/>
  <c r="G24" i="17"/>
  <c r="E24" i="17"/>
  <c r="C24" i="17"/>
  <c r="C5" i="17"/>
  <c r="G188" i="12" l="1"/>
  <c r="F195" i="12" s="1"/>
  <c r="C188" i="12"/>
  <c r="C191" i="12" s="1"/>
  <c r="E173" i="12"/>
  <c r="E188" i="12" s="1"/>
  <c r="F191" i="12" s="1"/>
  <c r="F188" i="12" l="1"/>
  <c r="F193" i="12" s="1"/>
  <c r="F198" i="12" s="1"/>
  <c r="F212" i="12" s="1"/>
  <c r="F232" i="12" l="1"/>
  <c r="F237" i="12" s="1"/>
  <c r="F242" i="12" s="1"/>
  <c r="E255" i="12" s="1"/>
  <c r="E270" i="12" s="1"/>
  <c r="F273" i="12" s="1"/>
  <c r="F280" i="12" s="1"/>
  <c r="E291" i="12" s="1"/>
  <c r="E305" i="12" s="1"/>
  <c r="F316" i="12" s="1"/>
  <c r="F323" i="12" s="1"/>
  <c r="G738" i="9"/>
  <c r="F738" i="9"/>
  <c r="C738" i="9"/>
  <c r="E734" i="9"/>
  <c r="E738" i="9" s="1"/>
  <c r="R199" i="8"/>
  <c r="P199" i="8"/>
  <c r="N199" i="8"/>
  <c r="G741" i="9" l="1"/>
  <c r="F155" i="12"/>
  <c r="F159" i="12" s="1"/>
  <c r="F164" i="12" s="1"/>
  <c r="G159" i="12"/>
  <c r="F166" i="12" s="1"/>
  <c r="E154" i="12"/>
  <c r="E159" i="12" s="1"/>
  <c r="F162" i="12" s="1"/>
  <c r="F169" i="12" l="1"/>
  <c r="C159" i="12"/>
  <c r="C162" i="12" s="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3" i="12"/>
  <c r="F129" i="12"/>
  <c r="E128" i="12"/>
  <c r="L42" i="16" l="1"/>
  <c r="L41" i="16"/>
  <c r="H23" i="16"/>
  <c r="J23" i="16" s="1"/>
  <c r="G23" i="16"/>
  <c r="H21" i="16"/>
  <c r="J21" i="16" s="1"/>
  <c r="G21" i="16"/>
  <c r="K21" i="16" s="1"/>
  <c r="G32" i="16"/>
  <c r="J32" i="16"/>
  <c r="I32" i="16"/>
  <c r="H26" i="16"/>
  <c r="H17" i="16" s="1"/>
  <c r="J25" i="16"/>
  <c r="I25" i="16"/>
  <c r="G25" i="16"/>
  <c r="K25" i="16" s="1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I21" i="16" l="1"/>
  <c r="J26" i="16"/>
  <c r="I26" i="16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1" i="12"/>
  <c r="F130" i="12"/>
  <c r="G51" i="11"/>
  <c r="I51" i="11" s="1"/>
  <c r="G50" i="11"/>
  <c r="I50" i="11" s="1"/>
  <c r="G47" i="11"/>
  <c r="I47" i="11" s="1"/>
  <c r="G46" i="11"/>
  <c r="I46" i="11" s="1"/>
  <c r="G45" i="11"/>
  <c r="I45" i="11" s="1"/>
  <c r="G55" i="11"/>
  <c r="I55" i="11" s="1"/>
  <c r="G54" i="11"/>
  <c r="I54" i="11" s="1"/>
  <c r="G52" i="11"/>
  <c r="I52" i="11" s="1"/>
  <c r="G49" i="11"/>
  <c r="I49" i="11" s="1"/>
  <c r="G48" i="11"/>
  <c r="I48" i="11" s="1"/>
  <c r="C127" i="12"/>
  <c r="E127" i="12" s="1"/>
  <c r="N45" i="11" l="1"/>
  <c r="N50" i="11"/>
  <c r="G39" i="11"/>
  <c r="I39" i="11" s="1"/>
  <c r="G38" i="11"/>
  <c r="I38" i="11" l="1"/>
  <c r="K203" i="8"/>
  <c r="K197" i="8"/>
  <c r="F690" i="9" l="1"/>
  <c r="E688" i="9"/>
  <c r="E697" i="9" s="1"/>
  <c r="F689" i="9"/>
  <c r="C697" i="9"/>
  <c r="G697" i="9"/>
  <c r="F697" i="9" l="1"/>
  <c r="G700" i="9"/>
  <c r="F132" i="12" l="1"/>
  <c r="F140" i="12" s="1"/>
  <c r="E126" i="12" l="1"/>
  <c r="G140" i="12"/>
  <c r="F147" i="12" s="1"/>
  <c r="C140" i="12"/>
  <c r="C143" i="12" s="1"/>
  <c r="E125" i="12"/>
  <c r="K34" i="11"/>
  <c r="J34" i="11"/>
  <c r="E140" i="12" l="1"/>
  <c r="F143" i="12" s="1"/>
  <c r="F145" i="12"/>
  <c r="F150" i="12" l="1"/>
  <c r="J20" i="16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G35" i="11"/>
  <c r="I35" i="11" s="1"/>
  <c r="G34" i="11"/>
  <c r="I34" i="11" s="1"/>
  <c r="M34" i="11" s="1"/>
  <c r="G43" i="11"/>
  <c r="I43" i="11" s="1"/>
  <c r="G42" i="11"/>
  <c r="G41" i="11"/>
  <c r="G40" i="11"/>
  <c r="G66" i="11"/>
  <c r="I66" i="11" s="1"/>
  <c r="G65" i="11"/>
  <c r="I65" i="11" s="1"/>
  <c r="N43" i="11" l="1"/>
  <c r="P43" i="11" s="1"/>
  <c r="I36" i="11"/>
  <c r="N36" i="11" s="1"/>
  <c r="P36" i="11" s="1"/>
  <c r="I40" i="11"/>
  <c r="N40" i="11" s="1"/>
  <c r="P40" i="11" s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2" i="12" l="1"/>
  <c r="F119" i="12" s="1"/>
  <c r="C112" i="12"/>
  <c r="C115" i="12" s="1"/>
  <c r="F109" i="12"/>
  <c r="F112" i="12" s="1"/>
  <c r="F117" i="12" s="1"/>
  <c r="E108" i="12"/>
  <c r="E112" i="12" s="1"/>
  <c r="F115" i="12" s="1"/>
  <c r="F121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6" i="11"/>
  <c r="J26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40" i="16" l="1"/>
  <c r="L37" i="16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L44" i="16" l="1"/>
  <c r="L46" i="16" s="1"/>
  <c r="L67" i="16" s="1"/>
  <c r="V42" i="16" s="1"/>
  <c r="V52" i="16" s="1"/>
  <c r="V92" i="16" s="1"/>
  <c r="N169" i="8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V94" i="16" l="1"/>
  <c r="V108" i="16" s="1"/>
  <c r="S534" i="9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G12" i="11"/>
  <c r="G13" i="11"/>
  <c r="G8" i="11"/>
  <c r="G9" i="11"/>
  <c r="G10" i="11"/>
  <c r="G14" i="11"/>
  <c r="I11" i="11" l="1"/>
  <c r="N11" i="11" s="1"/>
  <c r="P11" i="11" s="1"/>
  <c r="I8" i="11"/>
  <c r="N8" i="11" s="1"/>
  <c r="P8" i="11" s="1"/>
  <c r="K92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9" i="11"/>
  <c r="J4" i="11"/>
  <c r="F23" i="12" l="1"/>
  <c r="F28" i="12" s="1"/>
  <c r="F34" i="12" s="1"/>
  <c r="E70" i="12" s="1"/>
  <c r="F73" i="12" s="1"/>
  <c r="F80" i="12" s="1"/>
  <c r="K139" i="8"/>
  <c r="F467" i="9"/>
  <c r="S92" i="11"/>
  <c r="R92" i="11"/>
  <c r="F92" i="11"/>
  <c r="G67" i="11"/>
  <c r="I67" i="11" s="1"/>
  <c r="I92" i="11" s="1"/>
  <c r="N94" i="11" s="1"/>
  <c r="C326" i="12" s="1"/>
  <c r="G64" i="11"/>
  <c r="I64" i="11" s="1"/>
  <c r="N63" i="11" s="1"/>
  <c r="G56" i="11"/>
  <c r="I56" i="11" s="1"/>
  <c r="N52" i="11" s="1"/>
  <c r="I30" i="11"/>
  <c r="G33" i="11"/>
  <c r="G32" i="11"/>
  <c r="G31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29" i="11"/>
  <c r="I29" i="11" s="1"/>
  <c r="G7" i="11"/>
  <c r="I7" i="11" s="1"/>
  <c r="G6" i="11"/>
  <c r="I6" i="11" s="1"/>
  <c r="G5" i="11"/>
  <c r="I5" i="11" s="1"/>
  <c r="G4" i="11"/>
  <c r="I4" i="11" s="1"/>
  <c r="G475" i="9"/>
  <c r="C475" i="9"/>
  <c r="F466" i="9"/>
  <c r="E465" i="9"/>
  <c r="E475" i="9" s="1"/>
  <c r="M4" i="11" l="1"/>
  <c r="N5" i="11"/>
  <c r="P5" i="11" s="1"/>
  <c r="I14" i="11"/>
  <c r="N14" i="11" s="1"/>
  <c r="P14" i="11" s="1"/>
  <c r="I23" i="11"/>
  <c r="N23" i="11" s="1"/>
  <c r="P23" i="11" s="1"/>
  <c r="I31" i="11"/>
  <c r="I26" i="11"/>
  <c r="I20" i="11"/>
  <c r="I17" i="11"/>
  <c r="N17" i="11" s="1"/>
  <c r="P17" i="11" s="1"/>
  <c r="F475" i="9"/>
  <c r="G478" i="9" s="1"/>
  <c r="G92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N29" i="11" l="1"/>
  <c r="P29" i="11" s="1"/>
  <c r="N26" i="11"/>
  <c r="P26" i="11" s="1"/>
  <c r="N20" i="11"/>
  <c r="P20" i="11" s="1"/>
  <c r="G446" i="9"/>
  <c r="G460" i="9"/>
  <c r="E432" i="9"/>
  <c r="C245" i="12" l="1"/>
  <c r="P92" i="11"/>
  <c r="P89" i="8"/>
  <c r="R89" i="8" s="1"/>
  <c r="V92" i="8" s="1"/>
  <c r="P85" i="8"/>
  <c r="R85" i="8" s="1"/>
  <c r="G425" i="9"/>
  <c r="F425" i="9"/>
  <c r="E418" i="9"/>
  <c r="E425" i="9" s="1"/>
  <c r="J92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<sst xmlns="http://schemas.openxmlformats.org/spreadsheetml/2006/main" count="4291" uniqueCount="1367">
  <si>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</si>
  <si>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</si>
  <si>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</si>
  <si>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</si>
  <si>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</si>
  <si>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</si>
  <si>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</si>
  <si>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</si>
  <si>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</si>
  <si>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</si>
  <si>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</si>
  <si>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</si>
  <si>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</si>
  <si>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</si>
  <si>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</si>
  <si>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</si>
  <si>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</si>
  <si>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</si>
  <si>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</si>
  <si>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</si>
  <si>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</si>
  <si>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</si>
  <si>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</si>
  <si>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</si>
  <si>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</si>
  <si>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</si>
  <si>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</si>
  <si>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</si>
  <si>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</si>
  <si>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</si>
  <si>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</si>
  <si>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</si>
  <si>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</si>
  <si>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</si>
  <si>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</si>
  <si>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</si>
  <si>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</si>
  <si>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</si>
  <si>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</si>
  <si>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</si>
  <si>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</si>
  <si>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</si>
  <si>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</si>
  <si>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</si>
  <si>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</si>
  <si>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</si>
  <si>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</si>
  <si>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</si>
  <si>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</si>
  <si>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</si>
  <si>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</si>
  <si>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</si>
  <si>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</si>
  <si>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</si>
  <si>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</si>
  <si>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</si>
  <si>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</si>
  <si>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</si>
  <si>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</si>
  <si>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</si>
  <si>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</si>
  <si>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</si>
  <si>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</si>
  <si>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</si>
  <si>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</si>
  <si>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</si>
  <si>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</si>
  <si>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</si>
  <si>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</si>
  <si>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</si>
  <si>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</si>
  <si>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</si>
  <si>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</si>
  <si>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</si>
  <si>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</si>
  <si>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</si>
  <si>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</si>
  <si>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</si>
  <si>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</si>
  <si>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</si>
  <si>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</si>
  <si>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</si>
  <si>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</si>
  <si>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</si>
  <si>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</si>
  <si>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</si>
  <si>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</si>
  <si>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</si>
  <si>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</si>
  <si>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</si>
  <si>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</si>
  <si>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</si>
  <si>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</si>
  <si>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</si>
  <si>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</si>
  <si>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</si>
  <si>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</si>
  <si>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</si>
  <si>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</si>
  <si>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</si>
  <si>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</si>
  <si>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</si>
  <si>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</si>
  <si>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</si>
  <si>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</si>
  <si>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</si>
  <si>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</si>
  <si>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</si>
  <si>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</si>
  <si>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</si>
  <si>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</si>
  <si>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</si>
  <si>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</si>
  <si>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</si>
  <si>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</si>
  <si>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</si>
  <si>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</si>
  <si>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</si>
  <si>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</si>
  <si>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</si>
  <si>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</si>
  <si>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</si>
  <si>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</si>
  <si>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</si>
  <si>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</si>
  <si>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</si>
  <si>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</si>
  <si>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</si>
  <si>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</si>
  <si>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</si>
  <si>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</si>
  <si>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</si>
  <si>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</si>
  <si>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</si>
  <si>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</si>
  <si>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</si>
  <si>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</si>
  <si>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</si>
  <si>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</si>
  <si>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</si>
  <si>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</si>
  <si>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</si>
  <si>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</si>
  <si>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</si>
  <si>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</si>
  <si>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</si>
  <si>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</si>
  <si>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</si>
  <si>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</si>
  <si>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</si>
  <si>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</si>
  <si>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</si>
  <si>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</si>
  <si>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</si>
  <si>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</si>
  <si>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</si>
  <si>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</si>
  <si>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</si>
  <si>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</si>
  <si>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</si>
  <si>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</si>
  <si>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</si>
  <si>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</si>
  <si>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</si>
  <si>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</si>
  <si>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</si>
  <si>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</si>
  <si>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</si>
  <si>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</si>
  <si>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</si>
  <si>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</si>
  <si>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</si>
  <si>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</si>
  <si>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</si>
  <si>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</si>
  <si>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</si>
  <si>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</si>
  <si>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</si>
  <si>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</si>
  <si>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</si>
  <si>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</si>
  <si>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</si>
  <si>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</si>
  <si>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</si>
  <si>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</si>
  <si>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</si>
  <si>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</si>
  <si>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</si>
  <si>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</si>
  <si>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</si>
  <si>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</si>
  <si>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</si>
  <si>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</si>
  <si>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</si>
  <si>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</si>
  <si>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</si>
  <si>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</si>
  <si>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</si>
  <si>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</si>
  <si>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</si>
  <si>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</si>
  <si>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</si>
  <si>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</si>
  <si>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</si>
  <si>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</si>
  <si>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</si>
  <si>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</si>
  <si>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</si>
  <si>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</si>
  <si>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</si>
  <si>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</si>
  <si>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</si>
  <si>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</si>
  <si>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</si>
  <si>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</si>
  <si>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</si>
  <si>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</si>
  <si>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</si>
  <si>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</si>
  <si>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</si>
  <si>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</si>
  <si>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</si>
  <si>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</si>
  <si>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</si>
  <si>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</si>
  <si>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</si>
  <si>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</si>
  <si>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</si>
  <si>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</si>
  <si>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</si>
  <si>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</si>
  <si>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</si>
  <si>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</si>
  <si>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</si>
  <si>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</si>
  <si>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</si>
  <si>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</si>
  <si>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</si>
  <si>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</si>
  <si>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</si>
  <si>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</si>
  <si>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</si>
  <si>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</si>
  <si>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</si>
  <si>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</si>
  <si>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</si>
  <si>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</si>
  <si>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</si>
  <si>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</si>
  <si>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</si>
  <si>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</si>
  <si>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</si>
  <si>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</si>
  <si>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</si>
  <si>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</si>
  <si>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</si>
  <si>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</si>
  <si>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</si>
  <si>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</si>
  <si>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</si>
  <si>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</si>
  <si>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</si>
  <si>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</si>
  <si>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</si>
  <si>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</si>
  <si>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</si>
  <si>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</si>
  <si>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</si>
  <si>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</si>
  <si>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</si>
  <si>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</si>
  <si>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</si>
  <si>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</si>
  <si>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</si>
  <si>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</si>
  <si>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</si>
  <si>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</si>
  <si>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</si>
  <si>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</si>
  <si>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</si>
  <si>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</si>
  <si>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</si>
  <si>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</si>
  <si>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</si>
  <si>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</si>
  <si>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</si>
  <si>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</si>
  <si>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</si>
  <si>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</si>
  <si>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</si>
  <si>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</si>
  <si>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</si>
  <si>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</si>
  <si>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</si>
  <si>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</si>
  <si>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</si>
  <si>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</si>
  <si>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</si>
  <si>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</si>
  <si>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</si>
  <si>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</si>
  <si>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</si>
  <si>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</si>
  <si>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</si>
  <si>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</si>
  <si>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</si>
  <si>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</si>
  <si>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</si>
  <si>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</si>
  <si>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</si>
  <si>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</si>
  <si>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</si>
  <si>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</si>
  <si>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</si>
  <si>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</si>
  <si>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</si>
  <si>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</si>
  <si>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</si>
  <si>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</si>
  <si>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</si>
  <si>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</si>
  <si>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</si>
  <si>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</si>
  <si>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</si>
  <si>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</si>
  <si>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</si>
  <si>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</si>
  <si>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</si>
  <si>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</si>
  <si>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</si>
  <si>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</si>
  <si>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</si>
  <si>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</si>
  <si>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</si>
  <si>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</si>
  <si>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</si>
  <si>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</si>
  <si>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</si>
  <si>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</si>
  <si>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</si>
  <si>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</si>
  <si>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</si>
  <si>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</si>
  <si>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</si>
  <si>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</si>
  <si>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</si>
  <si>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</si>
  <si>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</si>
  <si>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</si>
  <si>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</si>
  <si>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</si>
  <si>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</si>
  <si>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</si>
  <si>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</si>
  <si>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</si>
  <si>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</si>
  <si>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</si>
  <si>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</si>
  <si>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</si>
  <si>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</si>
  <si>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</si>
  <si>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</si>
  <si>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</si>
  <si>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</si>
  <si>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</si>
  <si>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</si>
  <si>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</si>
  <si>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</si>
  <si>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</si>
  <si>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</si>
  <si>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</si>
  <si>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</si>
  <si>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</si>
  <si>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</si>
  <si>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</si>
  <si>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</si>
  <si>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</si>
  <si>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</si>
  <si>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</si>
  <si>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</si>
  <si>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</si>
  <si>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</si>
  <si>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</si>
  <si>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</si>
  <si>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</si>
  <si>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</si>
  <si>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</si>
  <si>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</si>
  <si>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</si>
  <si>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</si>
  <si>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</si>
  <si>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</si>
  <si>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</si>
  <si>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</si>
  <si>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</si>
  <si>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</si>
  <si>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</si>
  <si>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</si>
  <si>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</si>
  <si>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</si>
  <si>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</si>
  <si>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</si>
  <si>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</si>
  <si>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</si>
  <si>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</si>
  <si>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</si>
  <si>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</si>
  <si>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</si>
  <si>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</si>
  <si>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</si>
  <si>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</si>
  <si>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</si>
  <si>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</si>
  <si>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</si>
  <si>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</si>
  <si>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</si>
  <si>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</si>
  <si>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</si>
  <si>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</si>
  <si>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</si>
  <si>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</si>
  <si>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</si>
  <si>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</si>
  <si>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</si>
  <si>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</si>
  <si>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</si>
  <si>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</si>
  <si>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</si>
  <si>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</si>
  <si>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</si>
  <si>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</si>
  <si>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</si>
  <si>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</si>
  <si>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</si>
  <si>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</si>
  <si>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</si>
  <si>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</si>
  <si>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</si>
  <si>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</si>
  <si>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</si>
  <si>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</si>
  <si>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</si>
  <si>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</si>
  <si>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</si>
  <si>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</si>
  <si>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</si>
  <si>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</si>
  <si>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</si>
  <si>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</si>
  <si>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</si>
  <si>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</si>
  <si>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</si>
  <si>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</si>
  <si>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</si>
  <si>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</si>
  <si>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</si>
  <si>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</si>
  <si>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</si>
  <si>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</si>
  <si>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</si>
  <si>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</si>
  <si>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</si>
  <si>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</si>
  <si>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</si>
  <si>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</si>
  <si>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</si>
  <si>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</si>
  <si>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</si>
  <si>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</si>
  <si>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</si>
  <si>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</si>
  <si>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</si>
  <si>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</si>
  <si>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</si>
  <si>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</si>
  <si>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</si>
  <si>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</si>
  <si>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</si>
  <si>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</si>
  <si>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</si>
  <si>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</si>
  <si>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</si>
  <si>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</si>
  <si>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</si>
  <si>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</si>
  <si>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</si>
  <si>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</si>
  <si>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</si>
  <si>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</si>
  <si>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</si>
  <si>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</si>
  <si>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</si>
  <si>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</si>
  <si>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</si>
  <si>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</si>
  <si>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</si>
  <si>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</si>
  <si>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</si>
  <si>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</si>
  <si>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</si>
  <si>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</si>
  <si>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</si>
  <si>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</si>
  <si>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</si>
  <si>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</si>
  <si>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</si>
  <si>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</si>
  <si>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</si>
  <si>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</si>
  <si>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</si>
  <si>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</si>
  <si>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</si>
  <si>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</si>
  <si>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</si>
  <si>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</si>
  <si>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</si>
  <si>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</si>
  <si>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</si>
  <si>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</si>
  <si>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</si>
  <si>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</si>
  <si>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</si>
  <si>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</si>
  <si>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</si>
  <si>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</si>
  <si>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</si>
  <si>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</si>
  <si>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</si>
  <si>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</si>
  <si>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</si>
  <si>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</si>
  <si>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</si>
  <si>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</si>
  <si>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</si>
  <si>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</si>
  <si>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</si>
  <si>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</si>
  <si>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</si>
  <si>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</si>
  <si>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</si>
  <si>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</si>
  <si>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</si>
  <si>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</si>
  <si>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</si>
  <si>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</si>
  <si>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</si>
  <si>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</si>
  <si>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</si>
  <si>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</si>
  <si>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</si>
  <si>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</si>
  <si>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</si>
  <si>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</si>
  <si>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</si>
  <si>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</si>
  <si>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</si>
  <si>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</si>
  <si>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</si>
  <si>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</si>
  <si>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</si>
  <si>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</si>
  <si>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</si>
  <si>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</si>
  <si>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</si>
  <si>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</si>
  <si>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</si>
  <si>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</si>
  <si>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</si>
  <si>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</si>
  <si>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</si>
  <si>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</si>
  <si>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</si>
  <si>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</si>
  <si>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</si>
  <si>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</si>
  <si>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</si>
  <si>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</si>
  <si>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</si>
  <si>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</si>
  <si>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</si>
  <si>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</si>
  <si>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</si>
  <si>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</si>
  <si>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</si>
  <si>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</si>
  <si>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</si>
  <si>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</si>
  <si>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</si>
  <si>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</si>
  <si>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</si>
  <si>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</si>
  <si>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</si>
  <si>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</si>
  <si>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</si>
  <si>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</si>
  <si>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</si>
  <si>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</si>
  <si>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</si>
  <si>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</si>
  <si>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</si>
  <si>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</si>
  <si>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</si>
  <si>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</si>
  <si>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</si>
  <si>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</si>
  <si>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</si>
  <si>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</si>
  <si>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</si>
  <si>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</si>
  <si>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</si>
  <si>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</si>
  <si>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</si>
  <si>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</si>
  <si>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</si>
  <si>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</si>
  <si>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</si>
  <si>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</si>
  <si>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</si>
  <si>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</si>
  <si>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</si>
  <si>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</si>
  <si>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</si>
  <si>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</si>
  <si>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</si>
  <si>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</si>
  <si>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</si>
  <si>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</si>
  <si>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</si>
  <si>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</si>
  <si>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</si>
  <si>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</si>
  <si>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</si>
  <si>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</si>
  <si>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</si>
  <si>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</si>
  <si>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</si>
  <si>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</si>
  <si>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</si>
  <si>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</si>
  <si>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</si>
  <si>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</si>
  <si>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</si>
  <si>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</si>
  <si>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</si>
  <si>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</si>
  <si>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</si>
  <si>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</si>
  <si>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</si>
  <si>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</si>
  <si>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</si>
  <si>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</si>
  <si>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</si>
  <si>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</si>
  <si>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</si>
  <si>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</si>
  <si>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</si>
  <si>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</si>
  <si>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</si>
  <si>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</si>
  <si>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</si>
  <si>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</si>
  <si>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</si>
  <si>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</si>
  <si>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</si>
  <si>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</si>
  <si>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</si>
  <si>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</si>
  <si>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</si>
  <si>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</si>
  <si>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</si>
  <si>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</si>
  <si>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</si>
  <si>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</si>
  <si>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</si>
  <si>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</si>
  <si>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</si>
  <si>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</si>
  <si>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</si>
  <si>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</si>
  <si>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</si>
  <si>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</si>
  <si>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</si>
  <si>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</si>
  <si>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</si>
  <si>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</si>
  <si>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</si>
  <si>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</si>
  <si>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</si>
  <si>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</si>
  <si>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</si>
  <si>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</si>
  <si>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</si>
  <si>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</si>
  <si>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</si>
  <si>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</si>
  <si>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</si>
  <si>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</si>
  <si>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</si>
  <si>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</si>
  <si>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</si>
  <si>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</si>
  <si>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</si>
  <si>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</si>
  <si>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</si>
  <si>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</si>
  <si>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</si>
  <si>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</si>
  <si>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</si>
  <si>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</si>
  <si>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</si>
  <si>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</si>
  <si>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</si>
  <si>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</si>
  <si>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</si>
  <si>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</si>
  <si>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</si>
  <si>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</si>
  <si>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</si>
  <si>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</si>
  <si>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</si>
  <si>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</si>
  <si>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</si>
  <si>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</si>
  <si>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</si>
  <si>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</si>
  <si>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</si>
  <si>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</si>
  <si>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</si>
  <si>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</si>
  <si>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</si>
  <si>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</si>
  <si>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</si>
  <si>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</si>
  <si>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</si>
  <si>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</si>
  <si>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</si>
  <si>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</si>
  <si>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</si>
  <si>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</si>
  <si>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</si>
  <si>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</si>
  <si>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</si>
  <si>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</si>
  <si>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</si>
  <si>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</si>
  <si>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</si>
  <si>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</si>
  <si>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</si>
  <si>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</si>
  <si>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</si>
  <si>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</si>
  <si>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</si>
  <si>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</si>
  <si>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</si>
  <si>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</si>
  <si>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</si>
  <si>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</si>
  <si>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</si>
  <si>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</si>
  <si>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</si>
  <si>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</si>
  <si>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</si>
  <si>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</si>
  <si>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</si>
  <si>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</si>
  <si>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</si>
  <si>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</si>
  <si>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</si>
  <si>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</si>
  <si>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</si>
  <si>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</si>
  <si>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</si>
  <si>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</si>
  <si>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</si>
  <si>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</si>
  <si>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</si>
  <si>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</si>
  <si>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</si>
  <si>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</si>
  <si>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</si>
  <si>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</si>
  <si>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</si>
  <si>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</si>
  <si>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</si>
  <si>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</si>
  <si>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</si>
  <si>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</si>
  <si>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</si>
  <si>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</si>
  <si>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</si>
  <si>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</si>
  <si>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</si>
  <si>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</si>
  <si>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</si>
  <si>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</si>
  <si>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</si>
  <si>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</si>
  <si>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</si>
  <si>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</si>
  <si>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</si>
  <si>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</si>
  <si>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</si>
  <si>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</si>
  <si>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</si>
  <si>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</si>
  <si>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</si>
  <si>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</si>
  <si>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</si>
  <si>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</si>
  <si>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</si>
  <si>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</si>
  <si>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</si>
  <si>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</si>
  <si>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</si>
  <si>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</si>
  <si>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</si>
  <si>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</si>
  <si>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</si>
  <si>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</si>
  <si>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</si>
  <si>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</si>
  <si>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</si>
  <si>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</si>
  <si>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</si>
  <si>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</si>
  <si>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</si>
  <si>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</si>
  <si>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</si>
  <si>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</si>
  <si>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</si>
  <si>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</si>
  <si>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</si>
  <si>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</si>
  <si>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</si>
  <si>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</si>
  <si>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</si>
  <si>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</si>
  <si>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</si>
  <si>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</si>
  <si>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</si>
  <si>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</si>
  <si>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</si>
  <si>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</si>
  <si>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</si>
  <si>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</si>
  <si>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</si>
  <si>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</si>
  <si>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</si>
  <si>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</si>
  <si>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</si>
  <si>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</si>
  <si>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</si>
  <si>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</si>
  <si>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</si>
  <si>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</si>
  <si>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</si>
  <si>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</si>
  <si>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</si>
  <si>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</si>
  <si>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</si>
  <si>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</si>
  <si>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</si>
  <si>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</si>
  <si>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</si>
  <si>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</si>
  <si>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</si>
  <si>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</si>
  <si>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</si>
  <si>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</si>
  <si>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</si>
  <si>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</si>
  <si>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</si>
  <si>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</si>
  <si>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</si>
  <si>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</si>
  <si>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</si>
  <si>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</si>
  <si>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</si>
  <si>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</si>
  <si>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</si>
  <si>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</si>
  <si>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</si>
  <si>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</si>
  <si>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</si>
  <si>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</si>
  <si>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</si>
  <si>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</si>
  <si>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</si>
  <si>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</si>
  <si>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</si>
  <si>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</si>
  <si>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</si>
  <si>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</si>
  <si>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</si>
  <si>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</si>
  <si>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</si>
  <si>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</si>
  <si>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</si>
  <si>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</si>
  <si>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</si>
  <si>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</si>
  <si>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</si>
  <si>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</si>
  <si>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</si>
  <si>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</si>
  <si>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</si>
  <si>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</si>
  <si>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</si>
  <si>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</si>
  <si>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</si>
  <si>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</si>
  <si>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</si>
  <si>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</si>
  <si>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</si>
  <si>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</si>
  <si>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</si>
  <si>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</si>
  <si>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</si>
  <si>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</si>
  <si>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</si>
  <si>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</si>
  <si>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</si>
  <si>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</si>
  <si>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</si>
  <si>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</si>
  <si>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</si>
  <si>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</si>
  <si>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</si>
  <si>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</si>
  <si>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</si>
  <si>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</si>
  <si>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</si>
  <si>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</si>
  <si>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</si>
  <si>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</si>
  <si>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</si>
  <si>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</si>
  <si>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</si>
  <si>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</si>
  <si>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</si>
  <si>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</si>
  <si>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</si>
  <si>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</si>
  <si>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</si>
  <si>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</si>
  <si>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</si>
  <si>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</si>
  <si>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</si>
  <si>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</si>
  <si>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</si>
  <si>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</si>
  <si>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</si>
  <si>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</si>
  <si>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</si>
  <si>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</si>
  <si>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</si>
  <si>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</si>
  <si>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</si>
  <si>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</si>
  <si>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</si>
  <si>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</si>
  <si>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</si>
  <si>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</si>
  <si>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</si>
  <si>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</si>
  <si>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</si>
  <si>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</si>
  <si>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</si>
  <si>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</si>
  <si>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</si>
  <si>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</si>
  <si>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</si>
  <si>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</si>
  <si>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</si>
  <si>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</si>
  <si>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</si>
  <si>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</si>
  <si>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</si>
  <si>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</si>
  <si>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</si>
  <si>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</si>
  <si>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</si>
  <si>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</si>
  <si>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</si>
  <si>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</si>
  <si>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</si>
  <si>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</si>
  <si>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</si>
  <si>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</si>
  <si>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</si>
  <si>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</si>
  <si>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</si>
  <si>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</si>
  <si>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</si>
  <si>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</si>
  <si>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</si>
  <si>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</si>
  <si>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</si>
  <si>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</si>
  <si>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</si>
  <si>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</si>
  <si>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</si>
  <si>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</si>
  <si>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</si>
  <si>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</si>
  <si>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</si>
  <si>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</si>
  <si>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</si>
  <si>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</si>
  <si>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</si>
  <si>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</si>
  <si>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</si>
  <si>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</si>
  <si>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</si>
  <si>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</si>
  <si>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</si>
  <si>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</si>
  <si>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</si>
  <si>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</si>
  <si>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</si>
  <si>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</si>
  <si>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</si>
  <si>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</si>
  <si>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</si>
  <si>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</si>
  <si>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</si>
  <si>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</si>
  <si>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</si>
  <si>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</si>
  <si>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</si>
  <si>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</si>
  <si>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</si>
  <si>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</si>
  <si>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</si>
  <si>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</si>
  <si>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</si>
  <si>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</si>
  <si>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</si>
  <si>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</si>
  <si>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</si>
  <si>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</si>
  <si>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</si>
  <si>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</si>
  <si>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</si>
  <si>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</si>
  <si>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</si>
  <si>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</si>
  <si>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</si>
  <si>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</si>
  <si>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</si>
  <si>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</si>
  <si>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</si>
  <si>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</si>
  <si>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</si>
  <si>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</si>
  <si>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</si>
  <si>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</si>
  <si>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</si>
  <si>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</si>
  <si>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</si>
  <si>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</si>
  <si>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</si>
  <si>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</si>
  <si>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</si>
  <si>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</si>
  <si>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</si>
  <si>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</si>
  <si>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</si>
  <si>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</si>
  <si>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</si>
  <si>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</si>
  <si>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</si>
  <si>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</si>
  <si>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</si>
  <si>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</si>
  <si>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</si>
  <si>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</si>
  <si>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</si>
  <si>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</si>
  <si>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</si>
  <si>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</si>
  <si>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</si>
  <si>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</si>
  <si>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</si>
  <si>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</si>
  <si>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</si>
  <si>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</si>
  <si>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</si>
  <si>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</si>
  <si>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</si>
  <si>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</si>
  <si>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</si>
  <si>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</si>
  <si>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</si>
  <si>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</si>
  <si>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</si>
  <si>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</si>
  <si>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</si>
  <si>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</si>
  <si>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</si>
  <si>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</si>
  <si>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</si>
  <si>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</si>
  <si>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</si>
  <si>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</si>
  <si>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</si>
  <si>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</si>
  <si>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</si>
  <si>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</si>
  <si>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</si>
  <si>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</si>
  <si>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</si>
  <si>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</si>
  <si>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</si>
  <si>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</si>
  <si>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</si>
  <si>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</si>
  <si>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</si>
  <si>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</si>
  <si>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</si>
  <si>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</si>
  <si>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</si>
  <si>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</si>
  <si>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</si>
  <si>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</si>
  <si>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</si>
  <si>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</si>
  <si>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</si>
  <si>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</si>
  <si>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</si>
  <si>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</si>
  <si>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</si>
  <si>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</si>
  <si>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</si>
  <si>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</si>
  <si>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</si>
  <si>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</si>
  <si>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</si>
  <si>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</si>
  <si>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</si>
  <si>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</si>
  <si>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</si>
  <si>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</si>
  <si>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</si>
  <si>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</si>
  <si>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</si>
  <si>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</si>
  <si>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</si>
  <si>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</si>
  <si>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</si>
  <si>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</si>
  <si>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</si>
  <si>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</si>
  <si>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</si>
  <si>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</si>
  <si>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</si>
  <si>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</si>
  <si>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</si>
  <si>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</si>
  <si>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</si>
  <si>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</si>
  <si>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</si>
  <si>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</si>
  <si>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</si>
  <si>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</si>
  <si>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</si>
  <si>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</si>
  <si>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</si>
  <si>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</si>
  <si>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</si>
  <si>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</si>
  <si>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</si>
  <si>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</si>
  <si>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</si>
  <si>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</si>
  <si>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</si>
  <si>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</si>
  <si>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</si>
  <si>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</si>
  <si>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</si>
  <si>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</si>
  <si>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</si>
  <si>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</si>
  <si>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</si>
  <si>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</si>
  <si>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</si>
  <si>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</si>
  <si>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</si>
  <si>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</si>
  <si>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</si>
  <si>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</si>
  <si>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</si>
  <si>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</si>
  <si>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</si>
  <si>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</si>
  <si>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</si>
  <si>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</si>
  <si>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Diệp huệ Trinh</t>
  </si>
  <si>
    <t>03/01/18 Chuyển khoản:</t>
  </si>
  <si>
    <t>Còn lại AL nợ C.Thanh:</t>
  </si>
  <si>
    <t>Tiền hàng 11/01/18</t>
  </si>
  <si>
    <t>Tiền hàng 17/01/18</t>
  </si>
  <si>
    <t>Tiền hàng An Lạc-30/12/17 (1cont): 26.390kg x 48.500đ</t>
  </si>
  <si>
    <t>Tiền hàng An Lạc-30/12/17 (1cont): 26.390kg x 49.000đ</t>
  </si>
  <si>
    <t>TIỀN USD CHƯA CHUYỂN NGÂN HÀNG :</t>
  </si>
  <si>
    <t>USD</t>
  </si>
  <si>
    <t>Tiền hàng An Lạc-20/01/18 (2cont): 52.780kg x 49.500đ</t>
  </si>
  <si>
    <t>30/01/18 Chuyển khoản:</t>
  </si>
  <si>
    <t>Tiền hàng 29/01/18</t>
  </si>
  <si>
    <t>TIỀN CÒN LẠI  :</t>
  </si>
  <si>
    <t>Đậu Văn Định (19/01/18)</t>
  </si>
  <si>
    <t>Hoàng Thị Ly (03/01/18)</t>
  </si>
  <si>
    <t>Đậu Văn Định (01/02/18)</t>
  </si>
  <si>
    <t>01/02/18 Chuyển khoản:</t>
  </si>
  <si>
    <t>TÊN HÀNG</t>
  </si>
  <si>
    <t>KHÔ CÁ CƠM</t>
  </si>
  <si>
    <t>KHÔ CÁ CHỈ</t>
  </si>
  <si>
    <t>KHÔ CÁ CHỈ B</t>
  </si>
  <si>
    <t>Chi phí xuất hàng (Cont 2) 4.500kg (10/1)</t>
  </si>
  <si>
    <t>Chi phí xuất hàng (Cont 3) 6.000kg (18/1)</t>
  </si>
  <si>
    <t>Chi phí xuất hàng (Cont 43 -&gt;56) (14 cont) 68tr</t>
  </si>
  <si>
    <t>Tiền hàng An Lạc-09/02/18: 1566T x 13kg x 49.500đ</t>
  </si>
  <si>
    <t>Tiền hàng An Lạc-09/02/18: 464T x 13kg x 43.000đ</t>
  </si>
  <si>
    <t>Bảo hiểm hàng xuất (2.880.000đ/cont) 9 cont 15/12-30/12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</si>
  <si>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</si>
  <si>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CHỈ TẨM HQ</t>
  </si>
  <si>
    <t>NGÂN MẶN B</t>
  </si>
  <si>
    <t>LIỆT MẶN B</t>
  </si>
  <si>
    <t>CHI PHÍ XUẤT HÀNG &amp; PHÍ CHUYỂN TIỀN:</t>
  </si>
  <si>
    <t>TIỀN HÀNG:</t>
  </si>
  <si>
    <t>Chi phí xuất hàng (Cont 4) 4.758kg (30/1)</t>
  </si>
  <si>
    <t>Chi phí xuất hàng (Cont 1)    280kg (04/1)</t>
  </si>
  <si>
    <t>Tiền hàng 26/02/18</t>
  </si>
  <si>
    <t>Tiền hàng 06/03/18</t>
  </si>
  <si>
    <t>STT cont</t>
  </si>
  <si>
    <t>43-47</t>
  </si>
  <si>
    <t>50-51</t>
  </si>
  <si>
    <t>53-54</t>
  </si>
  <si>
    <t>40-42</t>
  </si>
  <si>
    <t>27/02/18 Chuyển khoản:</t>
  </si>
  <si>
    <t>05/03/18 Chuyển khoản:</t>
  </si>
  <si>
    <t>NGÀY NHẬP</t>
  </si>
  <si>
    <t>Cơm không đầu</t>
  </si>
  <si>
    <t>Cơm xô</t>
  </si>
  <si>
    <t>kg/thùng</t>
  </si>
  <si>
    <t>Tiền hàng 09/03/18</t>
  </si>
  <si>
    <t>CÔNG NỢ - KIM CHÂU :</t>
  </si>
  <si>
    <t>Còn lại AL nợ K.Châu:</t>
  </si>
  <si>
    <t>CÔNG NỢ - C. THANH MN :</t>
  </si>
  <si>
    <t>AL (C.THANH)</t>
  </si>
  <si>
    <t>R</t>
  </si>
  <si>
    <t>61-62</t>
  </si>
  <si>
    <t>63-65</t>
  </si>
  <si>
    <t>AL (K. CHÂU)</t>
  </si>
  <si>
    <t>Tiền còn lại đợt trước</t>
  </si>
  <si>
    <t>Tiền hàng An Lạc-02/03/18: 2030T x 13kg x 49.500đ</t>
  </si>
  <si>
    <t>Tiền hàng An Lạc-03/03/18: 2030T x 13kg x 49.500đ</t>
  </si>
  <si>
    <t>Tiền hàng An Lạc-08/03/18: 10.150T x 13kg x 49.500đ</t>
  </si>
  <si>
    <t>Huỳnh Xuân Sơn (02/03/18)</t>
  </si>
  <si>
    <t>Đinh Thị Hải (13/03/18)</t>
  </si>
  <si>
    <t>Trần Thị Ngọc Lan (13/03/18)</t>
  </si>
  <si>
    <t>Huỳnh Xuân Sơn (08/03/18)</t>
  </si>
  <si>
    <t>CÔNG NỢ - M. TRÍ (CM) :</t>
  </si>
  <si>
    <t>13/03/18 Chuyển khoản:</t>
  </si>
  <si>
    <t>Còn lại AL nợ :</t>
  </si>
  <si>
    <t>09/03/18 Chuyển khoản:</t>
  </si>
  <si>
    <t>CÔNG NỢ - HUNAN :</t>
  </si>
  <si>
    <t>AL</t>
  </si>
  <si>
    <t>67-70</t>
  </si>
  <si>
    <t>71-72</t>
  </si>
  <si>
    <t>Tiền hàng An Lạc-15/03/18: 1.550T x 15kg x 72.000đ</t>
  </si>
  <si>
    <t>Tiền hàng An Lạc-15/03/18: 1.600T x 15kg x 56.000đ</t>
  </si>
  <si>
    <t>Tiền hàng 23/03/18</t>
  </si>
  <si>
    <t>Đậu Văn Định (23/03/18)</t>
  </si>
  <si>
    <t>23/03/18 Chuyển khoản:</t>
  </si>
  <si>
    <t>73-75</t>
  </si>
  <si>
    <t>Chi phí xuất hàng (Cont 57 -&gt;76) (20 cont) 43tr</t>
  </si>
  <si>
    <t>Phí lưu kho hàng C. Thủy:</t>
  </si>
  <si>
    <t>Tiền hàng An Lạc-15/03/18: 8.120T x 13kg x 49.000đ</t>
  </si>
  <si>
    <t>Tiền hàng An Lạc-22/03/18: 4.060T x 13kg x 49.000đ</t>
  </si>
  <si>
    <t>Phí lưu kho hàng C.Thủy</t>
  </si>
  <si>
    <t>Phí lưu kho hàng C.Thanh</t>
  </si>
  <si>
    <t>51D-15617</t>
  </si>
  <si>
    <t>79C-04449</t>
  </si>
  <si>
    <t>51C-79103</t>
  </si>
  <si>
    <t>51C-59920</t>
  </si>
  <si>
    <t>86c-02128</t>
  </si>
  <si>
    <t>Phí lưu kho hàng C. Thanh:</t>
  </si>
  <si>
    <t>Phí bốc xếp hàng C.Thủy (15.000đ/tấn)</t>
  </si>
  <si>
    <t>Phí bốc xếp hàng C.Thanh (15.000đ/tấn)</t>
  </si>
  <si>
    <t>Tiền xe hàng C.Thanh (5cont x 7tr)</t>
  </si>
  <si>
    <t>CL</t>
  </si>
  <si>
    <t>Cơm trắng</t>
  </si>
  <si>
    <t xml:space="preserve">Tiền hàng (4cont): 8120Tx13kgx48.000đ </t>
  </si>
  <si>
    <t xml:space="preserve">Tiền hàng (2cont): 4060Tx13kgx48.500đ </t>
  </si>
  <si>
    <t xml:space="preserve">Tiền hàng AL mua: 895Tx13kgx48.500đ </t>
  </si>
  <si>
    <t xml:space="preserve">Tiền hàng TQ mua 30/12/17: 1984Tx13kgx48.500đ </t>
  </si>
  <si>
    <t xml:space="preserve">Tiền hàng AL mua 24/12/17: 350Tx13kgx48.500đ </t>
  </si>
  <si>
    <t xml:space="preserve">Tiền hàng AL mua 04/01/18: 10Tx13kgx48.500đ </t>
  </si>
  <si>
    <t xml:space="preserve">Tiền hàng AL mua 20/01/18: 4000Tx13kgx49.000đ </t>
  </si>
  <si>
    <t>Nợ cũ:</t>
  </si>
  <si>
    <t>Phí thay thùng 400T x 10.000 (18/01)</t>
  </si>
  <si>
    <t>Tiền hàng 10/04/18</t>
  </si>
  <si>
    <t>Tiền hàng 13/04/18</t>
  </si>
  <si>
    <t>12/4/18: Đậu Văn Định</t>
  </si>
  <si>
    <t>18/4/18: Liang Yan Qun</t>
  </si>
  <si>
    <t>12/4/18: Liang Yan Qun</t>
  </si>
  <si>
    <t>79C-12096</t>
  </si>
  <si>
    <t>79C-12007</t>
  </si>
  <si>
    <t>79C-12008</t>
  </si>
  <si>
    <t>C.T lấy về</t>
  </si>
  <si>
    <t>79C-04644</t>
  </si>
  <si>
    <t>79C-01939</t>
  </si>
  <si>
    <t>86C-04214</t>
  </si>
  <si>
    <t>72C-09799</t>
  </si>
  <si>
    <t>29C-43021</t>
  </si>
  <si>
    <t>72C-11479</t>
  </si>
  <si>
    <t>C.T lấy về:818T</t>
  </si>
  <si>
    <t>86C-08695</t>
  </si>
  <si>
    <t>83C-02308</t>
  </si>
  <si>
    <t>83C-03834</t>
  </si>
  <si>
    <t>26/04/18 Chuyển khoản:</t>
  </si>
  <si>
    <t>Phí chuyển tiền đợt trước: (11.3 tỷ + 15.5 tỷ)*0.033%</t>
  </si>
  <si>
    <t>kg/ thùng</t>
  </si>
  <si>
    <t>Ngày LK</t>
  </si>
  <si>
    <t>Cơm xô (-234.5kg)</t>
  </si>
  <si>
    <t>Cơm xô (-62.5kg)</t>
  </si>
  <si>
    <t>Tiền hàng 03/04/18: 2030T x 13kg x 49.500</t>
  </si>
  <si>
    <t>Tiền hàng 26/04/18: 6090T x 13kg x 49.500</t>
  </si>
  <si>
    <t>Tiền hàng 26/04/18</t>
  </si>
  <si>
    <t>Chi phí xuất hàng (Cont 77 -&gt;84) (8 cont) 45tr</t>
  </si>
  <si>
    <t>28/4/18: Đậu Văn Định</t>
  </si>
  <si>
    <t>Phơi lại hao hụt 6T</t>
  </si>
  <si>
    <t>Phơi lại hao hụt 8T</t>
  </si>
  <si>
    <t>86C-06061</t>
  </si>
  <si>
    <t>86C-07948</t>
  </si>
  <si>
    <t>83C-04753</t>
  </si>
  <si>
    <t>49C-10236</t>
  </si>
  <si>
    <t>86C-09351</t>
  </si>
  <si>
    <t>51C-97214</t>
  </si>
  <si>
    <t>86C-05757</t>
  </si>
  <si>
    <t>86C-09830</t>
  </si>
  <si>
    <t>86C-62827</t>
  </si>
  <si>
    <t>Chi phí xuất hàng (Cont 85 -&gt;94) (10 cont) 45tr</t>
  </si>
  <si>
    <t>10/05/18 Chuyển khoản:</t>
  </si>
  <si>
    <t>12/05/18 Chuyển khoản:</t>
  </si>
  <si>
    <t>Tiền hàng 11/05/18</t>
  </si>
  <si>
    <t>Tiền hàng 26/04/18: 344T x 13kg x 52.000</t>
  </si>
  <si>
    <t>Tiền hàng 26/04/18: 1686T x 13kg x 52.000</t>
  </si>
  <si>
    <t>Tiền hàng 07/05/18: 4060T x 13kg x 51.000</t>
  </si>
  <si>
    <t>Tiền hàng 07/05/18: 4060T x 13kg x 49.000</t>
  </si>
  <si>
    <t>Tiền hàng 12/05/18 C.Thanh: 6090T x 13kg x 47.500</t>
  </si>
  <si>
    <t>Tiền hàng 12/05/18 M. Tâm: 6090T x 13kg x 47.500</t>
  </si>
  <si>
    <t>Phí lưu kho hàng C.Thanh ( 1166T x 50ngay x 15.000 ):</t>
  </si>
  <si>
    <t>14/05/18 Chuyển khoản:</t>
  </si>
  <si>
    <t>C. Thủy tạm ứng :</t>
  </si>
  <si>
    <t>Còn lại AL nợ M. Tâm:</t>
  </si>
  <si>
    <t>CÔNG NỢ - MINH TÂM :</t>
  </si>
  <si>
    <t>Phơi lại hao hụt 10T</t>
  </si>
  <si>
    <t>Tiền hàng An Lạc: 1232T x 13kg x 52.000</t>
  </si>
  <si>
    <t>Bớt giá 48T x 13 x 3.500 :</t>
  </si>
  <si>
    <t>Bớt giá 810T x 13 x 1.500 :</t>
  </si>
  <si>
    <t>TC:</t>
  </si>
  <si>
    <t>Chi phí lựa hàng 3 ngày:</t>
  </si>
  <si>
    <t>Tiền hàng 23/05/18</t>
  </si>
  <si>
    <t>Tiền hàng 25/05/18</t>
  </si>
  <si>
    <t>Phí báo có tiền về ngân hàng (110USD/lần) 10 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</si>
</sst>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985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43" fontId="5" fillId="0" borderId="0" xfId="0" applyNumberFormat="1" applyFont="1"/>
    <xf numFmtId="0" fontId="28" fillId="0" borderId="2" xfId="0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3" fontId="4" fillId="0" borderId="0" xfId="1" applyFont="1"/>
    <xf numFmtId="0" fontId="32" fillId="0" borderId="3" xfId="0" applyFont="1" applyBorder="1" applyAlignment="1">
      <alignment horizontal="center" vertical="center"/>
    </xf>
    <xf numFmtId="172" fontId="28" fillId="0" borderId="2" xfId="1" applyNumberFormat="1" applyFont="1" applyBorder="1" applyAlignment="1">
      <alignment vertical="center"/>
    </xf>
    <xf numFmtId="172" fontId="28" fillId="0" borderId="3" xfId="1" applyNumberFormat="1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28" fillId="0" borderId="12" xfId="22" applyFont="1" applyBorder="1" applyAlignment="1">
      <alignment vertical="center"/>
    </xf>
    <xf numFmtId="0" fontId="28" fillId="0" borderId="13" xfId="22" applyFont="1" applyBorder="1" applyAlignment="1">
      <alignment vertical="center"/>
    </xf>
    <xf numFmtId="164" fontId="28" fillId="0" borderId="12" xfId="1" applyNumberFormat="1" applyFont="1" applyBorder="1" applyAlignment="1">
      <alignment vertical="center"/>
    </xf>
    <xf numFmtId="164" fontId="28" fillId="0" borderId="13" xfId="1" applyNumberFormat="1" applyFont="1" applyBorder="1" applyAlignment="1">
      <alignment vertical="center"/>
    </xf>
    <xf numFmtId="172" fontId="4" fillId="0" borderId="1" xfId="1" applyNumberFormat="1" applyFont="1" applyBorder="1" applyAlignment="1">
      <alignment horizontal="center" vertical="center"/>
    </xf>
    <xf numFmtId="0" fontId="28" fillId="0" borderId="12" xfId="22" applyFont="1" applyBorder="1" applyAlignment="1">
      <alignment horizontal="center" vertical="center"/>
    </xf>
    <xf numFmtId="0" fontId="28" fillId="0" borderId="1" xfId="22" applyFont="1" applyBorder="1" applyAlignment="1">
      <alignment horizontal="center" vertical="center"/>
    </xf>
    <xf numFmtId="164" fontId="28" fillId="0" borderId="12" xfId="22" applyNumberFormat="1" applyFont="1" applyBorder="1" applyAlignment="1">
      <alignment vertical="center"/>
    </xf>
    <xf numFmtId="164" fontId="28" fillId="0" borderId="3" xfId="22" applyNumberFormat="1" applyFont="1" applyBorder="1" applyAlignment="1">
      <alignment vertical="center"/>
    </xf>
    <xf numFmtId="164" fontId="5" fillId="0" borderId="14" xfId="0" applyNumberFormat="1" applyFont="1" applyBorder="1"/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5" fillId="0" borderId="0" xfId="0" applyNumberFormat="1" applyFont="1" applyBorder="1"/>
    <xf numFmtId="164" fontId="40" fillId="0" borderId="0" xfId="1" applyNumberFormat="1" applyFont="1" applyBorder="1"/>
    <xf numFmtId="0" fontId="0" fillId="0" borderId="0" xfId="0" applyBorder="1"/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0" xfId="22" applyFont="1" applyBorder="1" applyAlignment="1">
      <alignment vertical="center"/>
    </xf>
    <xf numFmtId="0" fontId="5" fillId="0" borderId="0" xfId="0" applyFont="1" applyBorder="1"/>
    <xf numFmtId="164" fontId="5" fillId="0" borderId="0" xfId="1" applyNumberFormat="1" applyFont="1" applyBorder="1"/>
    <xf numFmtId="0" fontId="42" fillId="0" borderId="0" xfId="0" applyFont="1"/>
    <xf numFmtId="164" fontId="5" fillId="0" borderId="14" xfId="1" applyNumberFormat="1" applyFont="1" applyBorder="1"/>
    <xf numFmtId="172" fontId="4" fillId="0" borderId="0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22" applyFont="1" applyBorder="1" applyAlignment="1">
      <alignment horizontal="left" vertical="center"/>
    </xf>
    <xf numFmtId="164" fontId="28" fillId="0" borderId="0" xfId="1" applyNumberFormat="1" applyFont="1" applyBorder="1" applyAlignment="1">
      <alignment vertical="center"/>
    </xf>
    <xf numFmtId="172" fontId="28" fillId="0" borderId="0" xfId="1" applyNumberFormat="1" applyFont="1" applyBorder="1" applyAlignment="1">
      <alignment vertical="center"/>
    </xf>
    <xf numFmtId="164" fontId="28" fillId="0" borderId="0" xfId="22" applyNumberFormat="1" applyFont="1" applyBorder="1" applyAlignment="1">
      <alignment vertical="center"/>
    </xf>
    <xf numFmtId="164" fontId="27" fillId="0" borderId="0" xfId="1" applyNumberFormat="1" applyFont="1" applyBorder="1" applyAlignment="1">
      <alignment vertical="center"/>
    </xf>
    <xf numFmtId="0" fontId="27" fillId="0" borderId="0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7" fillId="0" borderId="14" xfId="1" applyNumberFormat="1" applyFont="1" applyBorder="1" applyAlignment="1">
      <alignment vertical="center"/>
    </xf>
    <xf numFmtId="0" fontId="28" fillId="0" borderId="5" xfId="22" applyFont="1" applyBorder="1" applyAlignment="1">
      <alignment horizontal="center" vertical="center"/>
    </xf>
    <xf numFmtId="0" fontId="28" fillId="0" borderId="4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27" fillId="0" borderId="0" xfId="22" applyFont="1" applyBorder="1" applyAlignment="1">
      <alignment horizontal="center" vertical="center" wrapText="1"/>
    </xf>
    <xf numFmtId="0" fontId="28" fillId="0" borderId="0" xfId="22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4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108"/>
  <sheetViews>
    <sheetView tabSelected="1" topLeftCell="K49" zoomScale="90" zoomScaleNormal="90" workbookViewId="0">
      <selection activeCell="Q104" sqref="Q104"/>
    </sheetView>
  </sheetViews>
  <sheetFormatPr defaultColWidth="9.140625" defaultRowHeight="15" customHeight="1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3.7109375" customWidth="1"/>
    <col min="14" max="14" width="4.85546875" customWidth="1"/>
    <col min="15" max="16" width="8.7109375" customWidth="1"/>
    <col min="17" max="17" width="17.5703125" customWidth="1"/>
    <col min="18" max="18" width="9" customWidth="1"/>
    <col min="19" max="19" width="6" customWidth="1"/>
    <col min="20" max="20" width="11" bestFit="1" customWidth="1"/>
    <col min="21" max="21" width="7.7109375" customWidth="1"/>
    <col min="22" max="22" width="17" customWidth="1"/>
    <col min="23" max="23" width="15" customWidth="1"/>
    <col min="24" max="24" width="3.5703125" customWidth="1"/>
    <col min="25" max="25" width="4.85546875" customWidth="1"/>
    <col min="26" max="27" width="8.7109375" customWidth="1"/>
    <col min="28" max="28" width="17.5703125" customWidth="1"/>
    <col min="29" max="29" width="9" customWidth="1"/>
    <col min="30" max="30" width="6" customWidth="1"/>
    <col min="31" max="31" width="11" bestFit="1" customWidth="1"/>
    <col min="32" max="32" width="7.7109375" customWidth="1"/>
    <col min="33" max="33" width="17" customWidth="1"/>
    <col min="34" max="34" width="15" customWidth="1"/>
  </cols>
  <sheetData>
    <row r="1" spans="1:34" s="335" customFormat="1" ht="15" customHeight="1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  <c r="Y1" s="797"/>
      <c r="Z1" s="797"/>
      <c r="AA1" s="797"/>
      <c r="AB1" s="797"/>
      <c r="AC1" s="797"/>
      <c r="AD1" s="797"/>
      <c r="AE1" s="797"/>
      <c r="AF1" s="797"/>
      <c r="AG1" s="797"/>
      <c r="AH1" s="797"/>
    </row>
    <row r="2" spans="1:34" s="335" customFormat="1" ht="15" customHeight="1">
      <c r="A2" s="559"/>
      <c r="B2" s="849" t="s">
        <v>0</v>
      </c>
      <c r="C2" s="849" t="s">
        <v>30</v>
      </c>
      <c r="D2" s="849" t="s">
        <v>31</v>
      </c>
      <c r="E2" s="849" t="s">
        <v>725</v>
      </c>
      <c r="F2" s="849" t="s">
        <v>103</v>
      </c>
      <c r="G2" s="849" t="s">
        <v>32</v>
      </c>
      <c r="H2" s="853" t="s">
        <v>83</v>
      </c>
      <c r="I2" s="854"/>
      <c r="J2" s="850" t="s">
        <v>33</v>
      </c>
      <c r="K2" s="852" t="s">
        <v>106</v>
      </c>
      <c r="L2" s="852" t="s">
        <v>9</v>
      </c>
      <c r="M2" s="559"/>
      <c r="Y2" s="797"/>
      <c r="Z2" s="797"/>
      <c r="AA2" s="797"/>
      <c r="AB2" s="797"/>
      <c r="AC2" s="797"/>
      <c r="AD2" s="797"/>
      <c r="AE2" s="797"/>
      <c r="AF2" s="797"/>
      <c r="AG2" s="797"/>
      <c r="AH2" s="797"/>
    </row>
    <row r="3" spans="1:34" s="335" customFormat="1" ht="15" customHeight="1">
      <c r="A3" s="559"/>
      <c r="B3" s="849"/>
      <c r="C3" s="849"/>
      <c r="D3" s="849"/>
      <c r="E3" s="849"/>
      <c r="F3" s="849"/>
      <c r="G3" s="849"/>
      <c r="H3" s="855"/>
      <c r="I3" s="856"/>
      <c r="J3" s="851"/>
      <c r="K3" s="852"/>
      <c r="L3" s="852"/>
      <c r="M3" s="559"/>
      <c r="Y3" s="797"/>
      <c r="Z3" s="797"/>
      <c r="AA3" s="797"/>
      <c r="AB3" s="797"/>
      <c r="AC3" s="797"/>
      <c r="AD3" s="797"/>
      <c r="AE3" s="797"/>
      <c r="AF3" s="797"/>
      <c r="AG3" s="797"/>
      <c r="AH3" s="797"/>
    </row>
    <row r="4" spans="1:34" s="335" customFormat="1" ht="15" customHeight="1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  <c r="Y4" s="797"/>
      <c r="Z4" s="797"/>
      <c r="AA4" s="797"/>
      <c r="AB4" s="797"/>
      <c r="AC4" s="797"/>
      <c r="AD4" s="797"/>
      <c r="AE4" s="797"/>
      <c r="AF4" s="797"/>
      <c r="AG4" s="797"/>
      <c r="AH4" s="797"/>
    </row>
    <row r="5" spans="1:34" s="335" customFormat="1" ht="15" customHeight="1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  <c r="Y5" s="797"/>
      <c r="Z5" s="797"/>
      <c r="AA5" s="797"/>
      <c r="AB5" s="797"/>
      <c r="AC5" s="797"/>
      <c r="AD5" s="797"/>
      <c r="AE5" s="797"/>
      <c r="AF5" s="797"/>
      <c r="AG5" s="797"/>
      <c r="AH5" s="797"/>
    </row>
    <row r="6" spans="1:34" s="335" customFormat="1" ht="15" customHeight="1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  <c r="Y6" s="797"/>
      <c r="Z6" s="797"/>
      <c r="AA6" s="797"/>
      <c r="AB6" s="797"/>
      <c r="AC6" s="797"/>
      <c r="AD6" s="797"/>
      <c r="AE6" s="797"/>
      <c r="AF6" s="797"/>
      <c r="AG6" s="797"/>
      <c r="AH6" s="797"/>
    </row>
    <row r="7" spans="1:34" s="335" customFormat="1" ht="15" customHeight="1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  <c r="Y7" s="797"/>
      <c r="Z7" s="797"/>
      <c r="AA7" s="797"/>
      <c r="AB7" s="797"/>
      <c r="AC7" s="797"/>
      <c r="AD7" s="797"/>
      <c r="AE7" s="797"/>
      <c r="AF7" s="797"/>
      <c r="AG7" s="797"/>
      <c r="AH7" s="797"/>
    </row>
    <row r="8" spans="1:34" s="335" customFormat="1" ht="15" customHeight="1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  <c r="Y8" s="797"/>
      <c r="Z8" s="797"/>
      <c r="AA8" s="797"/>
      <c r="AB8" s="797"/>
      <c r="AC8" s="797"/>
      <c r="AD8" s="797"/>
      <c r="AE8" s="797"/>
      <c r="AF8" s="797"/>
      <c r="AG8" s="797"/>
      <c r="AH8" s="797"/>
    </row>
    <row r="9" spans="1:34" s="335" customFormat="1" ht="1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  <c r="Y9" s="797"/>
      <c r="Z9" s="797"/>
      <c r="AA9" s="797"/>
      <c r="AB9" s="797"/>
      <c r="AC9" s="797"/>
      <c r="AD9" s="797"/>
      <c r="AE9" s="797"/>
      <c r="AF9" s="797"/>
      <c r="AG9" s="797"/>
      <c r="AH9" s="797"/>
    </row>
    <row r="10" spans="1:34" s="335" customFormat="1" ht="15" customHeight="1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</row>
    <row r="11" spans="1:34" s="335" customFormat="1" ht="15" customHeight="1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  <c r="Y11" s="797"/>
      <c r="Z11" s="797"/>
      <c r="AA11" s="797"/>
      <c r="AB11" s="797"/>
      <c r="AC11" s="797"/>
      <c r="AD11" s="797"/>
      <c r="AE11" s="797"/>
      <c r="AF11" s="797"/>
      <c r="AG11" s="797"/>
      <c r="AH11" s="797"/>
    </row>
    <row r="12" spans="1:34" s="335" customFormat="1" ht="15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  <c r="Y12" s="797"/>
      <c r="Z12" s="797"/>
      <c r="AA12" s="797"/>
      <c r="AB12" s="797"/>
      <c r="AC12" s="797"/>
      <c r="AD12" s="797"/>
      <c r="AE12" s="797"/>
      <c r="AF12" s="797"/>
      <c r="AG12" s="797"/>
      <c r="AH12" s="797"/>
    </row>
    <row r="13" spans="1:34" s="335" customFormat="1" ht="15" customHeight="1">
      <c r="A13" s="559"/>
      <c r="B13" s="560"/>
      <c r="C13" s="679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  <c r="Y13" s="797"/>
      <c r="Z13" s="797"/>
      <c r="AA13" s="797"/>
      <c r="AB13" s="797"/>
      <c r="AC13" s="797"/>
      <c r="AD13" s="797"/>
      <c r="AE13" s="797"/>
      <c r="AF13" s="797"/>
      <c r="AG13" s="797"/>
      <c r="AH13" s="797"/>
    </row>
    <row r="14" spans="1:34" s="335" customFormat="1" ht="15" customHeight="1">
      <c r="A14" s="559"/>
      <c r="B14" s="334"/>
      <c r="C14" s="352" t="s">
        <v>1179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  <c r="N14" s="352" t="s">
        <v>1248</v>
      </c>
      <c r="Y14" s="837"/>
      <c r="Z14" s="797"/>
      <c r="AA14" s="797"/>
      <c r="AB14" s="797"/>
      <c r="AC14" s="797"/>
      <c r="AD14" s="797"/>
      <c r="AE14" s="797"/>
      <c r="AF14" s="797"/>
      <c r="AG14" s="797"/>
      <c r="AH14" s="797"/>
    </row>
    <row r="15" spans="1:34" s="335" customFormat="1" ht="15" customHeight="1">
      <c r="A15" s="559"/>
      <c r="B15" s="849" t="s">
        <v>0</v>
      </c>
      <c r="C15" s="849" t="s">
        <v>30</v>
      </c>
      <c r="D15" s="849" t="s">
        <v>31</v>
      </c>
      <c r="E15" s="849" t="s">
        <v>725</v>
      </c>
      <c r="F15" s="849" t="s">
        <v>103</v>
      </c>
      <c r="G15" s="849" t="s">
        <v>32</v>
      </c>
      <c r="H15" s="853" t="s">
        <v>83</v>
      </c>
      <c r="I15" s="854"/>
      <c r="J15" s="850" t="s">
        <v>33</v>
      </c>
      <c r="K15" s="852" t="s">
        <v>106</v>
      </c>
      <c r="L15" s="852" t="s">
        <v>9</v>
      </c>
      <c r="M15" s="559"/>
      <c r="N15" s="849" t="s">
        <v>0</v>
      </c>
      <c r="O15" s="849" t="s">
        <v>1241</v>
      </c>
      <c r="P15" s="849" t="s">
        <v>1</v>
      </c>
      <c r="Q15" s="849" t="s">
        <v>21</v>
      </c>
      <c r="R15" s="849" t="s">
        <v>83</v>
      </c>
      <c r="S15" s="849" t="s">
        <v>1244</v>
      </c>
      <c r="T15" s="849" t="s">
        <v>7</v>
      </c>
      <c r="U15" s="849" t="s">
        <v>8</v>
      </c>
      <c r="V15" s="849" t="s">
        <v>9</v>
      </c>
      <c r="W15" s="849" t="s">
        <v>82</v>
      </c>
      <c r="Y15" s="862"/>
      <c r="Z15" s="862"/>
      <c r="AA15" s="862"/>
      <c r="AB15" s="862"/>
      <c r="AC15" s="862"/>
      <c r="AD15" s="862"/>
      <c r="AE15" s="862"/>
      <c r="AF15" s="862"/>
      <c r="AG15" s="862"/>
      <c r="AH15" s="862"/>
    </row>
    <row r="16" spans="1:34" s="335" customFormat="1" ht="15" customHeight="1">
      <c r="A16" s="559"/>
      <c r="B16" s="849"/>
      <c r="C16" s="849"/>
      <c r="D16" s="849"/>
      <c r="E16" s="849"/>
      <c r="F16" s="849"/>
      <c r="G16" s="849"/>
      <c r="H16" s="855"/>
      <c r="I16" s="856"/>
      <c r="J16" s="851"/>
      <c r="K16" s="852"/>
      <c r="L16" s="852"/>
      <c r="M16" s="559"/>
      <c r="N16" s="849"/>
      <c r="O16" s="849"/>
      <c r="P16" s="849"/>
      <c r="Q16" s="849"/>
      <c r="R16" s="849"/>
      <c r="S16" s="849"/>
      <c r="T16" s="849"/>
      <c r="U16" s="849"/>
      <c r="V16" s="849"/>
      <c r="W16" s="849"/>
      <c r="Y16" s="862"/>
      <c r="Z16" s="862"/>
      <c r="AA16" s="862"/>
      <c r="AB16" s="862"/>
      <c r="AC16" s="862"/>
      <c r="AD16" s="862"/>
      <c r="AE16" s="862"/>
      <c r="AF16" s="862"/>
      <c r="AG16" s="862"/>
      <c r="AH16" s="862"/>
    </row>
    <row r="17" spans="1:34" s="335" customFormat="1" ht="15" customHeight="1">
      <c r="A17" s="559"/>
      <c r="B17" s="489">
        <v>1</v>
      </c>
      <c r="C17" s="355">
        <v>42972</v>
      </c>
      <c r="D17" s="355">
        <v>43069</v>
      </c>
      <c r="E17" s="513"/>
      <c r="F17" s="857" t="s">
        <v>1191</v>
      </c>
      <c r="G17" s="705">
        <f>IF(D17&lt;&gt;"",D17-C17+1,IF(E17&lt;&gt;"",E17-C17+1,""))</f>
        <v>98</v>
      </c>
      <c r="H17" s="702">
        <f>13038-H26-SUM(H27:H31)</f>
        <v>497</v>
      </c>
      <c r="I17" s="702">
        <f t="shared" ref="I17" si="6">IF(D17&lt;&gt;"",H17,0)</f>
        <v>497</v>
      </c>
      <c r="J17" s="703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  <c r="N17" s="489"/>
      <c r="O17" s="355"/>
      <c r="P17" s="355"/>
      <c r="Q17" s="253" t="s">
        <v>1242</v>
      </c>
      <c r="R17" s="310">
        <v>271</v>
      </c>
      <c r="S17" s="310">
        <v>13</v>
      </c>
      <c r="T17" s="756">
        <f t="shared" ref="T17:T38" si="9">R17*S17</f>
        <v>3523</v>
      </c>
      <c r="U17" s="310">
        <v>49000</v>
      </c>
      <c r="V17" s="766">
        <f t="shared" ref="V17:V38" si="10">T17*U17</f>
        <v>172627000</v>
      </c>
      <c r="W17" s="253"/>
      <c r="Y17" s="410"/>
      <c r="Z17" s="409"/>
      <c r="AA17" s="409"/>
      <c r="AB17" s="797"/>
      <c r="AC17" s="838"/>
      <c r="AD17" s="838"/>
      <c r="AE17" s="839"/>
      <c r="AF17" s="838"/>
      <c r="AG17" s="840"/>
      <c r="AH17" s="797"/>
    </row>
    <row r="18" spans="1:34" s="335" customFormat="1" ht="15" customHeight="1">
      <c r="A18" s="559"/>
      <c r="B18" s="489">
        <v>2</v>
      </c>
      <c r="C18" s="355">
        <v>42973</v>
      </c>
      <c r="D18" s="355">
        <v>43069</v>
      </c>
      <c r="E18" s="513"/>
      <c r="F18" s="858"/>
      <c r="G18" s="705">
        <f>IF(D18&lt;&gt;"",D18-C18+1,IF(E18&lt;&gt;"",E18-C18+1,""))</f>
        <v>97</v>
      </c>
      <c r="H18" s="702">
        <v>1000</v>
      </c>
      <c r="I18" s="702">
        <f t="shared" ref="I18:I35" si="11">IF(D18&lt;&gt;"",H18,0)</f>
        <v>1000</v>
      </c>
      <c r="J18" s="703">
        <f t="shared" ref="J18" si="12">H18*13</f>
        <v>13000</v>
      </c>
      <c r="K18" s="357">
        <f t="shared" ref="K18" si="13">IF(G18&lt;&gt;"",20000,0)</f>
        <v>20000</v>
      </c>
      <c r="L18" s="357">
        <f>IF(G18&lt;&gt;"",K18*J18*G18/1000,"")</f>
        <v>25220000</v>
      </c>
      <c r="M18" s="559"/>
      <c r="N18" s="489"/>
      <c r="O18" s="355"/>
      <c r="P18" s="355"/>
      <c r="Q18" s="253" t="s">
        <v>1242</v>
      </c>
      <c r="R18" s="310">
        <v>114</v>
      </c>
      <c r="S18" s="310">
        <v>13</v>
      </c>
      <c r="T18" s="756">
        <f t="shared" si="9"/>
        <v>1482</v>
      </c>
      <c r="U18" s="310">
        <v>49000</v>
      </c>
      <c r="V18" s="766">
        <f t="shared" si="10"/>
        <v>72618000</v>
      </c>
      <c r="W18" s="253"/>
      <c r="Y18" s="410"/>
      <c r="Z18" s="409"/>
      <c r="AA18" s="409"/>
      <c r="AB18" s="797"/>
      <c r="AC18" s="838"/>
      <c r="AD18" s="838"/>
      <c r="AE18" s="839"/>
      <c r="AF18" s="838"/>
      <c r="AG18" s="840"/>
      <c r="AH18" s="797"/>
    </row>
    <row r="19" spans="1:34" s="335" customFormat="1" ht="15" customHeight="1">
      <c r="A19" s="559"/>
      <c r="B19" s="489">
        <v>3</v>
      </c>
      <c r="C19" s="355">
        <v>42974</v>
      </c>
      <c r="D19" s="355">
        <v>43069</v>
      </c>
      <c r="E19" s="513"/>
      <c r="F19" s="858"/>
      <c r="G19" s="705">
        <f t="shared" ref="G19:G20" si="14">IF(D19&lt;&gt;"",D19-C19+1,IF(E19&lt;&gt;"",E19-C19+1,""))</f>
        <v>96</v>
      </c>
      <c r="H19" s="702">
        <v>1441</v>
      </c>
      <c r="I19" s="702">
        <f t="shared" si="11"/>
        <v>1441</v>
      </c>
      <c r="J19" s="703">
        <f t="shared" si="7"/>
        <v>18733</v>
      </c>
      <c r="K19" s="357">
        <f t="shared" si="8"/>
        <v>20000</v>
      </c>
      <c r="L19" s="357">
        <f t="shared" ref="L19:L20" si="15">IF(G19&lt;&gt;"",K19*J19*G19/1000,"")</f>
        <v>35967360</v>
      </c>
      <c r="M19" s="559"/>
      <c r="N19" s="489"/>
      <c r="O19" s="355"/>
      <c r="P19" s="355"/>
      <c r="Q19" s="253" t="s">
        <v>1292</v>
      </c>
      <c r="R19" s="310">
        <v>60</v>
      </c>
      <c r="S19" s="310">
        <v>13</v>
      </c>
      <c r="T19" s="756">
        <f t="shared" si="9"/>
        <v>780</v>
      </c>
      <c r="U19" s="310">
        <v>35000</v>
      </c>
      <c r="V19" s="766">
        <f t="shared" si="10"/>
        <v>27300000</v>
      </c>
      <c r="W19" s="253"/>
      <c r="Y19" s="410"/>
      <c r="Z19" s="409"/>
      <c r="AA19" s="409"/>
      <c r="AB19" s="797"/>
      <c r="AC19" s="838"/>
      <c r="AD19" s="838"/>
      <c r="AE19" s="839"/>
      <c r="AF19" s="838"/>
      <c r="AG19" s="840"/>
      <c r="AH19" s="797"/>
    </row>
    <row r="20" spans="1:34" s="335" customFormat="1" ht="15" customHeight="1">
      <c r="A20" s="559"/>
      <c r="B20" s="489">
        <v>4</v>
      </c>
      <c r="C20" s="355">
        <v>42975</v>
      </c>
      <c r="D20" s="355">
        <v>43069</v>
      </c>
      <c r="E20" s="513"/>
      <c r="F20" s="858"/>
      <c r="G20" s="705">
        <f t="shared" si="14"/>
        <v>95</v>
      </c>
      <c r="H20" s="702">
        <v>1122</v>
      </c>
      <c r="I20" s="702">
        <f t="shared" si="11"/>
        <v>1122</v>
      </c>
      <c r="J20" s="703">
        <f t="shared" si="7"/>
        <v>14586</v>
      </c>
      <c r="K20" s="357">
        <f t="shared" si="8"/>
        <v>20000</v>
      </c>
      <c r="L20" s="357">
        <f t="shared" si="15"/>
        <v>27713400</v>
      </c>
      <c r="M20" s="559"/>
      <c r="N20" s="489">
        <v>8</v>
      </c>
      <c r="O20" s="355">
        <v>43140</v>
      </c>
      <c r="P20" s="355">
        <v>43140</v>
      </c>
      <c r="Q20" s="253" t="s">
        <v>1242</v>
      </c>
      <c r="R20" s="310">
        <v>1570</v>
      </c>
      <c r="S20" s="310">
        <v>13</v>
      </c>
      <c r="T20" s="756">
        <f t="shared" si="9"/>
        <v>20410</v>
      </c>
      <c r="U20" s="310">
        <v>49000</v>
      </c>
      <c r="V20" s="766">
        <f t="shared" si="10"/>
        <v>1000090000</v>
      </c>
      <c r="W20" s="253"/>
      <c r="Y20" s="410"/>
      <c r="Z20" s="409"/>
      <c r="AA20" s="409"/>
      <c r="AB20" s="797"/>
      <c r="AC20" s="838"/>
      <c r="AD20" s="838"/>
      <c r="AE20" s="839"/>
      <c r="AF20" s="838"/>
      <c r="AG20" s="840"/>
      <c r="AH20" s="797"/>
    </row>
    <row r="21" spans="1:34" s="335" customFormat="1" ht="15" customHeight="1">
      <c r="A21" s="559"/>
      <c r="B21" s="489">
        <v>5</v>
      </c>
      <c r="C21" s="355">
        <v>42975</v>
      </c>
      <c r="D21" s="355">
        <v>43083</v>
      </c>
      <c r="E21" s="513"/>
      <c r="F21" s="858"/>
      <c r="G21" s="705">
        <f t="shared" ref="G21" si="16">IF(D21&lt;&gt;"",D21-C21+1,IF(E21&lt;&gt;"",E21-C21+1,""))</f>
        <v>109</v>
      </c>
      <c r="H21" s="702">
        <f>1173-H20</f>
        <v>51</v>
      </c>
      <c r="I21" s="702">
        <f t="shared" ref="I21" si="17">IF(D21&lt;&gt;"",H21,0)</f>
        <v>51</v>
      </c>
      <c r="J21" s="703">
        <f t="shared" ref="J21" si="18">H21*13</f>
        <v>663</v>
      </c>
      <c r="K21" s="357">
        <f t="shared" ref="K21" si="19">IF(G21&lt;&gt;"",20000,0)</f>
        <v>20000</v>
      </c>
      <c r="L21" s="357">
        <f t="shared" ref="L21" si="20">IF(G21&lt;&gt;"",K21*J21*G21/1000,"")</f>
        <v>1445340</v>
      </c>
      <c r="M21" s="559"/>
      <c r="N21" s="489">
        <v>9</v>
      </c>
      <c r="O21" s="355">
        <v>43155</v>
      </c>
      <c r="P21" s="355">
        <v>43161</v>
      </c>
      <c r="Q21" s="253" t="s">
        <v>1242</v>
      </c>
      <c r="R21" s="310">
        <v>2030</v>
      </c>
      <c r="S21" s="310">
        <v>13</v>
      </c>
      <c r="T21" s="756">
        <f t="shared" si="9"/>
        <v>26390</v>
      </c>
      <c r="U21" s="310">
        <v>49500</v>
      </c>
      <c r="V21" s="766">
        <f t="shared" si="10"/>
        <v>1306305000</v>
      </c>
      <c r="W21" s="253"/>
      <c r="Y21" s="410"/>
      <c r="Z21" s="409"/>
      <c r="AA21" s="409"/>
      <c r="AB21" s="797"/>
      <c r="AC21" s="838"/>
      <c r="AD21" s="838"/>
      <c r="AE21" s="839"/>
      <c r="AF21" s="838"/>
      <c r="AG21" s="840"/>
      <c r="AH21" s="797"/>
    </row>
    <row r="22" spans="1:34" s="335" customFormat="1" ht="15" customHeight="1">
      <c r="A22" s="559"/>
      <c r="B22" s="489">
        <v>6</v>
      </c>
      <c r="C22" s="355">
        <v>42978</v>
      </c>
      <c r="D22" s="355">
        <v>43083</v>
      </c>
      <c r="E22" s="513"/>
      <c r="F22" s="858"/>
      <c r="G22" s="705">
        <f t="shared" ref="G22:G23" si="21">IF(D22&lt;&gt;"",D22-C22+1,IF(E22&lt;&gt;"",E22-C22+1,""))</f>
        <v>106</v>
      </c>
      <c r="H22" s="702">
        <v>1446</v>
      </c>
      <c r="I22" s="702">
        <f t="shared" si="11"/>
        <v>1446</v>
      </c>
      <c r="J22" s="703">
        <f t="shared" ref="J22:J23" si="22">H22*13</f>
        <v>18798</v>
      </c>
      <c r="K22" s="357">
        <f t="shared" ref="K22:K23" si="23">IF(G22&lt;&gt;"",20000,0)</f>
        <v>20000</v>
      </c>
      <c r="L22" s="357">
        <f t="shared" ref="L22:L23" si="24">IF(G22&lt;&gt;"",K22*J22*G22/1000,"")</f>
        <v>39851760</v>
      </c>
      <c r="M22" s="559"/>
      <c r="N22" s="489">
        <v>10</v>
      </c>
      <c r="O22" s="355">
        <v>43155</v>
      </c>
      <c r="P22" s="355">
        <v>43162</v>
      </c>
      <c r="Q22" s="253" t="s">
        <v>1242</v>
      </c>
      <c r="R22" s="310">
        <v>2030</v>
      </c>
      <c r="S22" s="310">
        <v>13</v>
      </c>
      <c r="T22" s="756">
        <f t="shared" si="9"/>
        <v>26390</v>
      </c>
      <c r="U22" s="310">
        <v>49500</v>
      </c>
      <c r="V22" s="766">
        <f t="shared" si="10"/>
        <v>1306305000</v>
      </c>
      <c r="W22" s="253"/>
      <c r="Y22" s="410"/>
      <c r="Z22" s="409"/>
      <c r="AA22" s="409"/>
      <c r="AB22" s="797"/>
      <c r="AC22" s="838"/>
      <c r="AD22" s="838"/>
      <c r="AE22" s="839"/>
      <c r="AF22" s="838"/>
      <c r="AG22" s="840"/>
      <c r="AH22" s="797"/>
    </row>
    <row r="23" spans="1:34" s="335" customFormat="1" ht="15" customHeight="1">
      <c r="A23" s="559"/>
      <c r="B23" s="489">
        <v>7</v>
      </c>
      <c r="C23" s="355">
        <v>42979</v>
      </c>
      <c r="D23" s="355">
        <v>43083</v>
      </c>
      <c r="E23" s="513"/>
      <c r="F23" s="859"/>
      <c r="G23" s="705">
        <f t="shared" si="21"/>
        <v>105</v>
      </c>
      <c r="H23" s="702">
        <f>533+42</f>
        <v>575</v>
      </c>
      <c r="I23" s="702">
        <f t="shared" ref="I23" si="25">IF(D23&lt;&gt;"",H23,0)</f>
        <v>575</v>
      </c>
      <c r="J23" s="703">
        <f t="shared" si="22"/>
        <v>7475</v>
      </c>
      <c r="K23" s="357">
        <f t="shared" si="23"/>
        <v>20000</v>
      </c>
      <c r="L23" s="357">
        <f t="shared" si="24"/>
        <v>15697500</v>
      </c>
      <c r="M23" s="559"/>
      <c r="N23" s="489">
        <v>11</v>
      </c>
      <c r="O23" s="355">
        <v>43156</v>
      </c>
      <c r="P23" s="355">
        <v>43167</v>
      </c>
      <c r="Q23" s="253" t="s">
        <v>1242</v>
      </c>
      <c r="R23" s="310">
        <v>2020</v>
      </c>
      <c r="S23" s="310">
        <v>13</v>
      </c>
      <c r="T23" s="756">
        <f t="shared" si="9"/>
        <v>26260</v>
      </c>
      <c r="U23" s="310">
        <v>49500</v>
      </c>
      <c r="V23" s="766">
        <f t="shared" si="10"/>
        <v>1299870000</v>
      </c>
      <c r="W23" s="253"/>
      <c r="Y23" s="410"/>
      <c r="Z23" s="409"/>
      <c r="AA23" s="409"/>
      <c r="AB23" s="797"/>
      <c r="AC23" s="838"/>
      <c r="AD23" s="838"/>
      <c r="AE23" s="839"/>
      <c r="AF23" s="838"/>
      <c r="AG23" s="840"/>
      <c r="AH23" s="797"/>
    </row>
    <row r="24" spans="1:34" s="335" customFormat="1" ht="15" customHeight="1">
      <c r="A24" s="559"/>
      <c r="B24" s="716">
        <v>8</v>
      </c>
      <c r="C24" s="717">
        <v>42979</v>
      </c>
      <c r="D24" s="717">
        <v>43083</v>
      </c>
      <c r="E24" s="718"/>
      <c r="F24" s="719" t="s">
        <v>1170</v>
      </c>
      <c r="G24" s="720">
        <f t="shared" ref="G24:G33" si="26">IF(D24&lt;&gt;"",D24-C24+1,IF(E24&lt;&gt;"",E24-C24+1,""))</f>
        <v>105</v>
      </c>
      <c r="H24" s="712">
        <f>3158-H32-H23</f>
        <v>553</v>
      </c>
      <c r="I24" s="712">
        <f t="shared" si="11"/>
        <v>553</v>
      </c>
      <c r="J24" s="608">
        <f t="shared" si="7"/>
        <v>7189</v>
      </c>
      <c r="K24" s="721">
        <f t="shared" si="8"/>
        <v>20000</v>
      </c>
      <c r="L24" s="721">
        <f t="shared" ref="L24:L30" si="27">IF(G24&lt;&gt;"",K24*J24*G24/1000,"")</f>
        <v>15096900</v>
      </c>
      <c r="M24" s="559"/>
      <c r="N24" s="489">
        <v>12</v>
      </c>
      <c r="O24" s="355">
        <v>43156</v>
      </c>
      <c r="P24" s="355">
        <v>43167</v>
      </c>
      <c r="Q24" s="253" t="s">
        <v>1242</v>
      </c>
      <c r="R24" s="310">
        <v>2030</v>
      </c>
      <c r="S24" s="310">
        <v>13</v>
      </c>
      <c r="T24" s="756">
        <f t="shared" si="9"/>
        <v>26390</v>
      </c>
      <c r="U24" s="310">
        <v>49500</v>
      </c>
      <c r="V24" s="766">
        <f t="shared" si="10"/>
        <v>1306305000</v>
      </c>
      <c r="W24" s="253"/>
      <c r="Y24" s="410"/>
      <c r="Z24" s="409"/>
      <c r="AA24" s="409"/>
      <c r="AB24" s="797"/>
      <c r="AC24" s="838"/>
      <c r="AD24" s="838"/>
      <c r="AE24" s="839"/>
      <c r="AF24" s="838"/>
      <c r="AG24" s="840"/>
      <c r="AH24" s="797"/>
    </row>
    <row r="25" spans="1:34" s="335" customFormat="1" ht="15" customHeight="1">
      <c r="A25" s="559"/>
      <c r="B25" s="489">
        <v>9</v>
      </c>
      <c r="C25" s="355">
        <v>42989</v>
      </c>
      <c r="D25" s="355">
        <v>42997</v>
      </c>
      <c r="E25" s="513"/>
      <c r="F25" s="715" t="s">
        <v>1171</v>
      </c>
      <c r="G25" s="705">
        <f t="shared" ref="G25" si="28">IF(D25&lt;&gt;"",D25-C25+1,IF(E25&lt;&gt;"",E25-C25+1,""))</f>
        <v>9</v>
      </c>
      <c r="H25" s="702">
        <v>1550</v>
      </c>
      <c r="I25" s="702">
        <f t="shared" ref="I25" si="29">IF(D25&lt;&gt;"",H25,0)</f>
        <v>1550</v>
      </c>
      <c r="J25" s="703">
        <f t="shared" ref="J25" si="30">H25*13</f>
        <v>20150</v>
      </c>
      <c r="K25" s="357">
        <f t="shared" ref="K25" si="31">IF(G25&lt;&gt;"",20000,0)</f>
        <v>20000</v>
      </c>
      <c r="L25" s="357">
        <f t="shared" ref="L25" si="32">IF(G25&lt;&gt;"",K25*J25*G25/1000,"")</f>
        <v>3627000</v>
      </c>
      <c r="M25" s="559"/>
      <c r="N25" s="489">
        <v>13</v>
      </c>
      <c r="O25" s="355">
        <v>43157</v>
      </c>
      <c r="P25" s="355">
        <v>43167</v>
      </c>
      <c r="Q25" s="253" t="s">
        <v>1242</v>
      </c>
      <c r="R25" s="310">
        <v>2040</v>
      </c>
      <c r="S25" s="310">
        <v>13</v>
      </c>
      <c r="T25" s="756">
        <f t="shared" si="9"/>
        <v>26520</v>
      </c>
      <c r="U25" s="310">
        <v>49500</v>
      </c>
      <c r="V25" s="766">
        <f t="shared" si="10"/>
        <v>1312740000</v>
      </c>
      <c r="W25" s="253"/>
      <c r="Y25" s="410"/>
      <c r="Z25" s="409"/>
      <c r="AA25" s="409"/>
      <c r="AB25" s="797"/>
      <c r="AC25" s="838"/>
      <c r="AD25" s="838"/>
      <c r="AE25" s="839"/>
      <c r="AF25" s="838"/>
      <c r="AG25" s="840"/>
      <c r="AH25" s="797"/>
    </row>
    <row r="26" spans="1:34" s="335" customFormat="1" ht="15" customHeight="1">
      <c r="A26" s="559"/>
      <c r="B26" s="489">
        <v>10</v>
      </c>
      <c r="C26" s="355">
        <v>42972</v>
      </c>
      <c r="D26" s="355">
        <v>42985</v>
      </c>
      <c r="E26" s="513"/>
      <c r="F26" s="704" t="s">
        <v>1193</v>
      </c>
      <c r="G26" s="705">
        <f>IF(D26&lt;&gt;"",D26-C26+1,IF(E26&lt;&gt;"",E26-C26+1,""))</f>
        <v>14</v>
      </c>
      <c r="H26" s="702">
        <f>4620+400</f>
        <v>5020</v>
      </c>
      <c r="I26" s="702">
        <f t="shared" ref="I26" si="33">IF(D26&lt;&gt;"",H26,0)</f>
        <v>5020</v>
      </c>
      <c r="J26" s="703">
        <f t="shared" ref="J26" si="34">H26*13</f>
        <v>65260</v>
      </c>
      <c r="K26" s="357">
        <f t="shared" ref="K26" si="35">IF(G26&lt;&gt;"",20000,0)</f>
        <v>20000</v>
      </c>
      <c r="L26" s="357">
        <f>IF(G26&lt;&gt;"",K26*J26*G26/1000,"")</f>
        <v>18272800</v>
      </c>
      <c r="M26" s="559"/>
      <c r="N26" s="489">
        <v>14</v>
      </c>
      <c r="O26" s="355">
        <v>43157</v>
      </c>
      <c r="P26" s="355">
        <v>43181</v>
      </c>
      <c r="Q26" s="253" t="s">
        <v>1242</v>
      </c>
      <c r="R26" s="310">
        <v>1100</v>
      </c>
      <c r="S26" s="310">
        <v>13</v>
      </c>
      <c r="T26" s="756">
        <f t="shared" si="9"/>
        <v>14300</v>
      </c>
      <c r="U26" s="310">
        <v>49000</v>
      </c>
      <c r="V26" s="766">
        <f t="shared" si="10"/>
        <v>700700000</v>
      </c>
      <c r="W26" s="253"/>
      <c r="Y26" s="410"/>
      <c r="Z26" s="409"/>
      <c r="AA26" s="409"/>
      <c r="AB26" s="797"/>
      <c r="AC26" s="838"/>
      <c r="AD26" s="838"/>
      <c r="AE26" s="839"/>
      <c r="AF26" s="838"/>
      <c r="AG26" s="840"/>
      <c r="AH26" s="797"/>
    </row>
    <row r="27" spans="1:34" s="335" customFormat="1" ht="15" customHeight="1">
      <c r="A27" s="559"/>
      <c r="B27" s="489">
        <v>11</v>
      </c>
      <c r="C27" s="355">
        <v>42972</v>
      </c>
      <c r="D27" s="355">
        <v>43029</v>
      </c>
      <c r="E27" s="513"/>
      <c r="F27" s="704" t="s">
        <v>1171</v>
      </c>
      <c r="G27" s="705">
        <f t="shared" ref="G27" si="36">IF(D27&lt;&gt;"",D27-C27+1,IF(E27&lt;&gt;"",E27-C27+1,""))</f>
        <v>58</v>
      </c>
      <c r="H27" s="702">
        <v>3109</v>
      </c>
      <c r="I27" s="702">
        <f t="shared" si="11"/>
        <v>3109</v>
      </c>
      <c r="J27" s="703">
        <f t="shared" ref="J27" si="37">H27*13</f>
        <v>40417</v>
      </c>
      <c r="K27" s="357">
        <f t="shared" ref="K27" si="38">IF(G27&lt;&gt;"",20000,0)</f>
        <v>20000</v>
      </c>
      <c r="L27" s="357">
        <f t="shared" ref="L27" si="39">IF(G27&lt;&gt;"",K27*J27*G27/1000,"")</f>
        <v>46883720</v>
      </c>
      <c r="M27" s="559"/>
      <c r="N27" s="489">
        <v>15</v>
      </c>
      <c r="O27" s="355">
        <v>43158</v>
      </c>
      <c r="P27" s="355">
        <v>43173</v>
      </c>
      <c r="Q27" s="253" t="s">
        <v>1243</v>
      </c>
      <c r="R27" s="310">
        <v>1379</v>
      </c>
      <c r="S27" s="310">
        <v>14</v>
      </c>
      <c r="T27" s="756">
        <f t="shared" si="9"/>
        <v>19306</v>
      </c>
      <c r="U27" s="310">
        <v>43000</v>
      </c>
      <c r="V27" s="766">
        <f t="shared" si="10"/>
        <v>830158000</v>
      </c>
      <c r="W27" s="846"/>
      <c r="Y27" s="410"/>
      <c r="Z27" s="409"/>
      <c r="AA27" s="409"/>
      <c r="AB27" s="797"/>
      <c r="AC27" s="838"/>
      <c r="AD27" s="838"/>
      <c r="AE27" s="839"/>
      <c r="AF27" s="838"/>
      <c r="AG27" s="840"/>
      <c r="AH27" s="863"/>
    </row>
    <row r="28" spans="1:34" s="335" customFormat="1" ht="15" customHeight="1">
      <c r="A28" s="559"/>
      <c r="B28" s="716">
        <v>12</v>
      </c>
      <c r="C28" s="717">
        <v>42972</v>
      </c>
      <c r="D28" s="717">
        <v>43002</v>
      </c>
      <c r="E28" s="718"/>
      <c r="F28" s="719" t="s">
        <v>1172</v>
      </c>
      <c r="G28" s="720">
        <f t="shared" si="26"/>
        <v>31</v>
      </c>
      <c r="H28" s="726">
        <v>10</v>
      </c>
      <c r="I28" s="726">
        <f t="shared" si="11"/>
        <v>10</v>
      </c>
      <c r="J28" s="608">
        <f t="shared" si="7"/>
        <v>130</v>
      </c>
      <c r="K28" s="721">
        <f t="shared" si="8"/>
        <v>20000</v>
      </c>
      <c r="L28" s="721">
        <f t="shared" si="27"/>
        <v>80600</v>
      </c>
      <c r="M28" s="559"/>
      <c r="N28" s="489">
        <v>16</v>
      </c>
      <c r="O28" s="355">
        <v>43158</v>
      </c>
      <c r="P28" s="355">
        <v>43173</v>
      </c>
      <c r="Q28" s="253" t="s">
        <v>1243</v>
      </c>
      <c r="R28" s="310">
        <v>1</v>
      </c>
      <c r="S28" s="310">
        <v>11</v>
      </c>
      <c r="T28" s="756">
        <f t="shared" si="9"/>
        <v>11</v>
      </c>
      <c r="U28" s="310">
        <v>43000</v>
      </c>
      <c r="V28" s="766">
        <f t="shared" si="10"/>
        <v>473000</v>
      </c>
      <c r="W28" s="847"/>
      <c r="Y28" s="410"/>
      <c r="Z28" s="409"/>
      <c r="AA28" s="409"/>
      <c r="AB28" s="797"/>
      <c r="AC28" s="838"/>
      <c r="AD28" s="838"/>
      <c r="AE28" s="839"/>
      <c r="AF28" s="838"/>
      <c r="AG28" s="840"/>
      <c r="AH28" s="863"/>
    </row>
    <row r="29" spans="1:34" s="335" customFormat="1" ht="15" customHeight="1">
      <c r="A29" s="559"/>
      <c r="B29" s="489">
        <v>13</v>
      </c>
      <c r="C29" s="355">
        <v>42972</v>
      </c>
      <c r="D29" s="355">
        <v>43019</v>
      </c>
      <c r="E29" s="513"/>
      <c r="F29" s="860" t="s">
        <v>1173</v>
      </c>
      <c r="G29" s="705">
        <f t="shared" si="26"/>
        <v>48</v>
      </c>
      <c r="H29" s="702">
        <v>2030</v>
      </c>
      <c r="I29" s="702">
        <f t="shared" si="11"/>
        <v>2030</v>
      </c>
      <c r="J29" s="703">
        <f t="shared" si="7"/>
        <v>26390</v>
      </c>
      <c r="K29" s="357">
        <f t="shared" si="8"/>
        <v>20000</v>
      </c>
      <c r="L29" s="357">
        <f t="shared" si="27"/>
        <v>25334400</v>
      </c>
      <c r="M29" s="559"/>
      <c r="N29" s="489">
        <v>17</v>
      </c>
      <c r="O29" s="355">
        <v>43158</v>
      </c>
      <c r="P29" s="355">
        <v>43173</v>
      </c>
      <c r="Q29" s="253" t="s">
        <v>1243</v>
      </c>
      <c r="R29" s="310">
        <v>1939</v>
      </c>
      <c r="S29" s="310">
        <v>14</v>
      </c>
      <c r="T29" s="756">
        <f t="shared" si="9"/>
        <v>27146</v>
      </c>
      <c r="U29" s="310">
        <v>43000</v>
      </c>
      <c r="V29" s="766">
        <f t="shared" si="10"/>
        <v>1167278000</v>
      </c>
      <c r="W29" s="847"/>
      <c r="Y29" s="410"/>
      <c r="Z29" s="409"/>
      <c r="AA29" s="409"/>
      <c r="AB29" s="797"/>
      <c r="AC29" s="838"/>
      <c r="AD29" s="838"/>
      <c r="AE29" s="839"/>
      <c r="AF29" s="838"/>
      <c r="AG29" s="840"/>
      <c r="AH29" s="863"/>
    </row>
    <row r="30" spans="1:34" s="335" customFormat="1" ht="15" customHeight="1">
      <c r="A30" s="559"/>
      <c r="B30" s="489">
        <v>14</v>
      </c>
      <c r="C30" s="355">
        <v>42972</v>
      </c>
      <c r="D30" s="355">
        <v>43020</v>
      </c>
      <c r="E30" s="513"/>
      <c r="F30" s="858"/>
      <c r="G30" s="705">
        <f t="shared" si="26"/>
        <v>49</v>
      </c>
      <c r="H30" s="702">
        <v>2030</v>
      </c>
      <c r="I30" s="702">
        <f t="shared" si="11"/>
        <v>2030</v>
      </c>
      <c r="J30" s="703">
        <f t="shared" si="7"/>
        <v>26390</v>
      </c>
      <c r="K30" s="357">
        <f t="shared" si="8"/>
        <v>20000</v>
      </c>
      <c r="L30" s="357">
        <f t="shared" si="27"/>
        <v>25862200</v>
      </c>
      <c r="M30" s="559"/>
      <c r="N30" s="489">
        <v>18</v>
      </c>
      <c r="O30" s="355">
        <v>43158</v>
      </c>
      <c r="P30" s="355">
        <v>43173</v>
      </c>
      <c r="Q30" s="253" t="s">
        <v>1243</v>
      </c>
      <c r="R30" s="310">
        <v>1</v>
      </c>
      <c r="S30" s="310">
        <v>11.5</v>
      </c>
      <c r="T30" s="756">
        <f t="shared" si="9"/>
        <v>11.5</v>
      </c>
      <c r="U30" s="310">
        <v>43000</v>
      </c>
      <c r="V30" s="766">
        <f t="shared" si="10"/>
        <v>494500</v>
      </c>
      <c r="W30" s="847"/>
      <c r="Y30" s="410"/>
      <c r="Z30" s="409"/>
      <c r="AA30" s="409"/>
      <c r="AB30" s="797"/>
      <c r="AC30" s="838"/>
      <c r="AD30" s="838"/>
      <c r="AE30" s="839"/>
      <c r="AF30" s="838"/>
      <c r="AG30" s="840"/>
      <c r="AH30" s="863"/>
    </row>
    <row r="31" spans="1:34" s="335" customFormat="1" ht="15" customHeight="1">
      <c r="A31" s="559"/>
      <c r="B31" s="716">
        <v>15</v>
      </c>
      <c r="C31" s="717">
        <v>42972</v>
      </c>
      <c r="D31" s="717">
        <v>43064</v>
      </c>
      <c r="E31" s="718"/>
      <c r="F31" s="858"/>
      <c r="G31" s="720">
        <f t="shared" si="26"/>
        <v>93</v>
      </c>
      <c r="H31" s="712">
        <v>342</v>
      </c>
      <c r="I31" s="712">
        <f t="shared" si="11"/>
        <v>342</v>
      </c>
      <c r="J31" s="608">
        <f t="shared" ref="J31:J33" si="40">H31*13</f>
        <v>4446</v>
      </c>
      <c r="K31" s="721">
        <f t="shared" ref="K31" si="41">IF(G31&lt;&gt;"",20000,0)</f>
        <v>20000</v>
      </c>
      <c r="L31" s="721">
        <f t="shared" ref="L31:L33" si="42">IF(G31&lt;&gt;"",K31*J31*G31/1000,"")</f>
        <v>8269560</v>
      </c>
      <c r="M31" s="559"/>
      <c r="N31" s="489">
        <v>19</v>
      </c>
      <c r="O31" s="355">
        <v>43160</v>
      </c>
      <c r="P31" s="355">
        <v>43173</v>
      </c>
      <c r="Q31" s="253" t="s">
        <v>1243</v>
      </c>
      <c r="R31" s="310">
        <v>850</v>
      </c>
      <c r="S31" s="310">
        <v>20</v>
      </c>
      <c r="T31" s="756">
        <f t="shared" si="9"/>
        <v>17000</v>
      </c>
      <c r="U31" s="310">
        <v>43000</v>
      </c>
      <c r="V31" s="766">
        <f t="shared" si="10"/>
        <v>731000000</v>
      </c>
      <c r="W31" s="848"/>
      <c r="Y31" s="410"/>
      <c r="Z31" s="409"/>
      <c r="AA31" s="409"/>
      <c r="AB31" s="797"/>
      <c r="AC31" s="838"/>
      <c r="AD31" s="838"/>
      <c r="AE31" s="839"/>
      <c r="AF31" s="838"/>
      <c r="AG31" s="840"/>
      <c r="AH31" s="863"/>
    </row>
    <row r="32" spans="1:34" s="335" customFormat="1" ht="15" customHeight="1">
      <c r="A32" s="559"/>
      <c r="B32" s="489">
        <v>16</v>
      </c>
      <c r="C32" s="355">
        <v>42979</v>
      </c>
      <c r="D32" s="355">
        <v>43055</v>
      </c>
      <c r="E32" s="513"/>
      <c r="F32" s="859"/>
      <c r="G32" s="705">
        <f t="shared" ref="G32" si="43">IF(D32&lt;&gt;"",D32-C32+1,IF(E32&lt;&gt;"",E32-C32+1,""))</f>
        <v>77</v>
      </c>
      <c r="H32" s="702">
        <v>2030</v>
      </c>
      <c r="I32" s="702">
        <f t="shared" ref="I32" si="44">IF(D32&lt;&gt;"",H32,0)</f>
        <v>2030</v>
      </c>
      <c r="J32" s="703">
        <f t="shared" ref="J32" si="45">H32*13</f>
        <v>26390</v>
      </c>
      <c r="K32" s="357">
        <f t="shared" ref="K32" si="46">IF(G32&lt;&gt;"",20000,0)</f>
        <v>20000</v>
      </c>
      <c r="L32" s="357">
        <f t="shared" ref="L32" si="47">IF(G32&lt;&gt;"",K32*J32*G32/1000,"")</f>
        <v>40640600</v>
      </c>
      <c r="M32" s="559"/>
      <c r="N32" s="489">
        <v>20</v>
      </c>
      <c r="O32" s="355">
        <v>43168</v>
      </c>
      <c r="P32" s="513">
        <v>43172</v>
      </c>
      <c r="Q32" s="253" t="s">
        <v>1242</v>
      </c>
      <c r="R32" s="310">
        <v>2030</v>
      </c>
      <c r="S32" s="310">
        <v>13</v>
      </c>
      <c r="T32" s="756">
        <f t="shared" si="9"/>
        <v>26390</v>
      </c>
      <c r="U32" s="310">
        <v>49000</v>
      </c>
      <c r="V32" s="766">
        <f t="shared" si="10"/>
        <v>1293110000</v>
      </c>
      <c r="W32" s="253"/>
      <c r="Y32" s="410"/>
      <c r="Z32" s="409"/>
      <c r="AA32" s="409"/>
      <c r="AB32" s="797"/>
      <c r="AC32" s="838"/>
      <c r="AD32" s="838"/>
      <c r="AE32" s="839"/>
      <c r="AF32" s="838"/>
      <c r="AG32" s="840"/>
      <c r="AH32" s="797"/>
    </row>
    <row r="33" spans="1:34" s="335" customFormat="1" ht="15" customHeight="1">
      <c r="A33" s="559"/>
      <c r="B33" s="489">
        <v>17</v>
      </c>
      <c r="C33" s="355">
        <v>43019</v>
      </c>
      <c r="D33" s="355">
        <v>43055</v>
      </c>
      <c r="E33" s="513"/>
      <c r="F33" s="860" t="s">
        <v>1192</v>
      </c>
      <c r="G33" s="705">
        <f t="shared" si="26"/>
        <v>37</v>
      </c>
      <c r="H33" s="702">
        <v>2030</v>
      </c>
      <c r="I33" s="702">
        <f t="shared" si="11"/>
        <v>2030</v>
      </c>
      <c r="J33" s="703">
        <f t="shared" si="40"/>
        <v>26390</v>
      </c>
      <c r="K33" s="357">
        <f t="shared" ref="K33:K35" si="48">IF(G33&lt;&gt;"",14000,0)</f>
        <v>14000</v>
      </c>
      <c r="L33" s="357">
        <f t="shared" si="42"/>
        <v>13670020</v>
      </c>
      <c r="M33" s="559"/>
      <c r="N33" s="489">
        <v>21</v>
      </c>
      <c r="O33" s="355">
        <v>43169</v>
      </c>
      <c r="P33" s="513">
        <v>43172</v>
      </c>
      <c r="Q33" s="253" t="s">
        <v>1242</v>
      </c>
      <c r="R33" s="310">
        <v>2030</v>
      </c>
      <c r="S33" s="310">
        <v>13</v>
      </c>
      <c r="T33" s="756">
        <f t="shared" si="9"/>
        <v>26390</v>
      </c>
      <c r="U33" s="310">
        <v>49000</v>
      </c>
      <c r="V33" s="766">
        <f t="shared" si="10"/>
        <v>1293110000</v>
      </c>
      <c r="W33" s="253"/>
      <c r="Y33" s="410"/>
      <c r="Z33" s="409"/>
      <c r="AA33" s="409"/>
      <c r="AB33" s="797"/>
      <c r="AC33" s="838"/>
      <c r="AD33" s="838"/>
      <c r="AE33" s="839"/>
      <c r="AF33" s="838"/>
      <c r="AG33" s="840"/>
      <c r="AH33" s="797"/>
    </row>
    <row r="34" spans="1:34" s="335" customFormat="1" ht="15" customHeight="1">
      <c r="A34" s="559"/>
      <c r="B34" s="489">
        <v>18</v>
      </c>
      <c r="C34" s="355">
        <v>43020</v>
      </c>
      <c r="D34" s="355">
        <v>43055</v>
      </c>
      <c r="E34" s="513"/>
      <c r="F34" s="858"/>
      <c r="G34" s="705">
        <f>IF(D34&lt;&gt;"",D34-C34+1,IF(E34&lt;&gt;"",E34-C34+1,""))</f>
        <v>36</v>
      </c>
      <c r="H34" s="702">
        <v>2030</v>
      </c>
      <c r="I34" s="702">
        <f t="shared" si="11"/>
        <v>2030</v>
      </c>
      <c r="J34" s="703">
        <f>H34*13</f>
        <v>26390</v>
      </c>
      <c r="K34" s="357">
        <f t="shared" si="48"/>
        <v>14000</v>
      </c>
      <c r="L34" s="357">
        <f>IF(G34&lt;&gt;"",K34*J34*G34/1000,"")</f>
        <v>13300560</v>
      </c>
      <c r="M34" s="559"/>
      <c r="N34" s="489">
        <v>22</v>
      </c>
      <c r="O34" s="355">
        <v>43170</v>
      </c>
      <c r="P34" s="355">
        <v>43173</v>
      </c>
      <c r="Q34" s="253" t="s">
        <v>1242</v>
      </c>
      <c r="R34" s="310">
        <v>2030</v>
      </c>
      <c r="S34" s="310">
        <v>13</v>
      </c>
      <c r="T34" s="756">
        <f t="shared" si="9"/>
        <v>26390</v>
      </c>
      <c r="U34" s="310">
        <v>49000</v>
      </c>
      <c r="V34" s="766">
        <f t="shared" si="10"/>
        <v>1293110000</v>
      </c>
      <c r="W34" s="253"/>
      <c r="Y34" s="410"/>
      <c r="Z34" s="409"/>
      <c r="AA34" s="409"/>
      <c r="AB34" s="797"/>
      <c r="AC34" s="838"/>
      <c r="AD34" s="838"/>
      <c r="AE34" s="839"/>
      <c r="AF34" s="838"/>
      <c r="AG34" s="840"/>
      <c r="AH34" s="797"/>
    </row>
    <row r="35" spans="1:34" s="335" customFormat="1" ht="15" customHeight="1">
      <c r="A35" s="559"/>
      <c r="B35" s="489">
        <v>19</v>
      </c>
      <c r="C35" s="355">
        <v>43055</v>
      </c>
      <c r="D35" s="355">
        <v>43083</v>
      </c>
      <c r="E35" s="513"/>
      <c r="F35" s="858"/>
      <c r="G35" s="705">
        <f>IF(D35&lt;&gt;"",D35-C35+1,IF(E35&lt;&gt;"",E35-C35+1,""))</f>
        <v>29</v>
      </c>
      <c r="H35" s="702">
        <v>2030</v>
      </c>
      <c r="I35" s="702">
        <f t="shared" si="11"/>
        <v>2030</v>
      </c>
      <c r="J35" s="703">
        <f>H35*13</f>
        <v>26390</v>
      </c>
      <c r="K35" s="357">
        <f t="shared" si="48"/>
        <v>14000</v>
      </c>
      <c r="L35" s="357">
        <f>IF(G35&lt;&gt;"",K35*J35*G35/1000,"")</f>
        <v>10714340</v>
      </c>
      <c r="M35" s="559"/>
      <c r="N35" s="489">
        <v>23</v>
      </c>
      <c r="O35" s="355">
        <v>43170</v>
      </c>
      <c r="P35" s="355">
        <v>43173</v>
      </c>
      <c r="Q35" s="253" t="s">
        <v>1242</v>
      </c>
      <c r="R35" s="310">
        <v>2030</v>
      </c>
      <c r="S35" s="310">
        <v>13</v>
      </c>
      <c r="T35" s="756">
        <f t="shared" si="9"/>
        <v>26390</v>
      </c>
      <c r="U35" s="310">
        <v>49000</v>
      </c>
      <c r="V35" s="766">
        <f t="shared" si="10"/>
        <v>1293110000</v>
      </c>
      <c r="W35" s="253"/>
      <c r="Y35" s="410"/>
      <c r="Z35" s="409"/>
      <c r="AA35" s="409"/>
      <c r="AB35" s="797"/>
      <c r="AC35" s="838"/>
      <c r="AD35" s="838"/>
      <c r="AE35" s="839"/>
      <c r="AF35" s="838"/>
      <c r="AG35" s="840"/>
      <c r="AH35" s="797"/>
    </row>
    <row r="36" spans="1:34" s="335" customFormat="1" ht="15" customHeight="1">
      <c r="A36" s="559"/>
      <c r="B36" s="489"/>
      <c r="C36" s="355"/>
      <c r="D36" s="355"/>
      <c r="E36" s="513"/>
      <c r="F36" s="704"/>
      <c r="G36" s="705"/>
      <c r="H36" s="702"/>
      <c r="I36" s="702"/>
      <c r="J36" s="703"/>
      <c r="K36" s="357"/>
      <c r="L36" s="357"/>
      <c r="M36" s="559"/>
      <c r="N36" s="489">
        <v>24</v>
      </c>
      <c r="O36" s="355">
        <v>43171</v>
      </c>
      <c r="P36" s="355">
        <v>43180</v>
      </c>
      <c r="Q36" s="253" t="s">
        <v>1242</v>
      </c>
      <c r="R36" s="310">
        <v>2030</v>
      </c>
      <c r="S36" s="310">
        <v>13</v>
      </c>
      <c r="T36" s="756">
        <f t="shared" si="9"/>
        <v>26390</v>
      </c>
      <c r="U36" s="310">
        <v>49000</v>
      </c>
      <c r="V36" s="766">
        <f t="shared" si="10"/>
        <v>1293110000</v>
      </c>
      <c r="W36" s="253"/>
      <c r="Y36" s="410"/>
      <c r="Z36" s="409"/>
      <c r="AA36" s="409"/>
      <c r="AB36" s="797"/>
      <c r="AC36" s="838"/>
      <c r="AD36" s="838"/>
      <c r="AE36" s="839"/>
      <c r="AF36" s="838"/>
      <c r="AG36" s="840"/>
      <c r="AH36" s="797"/>
    </row>
    <row r="37" spans="1:34" s="335" customFormat="1" ht="15" customHeight="1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  <c r="N37" s="489">
        <v>25</v>
      </c>
      <c r="O37" s="355">
        <v>43173</v>
      </c>
      <c r="P37" s="355">
        <v>43181</v>
      </c>
      <c r="Q37" s="253" t="s">
        <v>1242</v>
      </c>
      <c r="R37" s="310">
        <v>500</v>
      </c>
      <c r="S37" s="310">
        <v>13</v>
      </c>
      <c r="T37" s="756">
        <f t="shared" si="9"/>
        <v>6500</v>
      </c>
      <c r="U37" s="310">
        <v>47500</v>
      </c>
      <c r="V37" s="766">
        <f t="shared" si="10"/>
        <v>308750000</v>
      </c>
      <c r="W37" s="253"/>
      <c r="Y37" s="410"/>
      <c r="Z37" s="409"/>
      <c r="AA37" s="409"/>
      <c r="AB37" s="797"/>
      <c r="AC37" s="838"/>
      <c r="AD37" s="838"/>
      <c r="AE37" s="839"/>
      <c r="AF37" s="838"/>
      <c r="AG37" s="840"/>
      <c r="AH37" s="797"/>
    </row>
    <row r="38" spans="1:34" s="335" customFormat="1" ht="1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  <c r="N38" s="489">
        <v>26</v>
      </c>
      <c r="O38" s="355">
        <v>43180</v>
      </c>
      <c r="P38" s="355">
        <v>43181</v>
      </c>
      <c r="Q38" s="253" t="s">
        <v>1242</v>
      </c>
      <c r="R38" s="310">
        <f>430</f>
        <v>430</v>
      </c>
      <c r="S38" s="310">
        <v>13</v>
      </c>
      <c r="T38" s="756">
        <f t="shared" si="9"/>
        <v>5590</v>
      </c>
      <c r="U38" s="310">
        <v>47500</v>
      </c>
      <c r="V38" s="766">
        <f t="shared" si="10"/>
        <v>265525000</v>
      </c>
      <c r="W38" s="253"/>
      <c r="Y38" s="410"/>
      <c r="Z38" s="409"/>
      <c r="AA38" s="409"/>
      <c r="AB38" s="797"/>
      <c r="AC38" s="838"/>
      <c r="AD38" s="838"/>
      <c r="AE38" s="839"/>
      <c r="AF38" s="838"/>
      <c r="AG38" s="840"/>
      <c r="AH38" s="797"/>
    </row>
    <row r="39" spans="1:34" s="534" customFormat="1" ht="15" customHeight="1">
      <c r="A39" s="560"/>
      <c r="B39" s="629"/>
      <c r="C39" s="629"/>
      <c r="D39" s="629"/>
      <c r="E39" s="629" t="s">
        <v>1022</v>
      </c>
      <c r="F39" s="629"/>
      <c r="G39" s="629"/>
      <c r="H39" s="861">
        <f>H37-I37</f>
        <v>0</v>
      </c>
      <c r="I39" s="861"/>
      <c r="J39" s="630"/>
      <c r="K39" s="630"/>
      <c r="L39" s="631"/>
      <c r="M39" s="560"/>
      <c r="N39" s="359"/>
      <c r="O39" s="355"/>
      <c r="P39" s="722"/>
      <c r="Q39" s="759"/>
      <c r="R39" s="761"/>
      <c r="S39" s="761"/>
      <c r="T39" s="756">
        <f t="shared" ref="T39" si="49">R39*S39</f>
        <v>0</v>
      </c>
      <c r="U39" s="761"/>
      <c r="V39" s="759"/>
      <c r="W39" s="759"/>
      <c r="Y39" s="410"/>
      <c r="Z39" s="409"/>
      <c r="AA39" s="409"/>
      <c r="AB39" s="797"/>
      <c r="AC39" s="838"/>
      <c r="AD39" s="838"/>
      <c r="AE39" s="839"/>
      <c r="AF39" s="838"/>
      <c r="AG39" s="797"/>
      <c r="AH39" s="797"/>
    </row>
    <row r="40" spans="1:34" s="335" customFormat="1" ht="15" customHeight="1">
      <c r="A40" s="559"/>
      <c r="B40" s="334"/>
      <c r="C40" s="334"/>
      <c r="D40" s="334"/>
      <c r="E40" s="334"/>
      <c r="G40" s="514"/>
      <c r="H40" s="628" t="s">
        <v>899</v>
      </c>
      <c r="I40" s="628"/>
      <c r="L40" s="537">
        <f>(J37-J10)*15</f>
        <v>3092310</v>
      </c>
      <c r="M40" s="559"/>
      <c r="N40" s="764"/>
      <c r="O40" s="757"/>
      <c r="P40" s="757"/>
      <c r="Q40" s="414" t="s">
        <v>19</v>
      </c>
      <c r="R40" s="413">
        <f>SUM(R17:R39)</f>
        <v>28515</v>
      </c>
      <c r="S40" s="413"/>
      <c r="T40" s="762">
        <f>SUM(T17:T39)</f>
        <v>379959.5</v>
      </c>
      <c r="U40" s="762"/>
      <c r="V40" s="413">
        <f>SUM(V17:V39)</f>
        <v>18274088500</v>
      </c>
      <c r="W40" s="757"/>
      <c r="Y40" s="410"/>
      <c r="Z40" s="797"/>
      <c r="AA40" s="797"/>
      <c r="AB40" s="625"/>
      <c r="AC40" s="626"/>
      <c r="AD40" s="626"/>
      <c r="AE40" s="802"/>
      <c r="AF40" s="802"/>
      <c r="AG40" s="626"/>
      <c r="AH40" s="797"/>
    </row>
    <row r="41" spans="1:34" s="335" customFormat="1" ht="15" customHeight="1">
      <c r="A41" s="559"/>
      <c r="B41" s="334"/>
      <c r="C41" s="334"/>
      <c r="D41" s="334"/>
      <c r="E41" s="334"/>
      <c r="G41" s="582"/>
      <c r="H41" s="582" t="s">
        <v>1160</v>
      </c>
      <c r="I41" s="560"/>
      <c r="J41" s="560"/>
      <c r="K41" s="560"/>
      <c r="L41" s="686">
        <f>(8*3*200000+4000000)*2</f>
        <v>17600000</v>
      </c>
      <c r="M41" s="559"/>
      <c r="N41" s="410"/>
      <c r="O41" s="797"/>
      <c r="P41" s="797"/>
      <c r="Q41" s="625"/>
      <c r="R41" s="626"/>
      <c r="S41" s="626"/>
      <c r="T41" s="802"/>
      <c r="U41" s="802"/>
      <c r="V41" s="626"/>
      <c r="W41" s="797"/>
      <c r="Y41" s="410"/>
      <c r="Z41" s="797"/>
      <c r="AA41" s="797"/>
      <c r="AB41" s="625"/>
      <c r="AC41" s="626"/>
      <c r="AD41" s="626"/>
      <c r="AE41" s="802"/>
      <c r="AF41" s="802"/>
      <c r="AG41" s="626"/>
      <c r="AH41" s="797"/>
    </row>
    <row r="42" spans="1:34" s="335" customFormat="1" ht="15" customHeight="1">
      <c r="A42" s="559"/>
      <c r="B42" s="334"/>
      <c r="C42" s="334"/>
      <c r="D42" s="334"/>
      <c r="E42" s="334"/>
      <c r="G42" s="582"/>
      <c r="H42" s="582" t="s">
        <v>1163</v>
      </c>
      <c r="I42" s="560"/>
      <c r="J42" s="560"/>
      <c r="K42" s="560"/>
      <c r="L42" s="686">
        <f>(120*8500)*2</f>
        <v>2040000</v>
      </c>
      <c r="M42" s="559"/>
      <c r="R42" s="534" t="s">
        <v>1300</v>
      </c>
      <c r="V42" s="537">
        <f>L67</f>
        <v>613855570</v>
      </c>
      <c r="Y42" s="797"/>
      <c r="Z42" s="797"/>
      <c r="AA42" s="797"/>
      <c r="AB42" s="797"/>
      <c r="AC42" s="582"/>
      <c r="AD42" s="797"/>
      <c r="AE42" s="797"/>
      <c r="AF42" s="797"/>
      <c r="AG42" s="841"/>
      <c r="AH42" s="797"/>
    </row>
    <row r="43" spans="1:34" s="680" customFormat="1" ht="15" customHeight="1">
      <c r="A43" s="679"/>
      <c r="B43" s="334"/>
      <c r="C43" s="334"/>
      <c r="D43" s="334"/>
      <c r="E43" s="334"/>
      <c r="F43" s="334"/>
      <c r="G43" s="334"/>
      <c r="H43" s="334"/>
      <c r="I43" s="334"/>
      <c r="J43" s="335"/>
      <c r="K43" s="335"/>
      <c r="L43" s="558"/>
      <c r="M43" s="679"/>
      <c r="N43" s="534"/>
      <c r="O43" s="534"/>
      <c r="P43" s="534"/>
      <c r="Q43" s="534"/>
      <c r="R43" s="560"/>
      <c r="S43" s="534"/>
      <c r="T43" s="534"/>
      <c r="U43" s="534"/>
      <c r="V43" s="537"/>
      <c r="W43" s="534"/>
      <c r="Y43" s="582"/>
      <c r="Z43" s="582"/>
      <c r="AA43" s="582"/>
      <c r="AB43" s="582"/>
      <c r="AC43" s="798"/>
      <c r="AD43" s="582"/>
      <c r="AE43" s="582"/>
      <c r="AF43" s="582"/>
      <c r="AG43" s="841"/>
      <c r="AH43" s="582"/>
    </row>
    <row r="44" spans="1:34" s="335" customFormat="1" ht="15" customHeight="1">
      <c r="A44" s="559"/>
      <c r="B44" s="560"/>
      <c r="C44" s="560"/>
      <c r="D44" s="560"/>
      <c r="E44" s="560"/>
      <c r="F44" s="560"/>
      <c r="G44" s="560"/>
      <c r="H44" s="560" t="s">
        <v>900</v>
      </c>
      <c r="I44" s="560"/>
      <c r="J44" s="560"/>
      <c r="K44" s="560"/>
      <c r="L44" s="561">
        <f>L37+SUM(L40:L43)</f>
        <v>403043930</v>
      </c>
      <c r="M44" s="559"/>
      <c r="N44" s="534"/>
      <c r="O44" s="534"/>
      <c r="P44" s="534"/>
      <c r="Q44" s="534"/>
      <c r="R44" s="687" t="s">
        <v>1239</v>
      </c>
      <c r="S44" s="560"/>
      <c r="T44" s="560"/>
      <c r="U44" s="560"/>
      <c r="V44" s="686">
        <v>2000000000</v>
      </c>
      <c r="W44" s="534"/>
      <c r="Y44" s="582"/>
      <c r="Z44" s="582"/>
      <c r="AA44" s="582"/>
      <c r="AB44" s="582"/>
      <c r="AC44" s="687"/>
      <c r="AD44" s="798"/>
      <c r="AE44" s="798"/>
      <c r="AF44" s="798"/>
      <c r="AG44" s="799"/>
      <c r="AH44" s="582"/>
    </row>
    <row r="45" spans="1:34" s="335" customFormat="1" ht="15" customHeight="1">
      <c r="A45" s="559"/>
      <c r="B45"/>
      <c r="C45"/>
      <c r="D45"/>
      <c r="E45"/>
      <c r="F45"/>
      <c r="G45"/>
      <c r="H45" s="679" t="s">
        <v>1155</v>
      </c>
      <c r="I45"/>
      <c r="J45"/>
      <c r="K45"/>
      <c r="L45" s="681">
        <v>100000000</v>
      </c>
      <c r="M45" s="559"/>
      <c r="R45" s="687" t="s">
        <v>1240</v>
      </c>
      <c r="S45" s="560"/>
      <c r="T45" s="560"/>
      <c r="U45" s="560"/>
      <c r="V45" s="686">
        <v>1200000000</v>
      </c>
      <c r="W45" s="581"/>
      <c r="Y45" s="797"/>
      <c r="Z45" s="797"/>
      <c r="AA45" s="797"/>
      <c r="AB45" s="797"/>
      <c r="AC45" s="687"/>
      <c r="AD45" s="798"/>
      <c r="AE45" s="798"/>
      <c r="AF45" s="798"/>
      <c r="AG45" s="799"/>
      <c r="AH45" s="842"/>
    </row>
    <row r="46" spans="1:34" s="680" customFormat="1" ht="15" customHeight="1">
      <c r="A46" s="679"/>
      <c r="B46" s="800"/>
      <c r="C46" s="800"/>
      <c r="D46" s="800"/>
      <c r="E46" s="800"/>
      <c r="F46" s="800"/>
      <c r="G46" s="800"/>
      <c r="H46" s="560" t="s">
        <v>1291</v>
      </c>
      <c r="I46" s="560"/>
      <c r="J46" s="560"/>
      <c r="K46" s="560"/>
      <c r="L46" s="767">
        <f>L44-L45</f>
        <v>303043930</v>
      </c>
      <c r="M46" s="679"/>
      <c r="N46" s="335"/>
      <c r="O46" s="335"/>
      <c r="P46" s="335"/>
      <c r="Q46" s="335"/>
      <c r="R46" s="687" t="s">
        <v>1265</v>
      </c>
      <c r="S46" s="560"/>
      <c r="T46" s="560"/>
      <c r="U46" s="560"/>
      <c r="V46" s="686">
        <v>1000000000</v>
      </c>
      <c r="W46" s="306"/>
      <c r="Y46" s="797"/>
      <c r="Z46" s="797"/>
      <c r="AA46" s="797"/>
      <c r="AB46" s="797"/>
      <c r="AC46" s="687"/>
      <c r="AD46" s="798"/>
      <c r="AE46" s="798"/>
      <c r="AF46" s="798"/>
      <c r="AG46" s="799"/>
      <c r="AH46" s="838"/>
    </row>
    <row r="47" spans="1:34" s="680" customFormat="1" ht="15" customHeight="1">
      <c r="A47" s="679"/>
      <c r="B47"/>
      <c r="C47"/>
      <c r="D47"/>
      <c r="E47"/>
      <c r="F47"/>
      <c r="G47"/>
      <c r="H47"/>
      <c r="I47"/>
      <c r="J47"/>
      <c r="K47"/>
      <c r="L47"/>
      <c r="M47" s="679"/>
      <c r="O47" s="685"/>
      <c r="P47" s="685"/>
      <c r="Q47" s="784"/>
      <c r="R47" s="687" t="s">
        <v>1263</v>
      </c>
      <c r="S47" s="560"/>
      <c r="T47" s="560"/>
      <c r="U47" s="560"/>
      <c r="V47" s="686">
        <v>4000000000</v>
      </c>
      <c r="W47" s="685"/>
      <c r="Y47" s="685"/>
      <c r="Z47" s="685"/>
      <c r="AA47" s="685"/>
      <c r="AB47" s="784"/>
      <c r="AC47" s="687"/>
      <c r="AD47" s="798"/>
      <c r="AE47" s="798"/>
      <c r="AF47" s="798"/>
      <c r="AG47" s="799"/>
      <c r="AH47" s="685"/>
    </row>
    <row r="48" spans="1:34" s="680" customFormat="1" ht="15" customHeight="1">
      <c r="A48" s="679"/>
      <c r="B48" s="334"/>
      <c r="C48" s="334"/>
      <c r="D48" s="334"/>
      <c r="E48" s="334"/>
      <c r="F48" s="335"/>
      <c r="G48" s="582"/>
      <c r="H48" s="582" t="s">
        <v>1161</v>
      </c>
      <c r="I48" s="560"/>
      <c r="J48" s="560"/>
      <c r="K48" s="560"/>
      <c r="L48" s="686">
        <v>2200000000</v>
      </c>
      <c r="M48" s="679"/>
      <c r="O48" s="685"/>
      <c r="P48" s="685"/>
      <c r="Q48" s="784"/>
      <c r="R48" s="687" t="s">
        <v>1274</v>
      </c>
      <c r="S48" s="560"/>
      <c r="T48" s="560"/>
      <c r="U48" s="560"/>
      <c r="V48" s="686">
        <v>7300000000</v>
      </c>
      <c r="W48" s="685"/>
      <c r="Y48" s="685"/>
      <c r="Z48" s="685"/>
      <c r="AA48" s="685"/>
      <c r="AB48" s="784"/>
      <c r="AC48" s="687"/>
      <c r="AD48" s="798"/>
      <c r="AE48" s="798"/>
      <c r="AF48" s="798"/>
      <c r="AG48" s="799"/>
      <c r="AH48" s="685"/>
    </row>
    <row r="49" spans="1:34" s="680" customFormat="1" ht="15" customHeight="1">
      <c r="A49" s="679"/>
      <c r="B49" s="334"/>
      <c r="C49" s="334"/>
      <c r="D49" s="334"/>
      <c r="E49" s="334"/>
      <c r="F49" s="352"/>
      <c r="G49" s="582"/>
      <c r="H49" s="687" t="s">
        <v>1162</v>
      </c>
      <c r="I49" s="560"/>
      <c r="J49" s="560"/>
      <c r="K49" s="560"/>
      <c r="L49" s="686">
        <v>2000000000</v>
      </c>
      <c r="M49" s="679"/>
      <c r="N49"/>
      <c r="O49"/>
      <c r="P49"/>
      <c r="Q49" s="784"/>
      <c r="R49" s="784"/>
      <c r="S49" s="784"/>
      <c r="T49" s="784"/>
      <c r="U49" s="784"/>
      <c r="V49" s="784"/>
      <c r="W49" s="784"/>
      <c r="Y49" s="784"/>
      <c r="Z49" s="784"/>
      <c r="AA49" s="784"/>
      <c r="AB49" s="784"/>
      <c r="AC49" s="784"/>
      <c r="AD49" s="784"/>
      <c r="AE49" s="784"/>
      <c r="AF49" s="784"/>
      <c r="AG49" s="784"/>
      <c r="AH49" s="784"/>
    </row>
    <row r="50" spans="1:34" s="680" customFormat="1" ht="15" customHeight="1">
      <c r="A50" s="679"/>
      <c r="B50" s="334"/>
      <c r="C50" s="334"/>
      <c r="D50" s="334"/>
      <c r="E50" s="334"/>
      <c r="F50" s="352"/>
      <c r="G50" s="582"/>
      <c r="H50" s="687" t="s">
        <v>1169</v>
      </c>
      <c r="I50" s="560"/>
      <c r="J50" s="560"/>
      <c r="K50" s="560"/>
      <c r="L50" s="686">
        <v>800000000</v>
      </c>
      <c r="M50" s="679"/>
      <c r="N50" s="335"/>
      <c r="O50" s="335"/>
      <c r="P50" s="335"/>
      <c r="Q50" s="335"/>
      <c r="R50" s="560" t="s">
        <v>900</v>
      </c>
      <c r="S50" s="560"/>
      <c r="T50" s="560"/>
      <c r="U50" s="560"/>
      <c r="V50" s="767">
        <f>SUM(V44:V49)</f>
        <v>15500000000</v>
      </c>
      <c r="W50" s="306"/>
      <c r="Y50" s="797"/>
      <c r="Z50" s="797"/>
      <c r="AA50" s="797"/>
      <c r="AB50" s="797"/>
      <c r="AC50" s="798"/>
      <c r="AD50" s="798"/>
      <c r="AE50" s="798"/>
      <c r="AF50" s="798"/>
      <c r="AG50" s="782"/>
      <c r="AH50" s="838"/>
    </row>
    <row r="51" spans="1:34" ht="15" customHeight="1">
      <c r="B51" s="334"/>
      <c r="C51" s="334"/>
      <c r="D51" s="334"/>
      <c r="E51" s="334"/>
      <c r="F51" s="335"/>
      <c r="G51" s="582"/>
      <c r="H51" s="582" t="s">
        <v>1198</v>
      </c>
      <c r="I51" s="560"/>
      <c r="J51" s="560"/>
      <c r="K51" s="560"/>
      <c r="L51" s="686">
        <v>2000000000</v>
      </c>
      <c r="N51" s="335"/>
      <c r="O51" s="335"/>
      <c r="P51" s="335"/>
      <c r="Q51" s="335"/>
      <c r="R51" s="560"/>
      <c r="S51" s="560"/>
      <c r="T51" s="560"/>
      <c r="U51" s="560"/>
      <c r="V51" s="782"/>
      <c r="W51" s="306"/>
      <c r="Y51" s="797"/>
      <c r="Z51" s="797"/>
      <c r="AA51" s="797"/>
      <c r="AB51" s="797"/>
      <c r="AC51" s="798"/>
      <c r="AD51" s="798"/>
      <c r="AE51" s="798"/>
      <c r="AF51" s="798"/>
      <c r="AG51" s="782"/>
      <c r="AH51" s="838"/>
    </row>
    <row r="52" spans="1:34" ht="15" customHeight="1">
      <c r="B52" s="334"/>
      <c r="C52" s="334"/>
      <c r="D52" s="334"/>
      <c r="E52" s="334"/>
      <c r="F52" s="352"/>
      <c r="G52" s="582"/>
      <c r="H52" s="687" t="s">
        <v>1207</v>
      </c>
      <c r="I52" s="560"/>
      <c r="J52" s="560"/>
      <c r="K52" s="560"/>
      <c r="L52" s="686">
        <v>2300000000</v>
      </c>
      <c r="N52" s="680"/>
      <c r="O52" s="680"/>
      <c r="P52" s="680"/>
      <c r="Q52" s="685"/>
      <c r="R52" s="560" t="s">
        <v>1199</v>
      </c>
      <c r="S52" s="534"/>
      <c r="T52" s="534"/>
      <c r="U52" s="534"/>
      <c r="V52" s="537">
        <f>V40+V42-V50</f>
        <v>3387944070</v>
      </c>
      <c r="W52" s="685"/>
      <c r="Y52" s="685"/>
      <c r="Z52" s="685"/>
      <c r="AA52" s="685"/>
      <c r="AB52" s="685"/>
      <c r="AC52" s="798"/>
      <c r="AD52" s="582"/>
      <c r="AE52" s="582"/>
      <c r="AF52" s="582"/>
      <c r="AG52" s="841"/>
      <c r="AH52" s="685"/>
    </row>
    <row r="53" spans="1:34" ht="15" customHeight="1">
      <c r="B53" s="334"/>
      <c r="C53" s="334"/>
      <c r="D53" s="334"/>
      <c r="E53" s="334"/>
      <c r="F53" s="352"/>
      <c r="G53" s="582"/>
      <c r="H53" s="687" t="s">
        <v>1213</v>
      </c>
      <c r="I53" s="560"/>
      <c r="J53" s="560"/>
      <c r="K53" s="560"/>
      <c r="L53" s="686">
        <v>2000000000</v>
      </c>
      <c r="N53" s="335"/>
      <c r="O53" s="335"/>
      <c r="P53" s="335"/>
      <c r="Q53" s="797"/>
      <c r="R53" s="797"/>
      <c r="S53" s="797"/>
      <c r="T53" s="797"/>
      <c r="U53" s="797"/>
      <c r="V53" s="797"/>
      <c r="W53" s="797"/>
      <c r="Y53" s="797"/>
      <c r="Z53" s="797"/>
      <c r="AA53" s="797"/>
      <c r="AB53" s="797"/>
      <c r="AC53" s="797"/>
      <c r="AD53" s="797"/>
      <c r="AE53" s="797"/>
      <c r="AF53" s="797"/>
      <c r="AG53" s="797"/>
      <c r="AH53" s="797"/>
    </row>
    <row r="54" spans="1:34" s="335" customFormat="1" ht="15" customHeight="1">
      <c r="A54" s="559"/>
      <c r="B54"/>
      <c r="C54"/>
      <c r="D54"/>
      <c r="E54"/>
      <c r="F54"/>
      <c r="G54"/>
      <c r="H54"/>
      <c r="I54"/>
      <c r="J54"/>
      <c r="K54"/>
      <c r="L54"/>
      <c r="M54" s="559"/>
      <c r="Q54" s="797"/>
      <c r="R54" s="798"/>
      <c r="S54" s="798"/>
      <c r="T54" s="798"/>
      <c r="U54" s="798"/>
      <c r="V54" s="782"/>
      <c r="W54" s="782"/>
      <c r="AB54" s="797"/>
      <c r="AC54" s="798"/>
      <c r="AD54" s="798"/>
      <c r="AE54" s="798"/>
      <c r="AF54" s="798"/>
      <c r="AG54" s="782"/>
      <c r="AH54" s="782"/>
    </row>
    <row r="55" spans="1:34" s="335" customFormat="1" ht="15" customHeight="1">
      <c r="A55" s="559"/>
      <c r="B55"/>
      <c r="C55"/>
      <c r="D55"/>
      <c r="E55"/>
      <c r="F55"/>
      <c r="G55"/>
      <c r="H55" s="560" t="s">
        <v>900</v>
      </c>
      <c r="I55" s="560"/>
      <c r="J55" s="560"/>
      <c r="K55" s="560"/>
      <c r="L55" s="767">
        <f>SUM(L48:L54)</f>
        <v>11300000000</v>
      </c>
      <c r="M55" s="559"/>
      <c r="N55" s="352" t="s">
        <v>1248</v>
      </c>
      <c r="Y55" s="352" t="s">
        <v>1357</v>
      </c>
    </row>
    <row r="56" spans="1:34" s="335" customFormat="1" ht="15" customHeight="1">
      <c r="A56" s="559"/>
      <c r="B56"/>
      <c r="C56"/>
      <c r="D56"/>
      <c r="E56"/>
      <c r="F56"/>
      <c r="G56"/>
      <c r="H56"/>
      <c r="I56"/>
      <c r="J56"/>
      <c r="K56"/>
      <c r="L56"/>
      <c r="M56" s="559"/>
      <c r="N56" s="849" t="s">
        <v>0</v>
      </c>
      <c r="O56" s="849" t="s">
        <v>1241</v>
      </c>
      <c r="P56" s="849" t="s">
        <v>1</v>
      </c>
      <c r="Q56" s="849" t="s">
        <v>21</v>
      </c>
      <c r="R56" s="849" t="s">
        <v>83</v>
      </c>
      <c r="S56" s="849" t="s">
        <v>1323</v>
      </c>
      <c r="T56" s="849" t="s">
        <v>7</v>
      </c>
      <c r="U56" s="849" t="s">
        <v>8</v>
      </c>
      <c r="V56" s="849" t="s">
        <v>9</v>
      </c>
      <c r="W56" s="849" t="s">
        <v>82</v>
      </c>
      <c r="Y56" s="849" t="s">
        <v>0</v>
      </c>
      <c r="Z56" s="849" t="s">
        <v>1241</v>
      </c>
      <c r="AA56" s="849" t="s">
        <v>1</v>
      </c>
      <c r="AB56" s="849" t="s">
        <v>21</v>
      </c>
      <c r="AC56" s="849" t="s">
        <v>83</v>
      </c>
      <c r="AD56" s="849" t="s">
        <v>1323</v>
      </c>
      <c r="AE56" s="849" t="s">
        <v>7</v>
      </c>
      <c r="AF56" s="849" t="s">
        <v>8</v>
      </c>
      <c r="AG56" s="849" t="s">
        <v>9</v>
      </c>
      <c r="AH56" s="849" t="s">
        <v>82</v>
      </c>
    </row>
    <row r="57" spans="1:34" ht="15" customHeight="1">
      <c r="B57" s="334"/>
      <c r="C57" s="334"/>
      <c r="D57" s="334"/>
      <c r="E57" s="334"/>
      <c r="F57" s="352" t="s">
        <v>1293</v>
      </c>
      <c r="G57" s="582"/>
      <c r="H57" s="687"/>
      <c r="I57" s="560"/>
      <c r="J57" s="560"/>
      <c r="K57" s="560"/>
      <c r="L57" s="686">
        <f>8120*13*48000</f>
        <v>5066880000</v>
      </c>
      <c r="N57" s="849"/>
      <c r="O57" s="849"/>
      <c r="P57" s="849"/>
      <c r="Q57" s="849"/>
      <c r="R57" s="849"/>
      <c r="S57" s="849"/>
      <c r="T57" s="849"/>
      <c r="U57" s="849"/>
      <c r="V57" s="849"/>
      <c r="W57" s="849"/>
      <c r="Y57" s="849"/>
      <c r="Z57" s="849"/>
      <c r="AA57" s="849"/>
      <c r="AB57" s="849"/>
      <c r="AC57" s="849"/>
      <c r="AD57" s="849"/>
      <c r="AE57" s="849"/>
      <c r="AF57" s="849"/>
      <c r="AG57" s="849"/>
      <c r="AH57" s="849"/>
    </row>
    <row r="58" spans="1:34" ht="15" customHeight="1">
      <c r="B58" s="334"/>
      <c r="C58" s="334"/>
      <c r="D58" s="334"/>
      <c r="E58" s="334"/>
      <c r="F58" s="352" t="s">
        <v>1294</v>
      </c>
      <c r="G58" s="582"/>
      <c r="H58" s="687"/>
      <c r="I58" s="560"/>
      <c r="J58" s="560"/>
      <c r="K58" s="560"/>
      <c r="L58" s="686">
        <f>4060*13*48500</f>
        <v>2559830000</v>
      </c>
      <c r="N58" s="489">
        <v>1</v>
      </c>
      <c r="O58" s="355">
        <v>43183</v>
      </c>
      <c r="P58" s="355"/>
      <c r="Q58" s="253" t="s">
        <v>1242</v>
      </c>
      <c r="R58" s="809">
        <f>2030-818-R59-R80-R77</f>
        <v>20</v>
      </c>
      <c r="S58" s="310">
        <v>13</v>
      </c>
      <c r="T58" s="756">
        <f t="shared" ref="T58:T66" si="50">R58*S58</f>
        <v>260</v>
      </c>
      <c r="U58" s="310"/>
      <c r="V58" s="766">
        <f t="shared" ref="V58:V66" si="51">T58*U58</f>
        <v>0</v>
      </c>
      <c r="W58" s="814" t="s">
        <v>1317</v>
      </c>
      <c r="Y58" s="489">
        <v>1</v>
      </c>
      <c r="Z58" s="355">
        <v>43225</v>
      </c>
      <c r="AA58" s="355">
        <v>43232</v>
      </c>
      <c r="AB58" s="253" t="s">
        <v>1242</v>
      </c>
      <c r="AC58" s="836">
        <v>1330</v>
      </c>
      <c r="AD58" s="310">
        <v>13</v>
      </c>
      <c r="AE58" s="756">
        <f t="shared" ref="AE58:AE62" si="52">AC58*AD58</f>
        <v>17290</v>
      </c>
      <c r="AF58" s="310">
        <v>47500</v>
      </c>
      <c r="AG58" s="766">
        <f t="shared" ref="AG58:AG62" si="53">AE58*AF58</f>
        <v>821275000</v>
      </c>
      <c r="AH58" s="355" t="s">
        <v>1340</v>
      </c>
    </row>
    <row r="59" spans="1:34" ht="15" customHeight="1">
      <c r="B59" s="334"/>
      <c r="C59" s="334"/>
      <c r="D59" s="334"/>
      <c r="E59" s="334"/>
      <c r="F59" s="352" t="s">
        <v>1295</v>
      </c>
      <c r="G59" s="582"/>
      <c r="H59" s="687"/>
      <c r="I59" s="560"/>
      <c r="J59" s="560"/>
      <c r="K59" s="560"/>
      <c r="L59" s="686">
        <f>895*13*48500</f>
        <v>564297500</v>
      </c>
      <c r="N59" s="489">
        <v>2</v>
      </c>
      <c r="O59" s="355">
        <v>43183</v>
      </c>
      <c r="P59" s="355">
        <v>43193</v>
      </c>
      <c r="Q59" s="253" t="s">
        <v>1242</v>
      </c>
      <c r="R59" s="809">
        <v>46</v>
      </c>
      <c r="S59" s="310">
        <v>13</v>
      </c>
      <c r="T59" s="756">
        <f t="shared" si="50"/>
        <v>598</v>
      </c>
      <c r="U59" s="310">
        <v>49500</v>
      </c>
      <c r="V59" s="766">
        <f t="shared" si="51"/>
        <v>29601000</v>
      </c>
      <c r="W59" s="807" t="s">
        <v>1307</v>
      </c>
      <c r="Y59" s="489">
        <v>2</v>
      </c>
      <c r="Z59" s="355">
        <v>43225</v>
      </c>
      <c r="AA59" s="355">
        <v>43232</v>
      </c>
      <c r="AB59" s="253" t="s">
        <v>1242</v>
      </c>
      <c r="AC59" s="836">
        <v>1530</v>
      </c>
      <c r="AD59" s="310">
        <v>13</v>
      </c>
      <c r="AE59" s="756">
        <f t="shared" si="52"/>
        <v>19890</v>
      </c>
      <c r="AF59" s="310">
        <v>47500</v>
      </c>
      <c r="AG59" s="766">
        <f t="shared" si="53"/>
        <v>944775000</v>
      </c>
      <c r="AH59" s="835" t="s">
        <v>1341</v>
      </c>
    </row>
    <row r="60" spans="1:34" ht="15" customHeight="1">
      <c r="B60" s="334"/>
      <c r="C60" s="334"/>
      <c r="D60" s="334"/>
      <c r="E60" s="334"/>
      <c r="F60" s="352" t="s">
        <v>1297</v>
      </c>
      <c r="G60" s="582"/>
      <c r="H60" s="687"/>
      <c r="I60" s="560"/>
      <c r="J60" s="560"/>
      <c r="K60" s="560"/>
      <c r="L60" s="686">
        <f>350*13*48500</f>
        <v>220675000</v>
      </c>
      <c r="N60" s="489">
        <v>3</v>
      </c>
      <c r="O60" s="355">
        <v>43185</v>
      </c>
      <c r="P60" s="355">
        <v>43193</v>
      </c>
      <c r="Q60" s="253" t="s">
        <v>1242</v>
      </c>
      <c r="R60" s="809">
        <v>1478</v>
      </c>
      <c r="S60" s="310">
        <v>13</v>
      </c>
      <c r="T60" s="756">
        <f t="shared" si="50"/>
        <v>19214</v>
      </c>
      <c r="U60" s="310">
        <v>49500</v>
      </c>
      <c r="V60" s="766">
        <f t="shared" si="51"/>
        <v>951093000</v>
      </c>
      <c r="W60" s="832" t="s">
        <v>1308</v>
      </c>
      <c r="Y60" s="489">
        <v>3</v>
      </c>
      <c r="Z60" s="355">
        <v>43225</v>
      </c>
      <c r="AA60" s="355">
        <v>43232</v>
      </c>
      <c r="AB60" s="253" t="s">
        <v>1242</v>
      </c>
      <c r="AC60" s="836">
        <v>1200</v>
      </c>
      <c r="AD60" s="310">
        <v>13</v>
      </c>
      <c r="AE60" s="756">
        <f t="shared" si="52"/>
        <v>15600</v>
      </c>
      <c r="AF60" s="310">
        <v>47500</v>
      </c>
      <c r="AG60" s="766">
        <f t="shared" si="53"/>
        <v>741000000</v>
      </c>
      <c r="AH60" s="835" t="s">
        <v>947</v>
      </c>
    </row>
    <row r="61" spans="1:34" s="335" customFormat="1" ht="15" customHeight="1">
      <c r="A61" s="559"/>
      <c r="B61" s="334"/>
      <c r="C61" s="334"/>
      <c r="D61" s="334"/>
      <c r="E61" s="334"/>
      <c r="F61" s="352" t="s">
        <v>1296</v>
      </c>
      <c r="G61" s="582"/>
      <c r="H61" s="687"/>
      <c r="I61" s="560"/>
      <c r="J61" s="560"/>
      <c r="K61" s="560"/>
      <c r="L61" s="686">
        <f>1984*13*48500</f>
        <v>1250912000</v>
      </c>
      <c r="M61" s="559"/>
      <c r="N61" s="489">
        <v>4</v>
      </c>
      <c r="O61" s="355">
        <v>43210</v>
      </c>
      <c r="P61" s="355">
        <v>43216</v>
      </c>
      <c r="Q61" s="253" t="s">
        <v>1242</v>
      </c>
      <c r="R61" s="809">
        <v>2030</v>
      </c>
      <c r="S61" s="310">
        <v>13</v>
      </c>
      <c r="T61" s="756">
        <f t="shared" si="50"/>
        <v>26390</v>
      </c>
      <c r="U61" s="310">
        <v>49500</v>
      </c>
      <c r="V61" s="766">
        <f t="shared" si="51"/>
        <v>1306305000</v>
      </c>
      <c r="W61" s="832" t="s">
        <v>559</v>
      </c>
      <c r="Y61" s="489">
        <v>4</v>
      </c>
      <c r="Z61" s="355">
        <v>43227</v>
      </c>
      <c r="AA61" s="355">
        <v>43231</v>
      </c>
      <c r="AB61" s="253" t="s">
        <v>1242</v>
      </c>
      <c r="AC61" s="836">
        <v>1030</v>
      </c>
      <c r="AD61" s="310">
        <v>13</v>
      </c>
      <c r="AE61" s="756">
        <f t="shared" si="52"/>
        <v>13390</v>
      </c>
      <c r="AF61" s="310">
        <v>47500</v>
      </c>
      <c r="AG61" s="766">
        <f t="shared" si="53"/>
        <v>636025000</v>
      </c>
      <c r="AH61" s="835" t="s">
        <v>1342</v>
      </c>
    </row>
    <row r="62" spans="1:34" s="335" customFormat="1" ht="15" customHeight="1">
      <c r="A62" s="559"/>
      <c r="B62"/>
      <c r="C62"/>
      <c r="D62"/>
      <c r="E62"/>
      <c r="F62" s="352" t="s">
        <v>1298</v>
      </c>
      <c r="G62"/>
      <c r="H62"/>
      <c r="I62"/>
      <c r="J62"/>
      <c r="K62"/>
      <c r="L62" s="686">
        <f>10*13*48500</f>
        <v>6305000</v>
      </c>
      <c r="M62" s="559"/>
      <c r="N62" s="489">
        <v>5</v>
      </c>
      <c r="O62" s="355">
        <v>43210</v>
      </c>
      <c r="P62" s="355">
        <v>43216</v>
      </c>
      <c r="Q62" s="253" t="s">
        <v>1242</v>
      </c>
      <c r="R62" s="809">
        <v>2030</v>
      </c>
      <c r="S62" s="310">
        <v>13</v>
      </c>
      <c r="T62" s="756">
        <f t="shared" si="50"/>
        <v>26390</v>
      </c>
      <c r="U62" s="310">
        <v>49500</v>
      </c>
      <c r="V62" s="766">
        <f t="shared" si="51"/>
        <v>1306305000</v>
      </c>
      <c r="W62" s="832" t="s">
        <v>1311</v>
      </c>
      <c r="Y62" s="489">
        <v>5</v>
      </c>
      <c r="Z62" s="355">
        <v>43227</v>
      </c>
      <c r="AA62" s="355">
        <v>43231</v>
      </c>
      <c r="AB62" s="253" t="s">
        <v>1242</v>
      </c>
      <c r="AC62" s="836">
        <v>1000</v>
      </c>
      <c r="AD62" s="310">
        <v>13</v>
      </c>
      <c r="AE62" s="756">
        <f t="shared" si="52"/>
        <v>13000</v>
      </c>
      <c r="AF62" s="310">
        <v>47500</v>
      </c>
      <c r="AG62" s="766">
        <f t="shared" si="53"/>
        <v>617500000</v>
      </c>
      <c r="AH62" s="835" t="s">
        <v>946</v>
      </c>
    </row>
    <row r="63" spans="1:34" s="335" customFormat="1" ht="15" customHeight="1">
      <c r="A63" s="559"/>
      <c r="B63"/>
      <c r="C63"/>
      <c r="D63"/>
      <c r="E63"/>
      <c r="F63" s="352" t="s">
        <v>1299</v>
      </c>
      <c r="G63"/>
      <c r="H63"/>
      <c r="I63"/>
      <c r="J63"/>
      <c r="K63"/>
      <c r="L63" s="686">
        <f>4000*13*49000</f>
        <v>2548000000</v>
      </c>
      <c r="M63" s="559"/>
      <c r="N63" s="489">
        <v>6</v>
      </c>
      <c r="O63" s="355">
        <v>43211</v>
      </c>
      <c r="P63" s="355">
        <v>43222</v>
      </c>
      <c r="Q63" s="253" t="s">
        <v>1242</v>
      </c>
      <c r="R63" s="809">
        <v>2030</v>
      </c>
      <c r="S63" s="310">
        <v>13</v>
      </c>
      <c r="T63" s="756">
        <f t="shared" si="50"/>
        <v>26390</v>
      </c>
      <c r="U63" s="310">
        <v>49500</v>
      </c>
      <c r="V63" s="766">
        <f t="shared" si="51"/>
        <v>1306305000</v>
      </c>
      <c r="W63" s="832" t="s">
        <v>1312</v>
      </c>
      <c r="Y63" s="489"/>
      <c r="Z63" s="355"/>
      <c r="AA63" s="355"/>
      <c r="AB63" s="253"/>
      <c r="AC63" s="836"/>
      <c r="AD63" s="310"/>
      <c r="AE63" s="756"/>
      <c r="AF63" s="310"/>
      <c r="AG63" s="766"/>
      <c r="AH63" s="253"/>
    </row>
    <row r="64" spans="1:34" s="335" customFormat="1" ht="15" customHeight="1">
      <c r="A64" s="559"/>
      <c r="B64"/>
      <c r="C64"/>
      <c r="D64"/>
      <c r="E64"/>
      <c r="F64"/>
      <c r="G64"/>
      <c r="H64"/>
      <c r="I64"/>
      <c r="J64"/>
      <c r="K64"/>
      <c r="L64"/>
      <c r="M64" s="559"/>
      <c r="N64" s="489">
        <v>7</v>
      </c>
      <c r="O64" s="355">
        <v>43213</v>
      </c>
      <c r="P64" s="355">
        <v>43223</v>
      </c>
      <c r="Q64" s="253" t="s">
        <v>1242</v>
      </c>
      <c r="R64" s="809">
        <f>350-6</f>
        <v>344</v>
      </c>
      <c r="S64" s="310">
        <v>13</v>
      </c>
      <c r="T64" s="756">
        <f t="shared" si="50"/>
        <v>4472</v>
      </c>
      <c r="U64" s="310">
        <v>49500</v>
      </c>
      <c r="V64" s="766">
        <f t="shared" si="51"/>
        <v>221364000</v>
      </c>
      <c r="W64" s="832" t="s">
        <v>1332</v>
      </c>
      <c r="Y64" s="757"/>
      <c r="Z64" s="757"/>
      <c r="AA64" s="757"/>
      <c r="AB64" s="414" t="s">
        <v>19</v>
      </c>
      <c r="AC64" s="413">
        <f>SUM(AC58:AC63)</f>
        <v>6090</v>
      </c>
      <c r="AD64" s="413"/>
      <c r="AE64" s="762">
        <f>SUM(AE58:AE63)</f>
        <v>79170</v>
      </c>
      <c r="AF64" s="762"/>
      <c r="AG64" s="413">
        <f>SUM(AG58:AG63)</f>
        <v>3760575000</v>
      </c>
      <c r="AH64" s="413"/>
    </row>
    <row r="65" spans="1:34" s="335" customFormat="1" ht="15" customHeight="1">
      <c r="A65" s="559"/>
      <c r="B65"/>
      <c r="C65"/>
      <c r="D65"/>
      <c r="E65"/>
      <c r="F65"/>
      <c r="G65"/>
      <c r="H65"/>
      <c r="I65"/>
      <c r="J65"/>
      <c r="K65"/>
      <c r="L65" s="801">
        <f>SUM(L57:L64)</f>
        <v>12216899500</v>
      </c>
      <c r="M65" s="559"/>
      <c r="N65" s="489">
        <v>8</v>
      </c>
      <c r="O65" s="355">
        <v>43213</v>
      </c>
      <c r="P65" s="355">
        <v>43225</v>
      </c>
      <c r="Q65" s="253" t="s">
        <v>1242</v>
      </c>
      <c r="R65" s="833">
        <f>1120-R64</f>
        <v>776</v>
      </c>
      <c r="S65" s="310">
        <v>13</v>
      </c>
      <c r="T65" s="756">
        <f t="shared" ref="T65" si="54">R65*S65</f>
        <v>10088</v>
      </c>
      <c r="U65" s="310">
        <v>49500</v>
      </c>
      <c r="V65" s="766">
        <f t="shared" ref="V65" si="55">T65*U65</f>
        <v>499356000</v>
      </c>
      <c r="W65" s="832" t="s">
        <v>1313</v>
      </c>
      <c r="Y65" s="410"/>
      <c r="Z65" s="797"/>
      <c r="AA65" s="797"/>
      <c r="AB65" s="625"/>
      <c r="AC65" s="626"/>
      <c r="AD65" s="626"/>
      <c r="AE65" s="802"/>
      <c r="AF65" s="802"/>
      <c r="AG65" s="626"/>
      <c r="AH65" s="797"/>
    </row>
    <row r="66" spans="1:34" s="335" customFormat="1" ht="15" customHeight="1">
      <c r="A66" s="559"/>
      <c r="B66"/>
      <c r="C66"/>
      <c r="D66"/>
      <c r="E66"/>
      <c r="F66"/>
      <c r="G66"/>
      <c r="H66"/>
      <c r="I66"/>
      <c r="J66"/>
      <c r="K66"/>
      <c r="L66"/>
      <c r="M66" s="559"/>
      <c r="N66" s="489">
        <v>9</v>
      </c>
      <c r="O66" s="355">
        <v>43214</v>
      </c>
      <c r="P66" s="355">
        <v>43225</v>
      </c>
      <c r="Q66" s="253" t="s">
        <v>1242</v>
      </c>
      <c r="R66" s="310">
        <v>846</v>
      </c>
      <c r="S66" s="310">
        <v>13</v>
      </c>
      <c r="T66" s="756">
        <f t="shared" si="50"/>
        <v>10998</v>
      </c>
      <c r="U66" s="310">
        <v>49500</v>
      </c>
      <c r="V66" s="766">
        <f t="shared" si="51"/>
        <v>544401000</v>
      </c>
      <c r="W66" s="832" t="s">
        <v>1318</v>
      </c>
      <c r="Y66" s="534"/>
      <c r="Z66" s="534"/>
      <c r="AA66" s="534"/>
      <c r="AB66" s="534"/>
      <c r="AC66" s="687" t="s">
        <v>1355</v>
      </c>
      <c r="AD66" s="560"/>
      <c r="AE66" s="560"/>
      <c r="AF66" s="560"/>
      <c r="AG66" s="686">
        <v>500000000</v>
      </c>
      <c r="AH66" s="534"/>
    </row>
    <row r="67" spans="1:34" s="335" customFormat="1" ht="15" customHeight="1">
      <c r="A67" s="559"/>
      <c r="B67"/>
      <c r="C67"/>
      <c r="D67"/>
      <c r="E67"/>
      <c r="F67" s="560" t="s">
        <v>1199</v>
      </c>
      <c r="G67" s="534"/>
      <c r="H67" s="534"/>
      <c r="I67" s="534"/>
      <c r="J67" s="537"/>
      <c r="K67"/>
      <c r="L67" s="799">
        <f>L65-L55-L46</f>
        <v>613855570</v>
      </c>
      <c r="M67" s="559"/>
      <c r="N67" s="489">
        <v>10</v>
      </c>
      <c r="O67" s="355">
        <v>43214</v>
      </c>
      <c r="P67" s="355">
        <v>43225</v>
      </c>
      <c r="Q67" s="253" t="s">
        <v>1242</v>
      </c>
      <c r="R67" s="310">
        <f>910</f>
        <v>910</v>
      </c>
      <c r="S67" s="310">
        <v>13</v>
      </c>
      <c r="T67" s="756">
        <f t="shared" ref="T67" si="56">R67*S67</f>
        <v>11830</v>
      </c>
      <c r="U67" s="310">
        <v>49500</v>
      </c>
      <c r="V67" s="766">
        <f t="shared" ref="V67" si="57">T67*U67</f>
        <v>585585000</v>
      </c>
      <c r="W67" s="832" t="s">
        <v>1318</v>
      </c>
      <c r="Y67" s="534"/>
      <c r="Z67" s="534"/>
      <c r="AA67" s="534"/>
      <c r="AB67" s="534"/>
      <c r="AC67" s="687" t="s">
        <v>1354</v>
      </c>
      <c r="AD67" s="560"/>
      <c r="AE67" s="560"/>
      <c r="AF67" s="560"/>
      <c r="AG67" s="686">
        <v>2000550000</v>
      </c>
      <c r="AH67" s="534"/>
    </row>
    <row r="68" spans="1:34" ht="15" customHeight="1">
      <c r="N68" s="489">
        <v>11</v>
      </c>
      <c r="O68" s="355">
        <v>43217</v>
      </c>
      <c r="P68" s="355">
        <v>43225</v>
      </c>
      <c r="Q68" s="253" t="s">
        <v>1242</v>
      </c>
      <c r="R68" s="310">
        <v>1534</v>
      </c>
      <c r="S68" s="310">
        <v>13</v>
      </c>
      <c r="T68" s="756">
        <f t="shared" ref="T68:T70" si="58">R68*S68</f>
        <v>19942</v>
      </c>
      <c r="U68" s="310">
        <v>49000</v>
      </c>
      <c r="V68" s="766">
        <f t="shared" ref="V68:V70" si="59">T68*U68</f>
        <v>977158000</v>
      </c>
      <c r="W68" s="832" t="s">
        <v>1334</v>
      </c>
      <c r="Y68" s="534"/>
      <c r="Z68" s="534"/>
      <c r="AA68" s="534"/>
      <c r="AB68" s="534"/>
      <c r="AC68" s="687"/>
      <c r="AD68" s="560"/>
      <c r="AE68" s="560"/>
      <c r="AF68" s="560"/>
      <c r="AG68" s="686"/>
      <c r="AH68" s="534"/>
    </row>
    <row r="69" spans="1:34" ht="15" customHeight="1">
      <c r="N69" s="489">
        <v>12</v>
      </c>
      <c r="O69" s="355">
        <v>43217</v>
      </c>
      <c r="P69" s="355">
        <v>43227</v>
      </c>
      <c r="Q69" s="253" t="s">
        <v>1242</v>
      </c>
      <c r="R69" s="310">
        <f>1640-R68</f>
        <v>106</v>
      </c>
      <c r="S69" s="310">
        <v>13</v>
      </c>
      <c r="T69" s="756">
        <f t="shared" ref="T69" si="60">R69*S69</f>
        <v>1378</v>
      </c>
      <c r="U69" s="310">
        <v>49000</v>
      </c>
      <c r="V69" s="766">
        <f t="shared" ref="V69" si="61">T69*U69</f>
        <v>67522000</v>
      </c>
      <c r="W69" s="832" t="s">
        <v>1334</v>
      </c>
      <c r="AB69" s="784"/>
      <c r="AC69" s="784"/>
      <c r="AD69" s="784"/>
      <c r="AE69" s="784"/>
      <c r="AF69" s="784"/>
      <c r="AG69" s="784"/>
      <c r="AH69" s="784"/>
    </row>
    <row r="70" spans="1:34" ht="15" customHeight="1">
      <c r="N70" s="489">
        <v>13</v>
      </c>
      <c r="O70" s="355">
        <v>43217</v>
      </c>
      <c r="P70" s="355">
        <v>43227</v>
      </c>
      <c r="Q70" s="253" t="s">
        <v>1242</v>
      </c>
      <c r="R70" s="310">
        <v>1200</v>
      </c>
      <c r="S70" s="310">
        <v>13</v>
      </c>
      <c r="T70" s="756">
        <f t="shared" si="58"/>
        <v>15600</v>
      </c>
      <c r="U70" s="310">
        <v>49000</v>
      </c>
      <c r="V70" s="766">
        <f t="shared" si="59"/>
        <v>764400000</v>
      </c>
      <c r="W70" s="832" t="s">
        <v>1335</v>
      </c>
      <c r="Y70" s="335"/>
      <c r="Z70" s="335"/>
      <c r="AA70" s="335"/>
      <c r="AB70" s="335"/>
      <c r="AC70" s="560" t="s">
        <v>900</v>
      </c>
      <c r="AD70" s="560"/>
      <c r="AE70" s="560"/>
      <c r="AF70" s="560"/>
      <c r="AG70" s="767">
        <f>SUM(AG66:AG69)</f>
        <v>2500550000</v>
      </c>
      <c r="AH70" s="306"/>
    </row>
    <row r="71" spans="1:34" ht="15" customHeight="1">
      <c r="N71" s="489">
        <v>14</v>
      </c>
      <c r="O71" s="355">
        <v>43218</v>
      </c>
      <c r="P71" s="355">
        <v>43227</v>
      </c>
      <c r="Q71" s="253" t="s">
        <v>1242</v>
      </c>
      <c r="R71" s="310">
        <f>1200</f>
        <v>1200</v>
      </c>
      <c r="S71" s="310">
        <v>13</v>
      </c>
      <c r="T71" s="756">
        <f t="shared" ref="T71:T80" si="62">R71*S71</f>
        <v>15600</v>
      </c>
      <c r="U71" s="310">
        <v>51000</v>
      </c>
      <c r="V71" s="766">
        <f t="shared" ref="V71:V80" si="63">T71*U71</f>
        <v>795600000</v>
      </c>
      <c r="W71" s="832" t="s">
        <v>1336</v>
      </c>
      <c r="Y71" s="335"/>
      <c r="Z71" s="335"/>
      <c r="AA71" s="335"/>
      <c r="AB71" s="335"/>
      <c r="AC71" s="560"/>
      <c r="AD71" s="560"/>
      <c r="AE71" s="560"/>
      <c r="AF71" s="560"/>
      <c r="AG71" s="782"/>
      <c r="AH71" s="306"/>
    </row>
    <row r="72" spans="1:34" ht="15" customHeight="1">
      <c r="N72" s="489">
        <v>15</v>
      </c>
      <c r="O72" s="355">
        <v>43218</v>
      </c>
      <c r="P72" s="355">
        <v>43227</v>
      </c>
      <c r="Q72" s="253" t="s">
        <v>1242</v>
      </c>
      <c r="R72" s="310">
        <v>1100</v>
      </c>
      <c r="S72" s="310">
        <v>13</v>
      </c>
      <c r="T72" s="756">
        <f t="shared" si="62"/>
        <v>14300</v>
      </c>
      <c r="U72" s="310">
        <v>51000</v>
      </c>
      <c r="V72" s="766">
        <f t="shared" si="63"/>
        <v>729300000</v>
      </c>
      <c r="W72" s="832" t="s">
        <v>1337</v>
      </c>
      <c r="Y72" s="680"/>
      <c r="Z72" s="680"/>
      <c r="AA72" s="680"/>
      <c r="AB72" s="685"/>
      <c r="AC72" s="560" t="s">
        <v>1356</v>
      </c>
      <c r="AD72" s="534"/>
      <c r="AE72" s="534"/>
      <c r="AF72" s="534"/>
      <c r="AG72" s="537">
        <f>AG64-AG70</f>
        <v>1260025000</v>
      </c>
      <c r="AH72" s="685"/>
    </row>
    <row r="73" spans="1:34" ht="15" customHeight="1">
      <c r="N73" s="489">
        <v>16</v>
      </c>
      <c r="O73" s="355">
        <v>43222</v>
      </c>
      <c r="P73" s="355">
        <v>43227</v>
      </c>
      <c r="Q73" s="253" t="s">
        <v>1242</v>
      </c>
      <c r="R73" s="310">
        <v>454</v>
      </c>
      <c r="S73" s="310">
        <v>13</v>
      </c>
      <c r="T73" s="756">
        <f t="shared" si="62"/>
        <v>5902</v>
      </c>
      <c r="U73" s="310">
        <v>51000</v>
      </c>
      <c r="V73" s="766">
        <f t="shared" si="63"/>
        <v>301002000</v>
      </c>
      <c r="W73" s="832" t="s">
        <v>1336</v>
      </c>
    </row>
    <row r="74" spans="1:34" ht="15" customHeight="1">
      <c r="N74" s="489">
        <v>17</v>
      </c>
      <c r="O74" s="355">
        <v>43222</v>
      </c>
      <c r="P74" s="355"/>
      <c r="Q74" s="253" t="s">
        <v>1242</v>
      </c>
      <c r="R74" s="310">
        <f>1200-R73+143</f>
        <v>889</v>
      </c>
      <c r="S74" s="310">
        <v>13</v>
      </c>
      <c r="T74" s="756">
        <f t="shared" si="62"/>
        <v>11557</v>
      </c>
      <c r="U74" s="310">
        <v>51000</v>
      </c>
      <c r="V74" s="766"/>
      <c r="W74" s="832" t="s">
        <v>1338</v>
      </c>
    </row>
    <row r="75" spans="1:34" ht="15" customHeight="1">
      <c r="N75" s="489">
        <v>18</v>
      </c>
      <c r="O75" s="355">
        <v>43222</v>
      </c>
      <c r="P75" s="355">
        <v>43232</v>
      </c>
      <c r="Q75" s="253" t="s">
        <v>1242</v>
      </c>
      <c r="R75" s="310">
        <v>392</v>
      </c>
      <c r="S75" s="310">
        <v>13</v>
      </c>
      <c r="T75" s="756">
        <f t="shared" ref="T75" si="64">R75*S75</f>
        <v>5096</v>
      </c>
      <c r="U75" s="310">
        <v>47500</v>
      </c>
      <c r="V75" s="766">
        <f t="shared" ref="V75" si="65">T75*U75</f>
        <v>242060000</v>
      </c>
      <c r="W75" s="832" t="s">
        <v>1338</v>
      </c>
    </row>
    <row r="76" spans="1:34" ht="15" customHeight="1">
      <c r="N76" s="489">
        <v>19</v>
      </c>
      <c r="O76" s="355">
        <v>43222</v>
      </c>
      <c r="P76" s="355">
        <v>43232</v>
      </c>
      <c r="Q76" s="253" t="s">
        <v>1242</v>
      </c>
      <c r="R76" s="310">
        <f>1250-R75</f>
        <v>858</v>
      </c>
      <c r="S76" s="310">
        <v>13</v>
      </c>
      <c r="T76" s="756">
        <f t="shared" si="62"/>
        <v>11154</v>
      </c>
      <c r="U76" s="310">
        <v>51000</v>
      </c>
      <c r="V76" s="766">
        <f t="shared" si="63"/>
        <v>568854000</v>
      </c>
      <c r="W76" s="832" t="s">
        <v>1338</v>
      </c>
    </row>
    <row r="77" spans="1:34" ht="15" customHeight="1">
      <c r="N77" s="489">
        <v>20</v>
      </c>
      <c r="O77" s="355">
        <v>43183</v>
      </c>
      <c r="P77" s="355">
        <v>43232</v>
      </c>
      <c r="Q77" s="253" t="s">
        <v>1242</v>
      </c>
      <c r="R77" s="833">
        <f>788-10</f>
        <v>778</v>
      </c>
      <c r="S77" s="310">
        <v>13</v>
      </c>
      <c r="T77" s="756">
        <f t="shared" si="62"/>
        <v>10114</v>
      </c>
      <c r="U77" s="310">
        <v>47500</v>
      </c>
      <c r="V77" s="766">
        <f t="shared" si="63"/>
        <v>480415000</v>
      </c>
      <c r="W77" s="832" t="s">
        <v>1358</v>
      </c>
    </row>
    <row r="78" spans="1:34" ht="15" customHeight="1">
      <c r="N78" s="489">
        <v>21</v>
      </c>
      <c r="O78" s="355">
        <v>43226</v>
      </c>
      <c r="P78" s="355">
        <v>43231</v>
      </c>
      <c r="Q78" s="253" t="s">
        <v>1242</v>
      </c>
      <c r="R78" s="833">
        <v>2030</v>
      </c>
      <c r="S78" s="310">
        <v>13</v>
      </c>
      <c r="T78" s="756">
        <f t="shared" si="62"/>
        <v>26390</v>
      </c>
      <c r="U78" s="310">
        <v>47500</v>
      </c>
      <c r="V78" s="766">
        <f t="shared" si="63"/>
        <v>1253525000</v>
      </c>
      <c r="W78" s="832" t="s">
        <v>1339</v>
      </c>
    </row>
    <row r="79" spans="1:34" ht="15" customHeight="1">
      <c r="N79" s="489">
        <v>22</v>
      </c>
      <c r="O79" s="355">
        <v>43231</v>
      </c>
      <c r="P79" s="355">
        <v>43231</v>
      </c>
      <c r="Q79" s="253" t="s">
        <v>1242</v>
      </c>
      <c r="R79" s="833">
        <v>1660</v>
      </c>
      <c r="S79" s="310">
        <v>13</v>
      </c>
      <c r="T79" s="756">
        <f t="shared" si="62"/>
        <v>21580</v>
      </c>
      <c r="U79" s="310">
        <v>47500</v>
      </c>
      <c r="V79" s="766">
        <f t="shared" si="63"/>
        <v>1025050000</v>
      </c>
      <c r="W79" s="832" t="s">
        <v>1334</v>
      </c>
    </row>
    <row r="80" spans="1:34" ht="15" customHeight="1">
      <c r="N80" s="489">
        <v>23</v>
      </c>
      <c r="O80" s="355">
        <v>43183</v>
      </c>
      <c r="P80" s="355">
        <v>43231</v>
      </c>
      <c r="Q80" s="253" t="s">
        <v>1242</v>
      </c>
      <c r="R80" s="833">
        <f>378-10</f>
        <v>368</v>
      </c>
      <c r="S80" s="310">
        <v>13</v>
      </c>
      <c r="T80" s="756">
        <f t="shared" si="62"/>
        <v>4784</v>
      </c>
      <c r="U80" s="310">
        <v>47500</v>
      </c>
      <c r="V80" s="766">
        <f t="shared" si="63"/>
        <v>227240000</v>
      </c>
      <c r="W80" s="843" t="s">
        <v>1358</v>
      </c>
    </row>
    <row r="81" spans="14:23" ht="15" customHeight="1">
      <c r="N81" s="489"/>
      <c r="O81" s="355"/>
      <c r="P81" s="355"/>
      <c r="Q81" s="253"/>
      <c r="R81" s="833"/>
      <c r="S81" s="310"/>
      <c r="T81" s="756"/>
      <c r="U81" s="310"/>
      <c r="V81" s="766"/>
      <c r="W81" s="253"/>
    </row>
    <row r="82" spans="14:23" ht="15" customHeight="1">
      <c r="N82" s="757"/>
      <c r="O82" s="757"/>
      <c r="P82" s="757"/>
      <c r="Q82" s="414" t="s">
        <v>19</v>
      </c>
      <c r="R82" s="413">
        <f>SUM(R58:R81)</f>
        <v>23079</v>
      </c>
      <c r="S82" s="413"/>
      <c r="T82" s="762">
        <f>SUM(T58:T81)</f>
        <v>300027</v>
      </c>
      <c r="U82" s="762"/>
      <c r="V82" s="413">
        <f>SUM(V58:V81)</f>
        <v>14182441000</v>
      </c>
      <c r="W82" s="413"/>
    </row>
    <row r="83" spans="14:23" ht="15" customHeight="1">
      <c r="N83" s="410"/>
      <c r="O83" s="797"/>
      <c r="P83" s="797"/>
      <c r="Q83" s="625"/>
      <c r="R83" s="626"/>
      <c r="S83" s="626"/>
      <c r="T83" s="802"/>
      <c r="U83" s="802"/>
      <c r="V83" s="626"/>
      <c r="W83" s="797"/>
    </row>
    <row r="84" spans="14:23" ht="15" customHeight="1">
      <c r="N84" s="849" t="s">
        <v>0</v>
      </c>
      <c r="O84" s="849" t="s">
        <v>1241</v>
      </c>
      <c r="P84" s="849" t="s">
        <v>1</v>
      </c>
      <c r="Q84" s="849" t="s">
        <v>21</v>
      </c>
      <c r="R84" s="849" t="s">
        <v>83</v>
      </c>
      <c r="S84" s="849" t="s">
        <v>1323</v>
      </c>
      <c r="T84" s="849" t="s">
        <v>7</v>
      </c>
      <c r="U84" s="849" t="s">
        <v>8</v>
      </c>
      <c r="V84" s="849" t="s">
        <v>9</v>
      </c>
      <c r="W84" s="849" t="s">
        <v>82</v>
      </c>
    </row>
    <row r="85" spans="14:23" ht="15" customHeight="1">
      <c r="N85" s="849"/>
      <c r="O85" s="849"/>
      <c r="P85" s="849"/>
      <c r="Q85" s="849"/>
      <c r="R85" s="849"/>
      <c r="S85" s="849"/>
      <c r="T85" s="849"/>
      <c r="U85" s="849"/>
      <c r="V85" s="849"/>
      <c r="W85" s="849"/>
    </row>
    <row r="86" spans="14:23" ht="15" customHeight="1">
      <c r="N86" s="489">
        <v>1</v>
      </c>
      <c r="O86" s="355">
        <v>43210</v>
      </c>
      <c r="P86" s="355"/>
      <c r="Q86" s="253" t="s">
        <v>1325</v>
      </c>
      <c r="R86" s="310">
        <f>691</f>
        <v>691</v>
      </c>
      <c r="S86" s="310">
        <v>20</v>
      </c>
      <c r="T86" s="756">
        <f>R86*S86-234.5</f>
        <v>13585.5</v>
      </c>
      <c r="U86" s="310">
        <v>40000</v>
      </c>
      <c r="V86" s="766">
        <f t="shared" ref="V86:V89" si="66">T86*U86</f>
        <v>543420000</v>
      </c>
      <c r="W86" s="807" t="s">
        <v>1319</v>
      </c>
    </row>
    <row r="87" spans="14:23" ht="15" customHeight="1">
      <c r="N87" s="489">
        <v>2</v>
      </c>
      <c r="O87" s="355">
        <v>43210</v>
      </c>
      <c r="P87" s="355"/>
      <c r="Q87" s="253" t="s">
        <v>1243</v>
      </c>
      <c r="R87" s="310">
        <v>465</v>
      </c>
      <c r="S87" s="310">
        <v>20</v>
      </c>
      <c r="T87" s="756">
        <f t="shared" ref="T87:T89" si="67">R87*S87</f>
        <v>9300</v>
      </c>
      <c r="U87" s="310">
        <v>40000</v>
      </c>
      <c r="V87" s="766">
        <f t="shared" si="66"/>
        <v>372000000</v>
      </c>
      <c r="W87" s="807"/>
    </row>
    <row r="88" spans="14:23" ht="15" customHeight="1">
      <c r="N88" s="489">
        <v>3</v>
      </c>
      <c r="O88" s="355">
        <v>43211</v>
      </c>
      <c r="P88" s="355"/>
      <c r="Q88" s="253" t="s">
        <v>1326</v>
      </c>
      <c r="R88" s="310">
        <v>252</v>
      </c>
      <c r="S88" s="310">
        <v>20</v>
      </c>
      <c r="T88" s="756">
        <f>R88*S88-63</f>
        <v>4977</v>
      </c>
      <c r="U88" s="310">
        <v>40000</v>
      </c>
      <c r="V88" s="766">
        <f t="shared" si="66"/>
        <v>199080000</v>
      </c>
      <c r="W88" s="807" t="s">
        <v>1320</v>
      </c>
    </row>
    <row r="89" spans="14:23" ht="15" customHeight="1">
      <c r="N89" s="489"/>
      <c r="O89" s="355"/>
      <c r="P89" s="355"/>
      <c r="Q89" s="253"/>
      <c r="R89" s="809"/>
      <c r="S89" s="310"/>
      <c r="T89" s="756">
        <f t="shared" si="67"/>
        <v>0</v>
      </c>
      <c r="U89" s="310"/>
      <c r="V89" s="766">
        <f t="shared" si="66"/>
        <v>0</v>
      </c>
      <c r="W89" s="807"/>
    </row>
    <row r="90" spans="14:23" ht="15" customHeight="1">
      <c r="N90" s="764"/>
      <c r="O90" s="757"/>
      <c r="P90" s="757"/>
      <c r="Q90" s="414" t="s">
        <v>19</v>
      </c>
      <c r="R90" s="413">
        <f>SUM(R86:R89)</f>
        <v>1408</v>
      </c>
      <c r="S90" s="413"/>
      <c r="T90" s="762">
        <f>SUM(T86:T89)</f>
        <v>27862.5</v>
      </c>
      <c r="U90" s="762"/>
      <c r="V90" s="413">
        <f>SUM(V86:V89)</f>
        <v>1114500000</v>
      </c>
      <c r="W90" s="757"/>
    </row>
    <row r="91" spans="14:23" ht="5.25" customHeight="1">
      <c r="N91" s="410"/>
      <c r="O91" s="797"/>
      <c r="P91" s="797"/>
      <c r="Q91" s="625"/>
      <c r="R91" s="626"/>
      <c r="S91" s="626"/>
      <c r="T91" s="802"/>
      <c r="U91" s="802"/>
      <c r="V91" s="626"/>
      <c r="W91" s="797"/>
    </row>
    <row r="92" spans="14:23" ht="15" customHeight="1">
      <c r="N92" s="335"/>
      <c r="O92" s="335"/>
      <c r="P92" s="335"/>
      <c r="Q92" s="335"/>
      <c r="R92" s="534" t="s">
        <v>1300</v>
      </c>
      <c r="S92" s="335"/>
      <c r="T92" s="335"/>
      <c r="U92" s="335"/>
      <c r="V92" s="537">
        <f>V52</f>
        <v>3387944070</v>
      </c>
      <c r="W92" s="335"/>
    </row>
    <row r="93" spans="14:23" ht="15" customHeight="1">
      <c r="N93" s="335"/>
      <c r="O93" s="335"/>
      <c r="P93" s="335"/>
      <c r="Q93" s="335"/>
      <c r="R93" s="534"/>
      <c r="S93" s="335"/>
      <c r="T93" s="335"/>
      <c r="U93" s="335"/>
      <c r="V93" s="537"/>
      <c r="W93" s="335"/>
    </row>
    <row r="94" spans="14:23" ht="15" customHeight="1">
      <c r="N94" s="335"/>
      <c r="O94" s="335"/>
      <c r="P94" s="335"/>
      <c r="Q94" s="335"/>
      <c r="R94" s="534" t="s">
        <v>1362</v>
      </c>
      <c r="S94" s="335"/>
      <c r="T94" s="335"/>
      <c r="U94" s="335"/>
      <c r="V94" s="845">
        <f>V82+V90+V92</f>
        <v>18684885070</v>
      </c>
      <c r="W94" s="335"/>
    </row>
    <row r="95" spans="14:23" ht="15" customHeight="1">
      <c r="N95" s="534"/>
      <c r="O95" s="534"/>
      <c r="P95" s="534"/>
      <c r="Q95" s="534"/>
      <c r="R95" s="560"/>
      <c r="S95" s="534"/>
      <c r="T95" s="534"/>
      <c r="U95" s="534"/>
      <c r="V95" s="537"/>
      <c r="W95" s="534"/>
    </row>
    <row r="96" spans="14:23" ht="15" customHeight="1">
      <c r="N96" s="534"/>
      <c r="O96" s="534"/>
      <c r="P96" s="534" t="s">
        <v>1359</v>
      </c>
      <c r="Q96" s="534"/>
      <c r="R96" s="687"/>
      <c r="S96" s="560"/>
      <c r="T96" s="560"/>
      <c r="U96" s="560"/>
      <c r="V96" s="686">
        <f>1232*13*52000</f>
        <v>832832000</v>
      </c>
      <c r="W96" s="534"/>
    </row>
    <row r="97" spans="14:23" ht="15" customHeight="1">
      <c r="N97" s="534"/>
      <c r="O97" s="534"/>
      <c r="P97" s="534" t="s">
        <v>1322</v>
      </c>
      <c r="Q97" s="534"/>
      <c r="R97" s="687"/>
      <c r="S97" s="560"/>
      <c r="T97" s="560"/>
      <c r="U97" s="560"/>
      <c r="V97" s="686">
        <f>(11300000000+15500000000)*0.033%</f>
        <v>8844000</v>
      </c>
      <c r="W97" s="534"/>
    </row>
    <row r="98" spans="14:23" ht="15" customHeight="1">
      <c r="N98" s="534"/>
      <c r="O98" s="534"/>
      <c r="P98" s="534" t="s">
        <v>1353</v>
      </c>
      <c r="Q98" s="534"/>
      <c r="R98" s="687"/>
      <c r="S98" s="560"/>
      <c r="T98" s="560"/>
      <c r="U98" s="560"/>
      <c r="V98" s="686">
        <f>1166*13/1000*50*15000</f>
        <v>11368500</v>
      </c>
      <c r="W98" s="534"/>
    </row>
    <row r="99" spans="14:23" ht="15" customHeight="1">
      <c r="N99" s="534"/>
      <c r="O99" s="534"/>
      <c r="P99" s="534" t="s">
        <v>1363</v>
      </c>
      <c r="Q99" s="534"/>
      <c r="R99" s="687"/>
      <c r="S99" s="560"/>
      <c r="T99" s="560"/>
      <c r="U99" s="560"/>
      <c r="V99" s="686">
        <v>18000000</v>
      </c>
      <c r="W99" s="534"/>
    </row>
    <row r="100" spans="14:23" ht="15" customHeight="1">
      <c r="N100" s="534"/>
      <c r="O100" s="534"/>
      <c r="P100" s="534" t="s">
        <v>1360</v>
      </c>
      <c r="Q100" s="534"/>
      <c r="R100" s="687"/>
      <c r="S100" s="560"/>
      <c r="T100" s="560"/>
      <c r="U100" s="560"/>
      <c r="V100" s="686">
        <f>48*13*3500</f>
        <v>2184000</v>
      </c>
      <c r="W100" s="534"/>
    </row>
    <row r="101" spans="14:23" ht="15" customHeight="1">
      <c r="N101" s="534"/>
      <c r="O101" s="534"/>
      <c r="P101" s="534" t="s">
        <v>1361</v>
      </c>
      <c r="Q101" s="534"/>
      <c r="R101" s="687"/>
      <c r="S101" s="560"/>
      <c r="T101" s="560"/>
      <c r="U101" s="560"/>
      <c r="V101" s="686">
        <f>810*13*1500</f>
        <v>15795000</v>
      </c>
      <c r="W101" s="534"/>
    </row>
    <row r="102" spans="14:23" ht="15" customHeight="1">
      <c r="N102" s="534"/>
      <c r="O102" s="534"/>
      <c r="P102" s="534"/>
      <c r="Q102" s="534"/>
      <c r="R102" s="687" t="s">
        <v>1321</v>
      </c>
      <c r="S102" s="560"/>
      <c r="T102" s="560"/>
      <c r="U102" s="560"/>
      <c r="V102" s="686">
        <f>3000000000+1650000</f>
        <v>3001650000</v>
      </c>
      <c r="W102" s="534"/>
    </row>
    <row r="103" spans="14:23" ht="15" customHeight="1">
      <c r="N103" s="534"/>
      <c r="O103" s="534"/>
      <c r="P103" s="534"/>
      <c r="Q103" s="534"/>
      <c r="R103" s="687" t="s">
        <v>1344</v>
      </c>
      <c r="S103" s="560"/>
      <c r="T103" s="560"/>
      <c r="U103" s="560"/>
      <c r="V103" s="686">
        <v>1000770000</v>
      </c>
      <c r="W103" s="534"/>
    </row>
    <row r="104" spans="14:23" ht="15" customHeight="1">
      <c r="N104" s="534"/>
      <c r="O104" s="534"/>
      <c r="P104" s="534"/>
      <c r="Q104" s="534"/>
      <c r="R104" s="687" t="s">
        <v>1345</v>
      </c>
      <c r="S104" s="560"/>
      <c r="T104" s="560"/>
      <c r="U104" s="560"/>
      <c r="V104" s="686">
        <v>2500550000</v>
      </c>
      <c r="W104" s="534"/>
    </row>
    <row r="105" spans="14:23" ht="15" customHeight="1">
      <c r="Q105" s="784"/>
      <c r="R105" s="784"/>
      <c r="S105" s="784"/>
      <c r="T105" s="784"/>
      <c r="U105" s="784"/>
      <c r="V105" s="784"/>
      <c r="W105" s="784"/>
    </row>
    <row r="106" spans="14:23" ht="15" customHeight="1">
      <c r="N106" s="335"/>
      <c r="O106" s="335"/>
      <c r="P106" s="335"/>
      <c r="Q106" s="335"/>
      <c r="R106" s="560" t="s">
        <v>900</v>
      </c>
      <c r="S106" s="560"/>
      <c r="T106" s="560"/>
      <c r="U106" s="560"/>
      <c r="V106" s="767">
        <f>SUM(V95:V105)</f>
        <v>7391993500</v>
      </c>
      <c r="W106" s="306"/>
    </row>
    <row r="107" spans="14:23" ht="15" customHeight="1">
      <c r="N107" s="335"/>
      <c r="O107" s="335"/>
      <c r="P107" s="335"/>
      <c r="Q107" s="335"/>
      <c r="R107" s="560"/>
      <c r="S107" s="560"/>
      <c r="T107" s="560"/>
      <c r="U107" s="560"/>
      <c r="V107" s="782"/>
      <c r="W107" s="306"/>
    </row>
    <row r="108" spans="14:23" ht="15" customHeight="1">
      <c r="N108" s="680"/>
      <c r="O108" s="680"/>
      <c r="P108" s="680"/>
      <c r="Q108" s="685"/>
      <c r="R108" s="560" t="s">
        <v>1199</v>
      </c>
      <c r="S108" s="534"/>
      <c r="T108" s="534"/>
      <c r="U108" s="534"/>
      <c r="V108" s="537">
        <f>V94-V106</f>
        <v>11292891570</v>
      </c>
      <c r="W108" s="685"/>
    </row>
  </sheetData>
  <mergeCells count="76">
    <mergeCell ref="AH27:AH31"/>
    <mergeCell ref="AD15:AD16"/>
    <mergeCell ref="AE15:AE16"/>
    <mergeCell ref="AF15:AF16"/>
    <mergeCell ref="AG15:AG16"/>
    <mergeCell ref="AH15:AH16"/>
    <mergeCell ref="Y15:Y16"/>
    <mergeCell ref="Z15:Z16"/>
    <mergeCell ref="AA15:AA16"/>
    <mergeCell ref="AB15:AB16"/>
    <mergeCell ref="AC15:AC16"/>
    <mergeCell ref="AD56:AD57"/>
    <mergeCell ref="AE56:AE57"/>
    <mergeCell ref="AF56:AF57"/>
    <mergeCell ref="AG56:AG57"/>
    <mergeCell ref="AH56:AH57"/>
    <mergeCell ref="Y56:Y57"/>
    <mergeCell ref="Z56:Z57"/>
    <mergeCell ref="AA56:AA57"/>
    <mergeCell ref="AB56:AB57"/>
    <mergeCell ref="AC56:AC57"/>
    <mergeCell ref="N84:N85"/>
    <mergeCell ref="O84:O85"/>
    <mergeCell ref="P84:P85"/>
    <mergeCell ref="Q84:Q85"/>
    <mergeCell ref="R84:R85"/>
    <mergeCell ref="S84:S85"/>
    <mergeCell ref="T84:T85"/>
    <mergeCell ref="U84:U85"/>
    <mergeCell ref="V84:V85"/>
    <mergeCell ref="W84:W85"/>
    <mergeCell ref="S56:S57"/>
    <mergeCell ref="T56:T57"/>
    <mergeCell ref="U56:U57"/>
    <mergeCell ref="V56:V57"/>
    <mergeCell ref="W56:W57"/>
    <mergeCell ref="N56:N57"/>
    <mergeCell ref="O56:O57"/>
    <mergeCell ref="P56:P57"/>
    <mergeCell ref="Q56:Q57"/>
    <mergeCell ref="R56:R57"/>
    <mergeCell ref="T15:T16"/>
    <mergeCell ref="U15:U16"/>
    <mergeCell ref="V15:V16"/>
    <mergeCell ref="P15:P16"/>
    <mergeCell ref="H39:I39"/>
    <mergeCell ref="H15:I16"/>
    <mergeCell ref="F17:F23"/>
    <mergeCell ref="F29:F32"/>
    <mergeCell ref="F33:F35"/>
    <mergeCell ref="J2:J3"/>
    <mergeCell ref="K2:K3"/>
    <mergeCell ref="L2:L3"/>
    <mergeCell ref="B2:B3"/>
    <mergeCell ref="C2:C3"/>
    <mergeCell ref="D2:D3"/>
    <mergeCell ref="F2:F3"/>
    <mergeCell ref="G2:G3"/>
    <mergeCell ref="H2:I3"/>
    <mergeCell ref="E2:E3"/>
    <mergeCell ref="W27:W31"/>
    <mergeCell ref="B15:B16"/>
    <mergeCell ref="C15:C16"/>
    <mergeCell ref="D15:D16"/>
    <mergeCell ref="F15:F16"/>
    <mergeCell ref="G15:G16"/>
    <mergeCell ref="J15:J16"/>
    <mergeCell ref="K15:K16"/>
    <mergeCell ref="L15:L16"/>
    <mergeCell ref="E15:E16"/>
    <mergeCell ref="W15:W16"/>
    <mergeCell ref="R15:R16"/>
    <mergeCell ref="Q15:Q16"/>
    <mergeCell ref="S15:S16"/>
    <mergeCell ref="N15:N16"/>
    <mergeCell ref="O15:O16"/>
  </mergeCells>
  <pageMargins left="0.28999999999999998" right="0.16" top="0.27" bottom="0.16" header="0.16" footer="0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O75" sqref="O75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1246</v>
      </c>
    </row>
    <row r="2" spans="1:10" s="335" customFormat="1" ht="21.75" customHeight="1">
      <c r="A2" s="849" t="s">
        <v>0</v>
      </c>
      <c r="B2" s="849" t="s">
        <v>1241</v>
      </c>
      <c r="C2" s="849" t="s">
        <v>1</v>
      </c>
      <c r="D2" s="849" t="s">
        <v>21</v>
      </c>
      <c r="E2" s="849" t="s">
        <v>83</v>
      </c>
      <c r="F2" s="849" t="s">
        <v>1244</v>
      </c>
      <c r="G2" s="849" t="s">
        <v>7</v>
      </c>
      <c r="H2" s="849" t="s">
        <v>8</v>
      </c>
      <c r="I2" s="849" t="s">
        <v>9</v>
      </c>
      <c r="J2" s="849" t="s">
        <v>82</v>
      </c>
    </row>
    <row r="3" spans="1:10" s="335" customFormat="1" ht="15" customHeight="1">
      <c r="A3" s="849"/>
      <c r="B3" s="849"/>
      <c r="C3" s="849"/>
      <c r="D3" s="849"/>
      <c r="E3" s="849"/>
      <c r="F3" s="849"/>
      <c r="G3" s="849"/>
      <c r="H3" s="849"/>
      <c r="I3" s="849"/>
      <c r="J3" s="849"/>
    </row>
    <row r="4" spans="1:10" s="335" customFormat="1" ht="15" customHeight="1">
      <c r="A4" s="763">
        <v>1</v>
      </c>
      <c r="B4" s="355">
        <v>43157</v>
      </c>
      <c r="C4" s="513">
        <v>43166</v>
      </c>
      <c r="D4" s="758" t="s">
        <v>1242</v>
      </c>
      <c r="E4" s="760">
        <v>2030</v>
      </c>
      <c r="F4" s="310">
        <v>13</v>
      </c>
      <c r="G4" s="756">
        <f>E4*F4</f>
        <v>26390</v>
      </c>
      <c r="H4" s="310">
        <v>49500</v>
      </c>
      <c r="I4" s="765">
        <f>G4*H4</f>
        <v>1306305000</v>
      </c>
      <c r="J4" s="758"/>
    </row>
    <row r="5" spans="1:10" s="335" customFormat="1" ht="15" customHeight="1">
      <c r="A5" s="489">
        <v>2</v>
      </c>
      <c r="B5" s="355">
        <v>43159</v>
      </c>
      <c r="C5" s="513">
        <v>43166</v>
      </c>
      <c r="D5" s="253" t="s">
        <v>1242</v>
      </c>
      <c r="E5" s="310">
        <v>2030</v>
      </c>
      <c r="F5" s="310">
        <v>13</v>
      </c>
      <c r="G5" s="756">
        <f t="shared" ref="G5:G23" si="0">E5*F5</f>
        <v>26390</v>
      </c>
      <c r="H5" s="310">
        <v>49500</v>
      </c>
      <c r="I5" s="766">
        <f t="shared" ref="I5:I22" si="1">G5*H5</f>
        <v>1306305000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6">
        <f t="shared" si="0"/>
        <v>0</v>
      </c>
      <c r="H6" s="310"/>
      <c r="I6" s="766">
        <f t="shared" si="1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6">
        <f t="shared" si="0"/>
        <v>0</v>
      </c>
      <c r="H7" s="310"/>
      <c r="I7" s="766">
        <f t="shared" si="1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6">
        <f t="shared" si="0"/>
        <v>0</v>
      </c>
      <c r="H8" s="310"/>
      <c r="I8" s="766">
        <f t="shared" si="1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6">
        <f t="shared" si="0"/>
        <v>0</v>
      </c>
      <c r="H9" s="310"/>
      <c r="I9" s="766">
        <f t="shared" si="1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6">
        <f t="shared" si="0"/>
        <v>0</v>
      </c>
      <c r="H10" s="310"/>
      <c r="I10" s="766">
        <f t="shared" si="1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6">
        <f t="shared" si="0"/>
        <v>0</v>
      </c>
      <c r="H11" s="310"/>
      <c r="I11" s="766">
        <f t="shared" si="1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6">
        <f t="shared" si="0"/>
        <v>0</v>
      </c>
      <c r="H12" s="310"/>
      <c r="I12" s="766">
        <f t="shared" si="1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6">
        <f t="shared" si="0"/>
        <v>0</v>
      </c>
      <c r="H13" s="310"/>
      <c r="I13" s="766">
        <f t="shared" si="1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6">
        <f t="shared" si="0"/>
        <v>0</v>
      </c>
      <c r="H14" s="310"/>
      <c r="I14" s="766">
        <f t="shared" si="1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6">
        <f t="shared" si="0"/>
        <v>0</v>
      </c>
      <c r="H15" s="310"/>
      <c r="I15" s="766">
        <f t="shared" si="1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6">
        <f t="shared" si="0"/>
        <v>0</v>
      </c>
      <c r="H16" s="310"/>
      <c r="I16" s="766">
        <f t="shared" si="1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6">
        <f t="shared" si="0"/>
        <v>0</v>
      </c>
      <c r="H17" s="310"/>
      <c r="I17" s="766">
        <f t="shared" si="1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6">
        <f t="shared" si="0"/>
        <v>0</v>
      </c>
      <c r="H18" s="310"/>
      <c r="I18" s="766">
        <f t="shared" si="1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6">
        <f t="shared" si="0"/>
        <v>0</v>
      </c>
      <c r="H19" s="310"/>
      <c r="I19" s="766">
        <f t="shared" si="1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6">
        <f t="shared" si="0"/>
        <v>0</v>
      </c>
      <c r="H20" s="310"/>
      <c r="I20" s="766">
        <f t="shared" si="1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6">
        <f t="shared" si="0"/>
        <v>0</v>
      </c>
      <c r="H21" s="310"/>
      <c r="I21" s="766">
        <f t="shared" si="1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6">
        <f t="shared" si="0"/>
        <v>0</v>
      </c>
      <c r="H22" s="310"/>
      <c r="I22" s="766">
        <f t="shared" si="1"/>
        <v>0</v>
      </c>
      <c r="J22" s="253"/>
    </row>
    <row r="23" spans="1:10" s="335" customFormat="1" ht="4.5" customHeight="1">
      <c r="A23" s="359"/>
      <c r="B23" s="355"/>
      <c r="C23" s="722"/>
      <c r="D23" s="759"/>
      <c r="E23" s="761"/>
      <c r="F23" s="761"/>
      <c r="G23" s="756">
        <f t="shared" si="0"/>
        <v>0</v>
      </c>
      <c r="H23" s="761"/>
      <c r="I23" s="759"/>
      <c r="J23" s="759"/>
    </row>
    <row r="24" spans="1:10" s="335" customFormat="1" ht="15">
      <c r="A24" s="764"/>
      <c r="B24" s="757"/>
      <c r="C24" s="757"/>
      <c r="D24" s="414" t="s">
        <v>19</v>
      </c>
      <c r="E24" s="413">
        <f>SUM(E4:E23)</f>
        <v>4060</v>
      </c>
      <c r="F24" s="413"/>
      <c r="G24" s="762">
        <f>SUM(G4:G23)</f>
        <v>52780</v>
      </c>
      <c r="H24" s="762"/>
      <c r="I24" s="413">
        <f t="shared" ref="I24" si="2">SUM(I4:I23)</f>
        <v>2612610000</v>
      </c>
      <c r="J24" s="757"/>
    </row>
    <row r="25" spans="1:10" s="335" customFormat="1" ht="6.75" customHeight="1"/>
    <row r="26" spans="1:10" s="335" customFormat="1" ht="15">
      <c r="E26" s="687" t="s">
        <v>1240</v>
      </c>
      <c r="F26" s="560"/>
      <c r="G26" s="560"/>
      <c r="H26" s="560"/>
      <c r="I26" s="686">
        <v>1305900000</v>
      </c>
    </row>
    <row r="27" spans="1:10" s="335" customFormat="1" ht="15">
      <c r="E27" s="687"/>
      <c r="F27" s="560"/>
      <c r="G27" s="560"/>
      <c r="H27" s="560"/>
      <c r="I27" s="686"/>
    </row>
    <row r="28" spans="1:10" s="335" customFormat="1" ht="15">
      <c r="E28" s="687"/>
      <c r="F28" s="560"/>
      <c r="G28" s="560"/>
      <c r="H28" s="560"/>
      <c r="I28" s="686"/>
    </row>
    <row r="29" spans="1:10" s="335" customFormat="1" ht="15">
      <c r="E29" s="687"/>
      <c r="F29" s="560"/>
      <c r="G29" s="560"/>
      <c r="H29" s="560"/>
      <c r="I29" s="686"/>
    </row>
    <row r="30" spans="1:10" s="335" customFormat="1" ht="15">
      <c r="E30" s="687"/>
      <c r="F30" s="560"/>
      <c r="G30" s="560"/>
      <c r="H30" s="560"/>
      <c r="I30" s="686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7">
        <f>SUM(I26:I31)</f>
        <v>1305900000</v>
      </c>
    </row>
    <row r="33" spans="2:9" s="680" customFormat="1" ht="14.25">
      <c r="E33" s="560"/>
      <c r="F33" s="560"/>
      <c r="G33" s="560"/>
      <c r="H33" s="560"/>
      <c r="I33" s="782"/>
    </row>
    <row r="34" spans="2:9" s="680" customFormat="1" ht="14.25">
      <c r="B34" s="685"/>
      <c r="C34" s="685"/>
      <c r="D34" s="685"/>
      <c r="E34" s="560" t="s">
        <v>1247</v>
      </c>
      <c r="F34"/>
      <c r="G34"/>
      <c r="H34"/>
      <c r="I34" s="782">
        <f>I24-I32</f>
        <v>1306710000</v>
      </c>
    </row>
    <row r="35" spans="2:9" s="680" customFormat="1" ht="14.25">
      <c r="B35" s="685"/>
      <c r="C35" s="685"/>
      <c r="D35"/>
      <c r="E35"/>
      <c r="F35"/>
      <c r="G35"/>
      <c r="H35"/>
      <c r="I35" s="783"/>
    </row>
    <row r="36" spans="2:9" s="680" customFormat="1" ht="14.25">
      <c r="B36" s="685"/>
      <c r="C36" s="685"/>
      <c r="D36"/>
      <c r="E36"/>
      <c r="F36"/>
      <c r="G36"/>
      <c r="H36"/>
      <c r="I36" s="783"/>
    </row>
    <row r="37" spans="2:9" ht="3" customHeight="1">
      <c r="I37" s="784"/>
    </row>
    <row r="38" spans="2:9" ht="14.25" customHeight="1">
      <c r="E38" s="560"/>
      <c r="I38" s="782"/>
    </row>
    <row r="39" spans="2:9">
      <c r="I39" s="784"/>
    </row>
    <row r="43" spans="2:9" ht="3.75" customHeight="1"/>
  </sheetData>
  <mergeCells count="10">
    <mergeCell ref="A2:A3"/>
    <mergeCell ref="B2:B3"/>
    <mergeCell ref="I2:I3"/>
    <mergeCell ref="J2:J3"/>
    <mergeCell ref="C2:C3"/>
    <mergeCell ref="D2:D3"/>
    <mergeCell ref="E2:E3"/>
    <mergeCell ref="F2:F3"/>
    <mergeCell ref="G2:G3"/>
    <mergeCell ref="H2:H3"/>
  </mergeCells>
  <pageMargins left="0.16" right="0.16" top="0.27" bottom="0.16" header="0.16" footer="0"/>
  <pageSetup paperSize="9"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H6" sqref="H6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1262</v>
      </c>
    </row>
    <row r="2" spans="1:10" s="335" customFormat="1" ht="21.75" customHeight="1">
      <c r="A2" s="849" t="s">
        <v>0</v>
      </c>
      <c r="B2" s="849" t="s">
        <v>1241</v>
      </c>
      <c r="C2" s="849" t="s">
        <v>1</v>
      </c>
      <c r="D2" s="849" t="s">
        <v>21</v>
      </c>
      <c r="E2" s="849" t="s">
        <v>83</v>
      </c>
      <c r="F2" s="849" t="s">
        <v>1244</v>
      </c>
      <c r="G2" s="849" t="s">
        <v>7</v>
      </c>
      <c r="H2" s="849" t="s">
        <v>8</v>
      </c>
      <c r="I2" s="849" t="s">
        <v>9</v>
      </c>
      <c r="J2" s="849" t="s">
        <v>82</v>
      </c>
    </row>
    <row r="3" spans="1:10" s="335" customFormat="1" ht="15" customHeight="1">
      <c r="A3" s="849"/>
      <c r="B3" s="849"/>
      <c r="C3" s="849"/>
      <c r="D3" s="849"/>
      <c r="E3" s="849"/>
      <c r="F3" s="849"/>
      <c r="G3" s="849"/>
      <c r="H3" s="849"/>
      <c r="I3" s="849"/>
      <c r="J3" s="849"/>
    </row>
    <row r="4" spans="1:10" s="335" customFormat="1" ht="15" customHeight="1">
      <c r="A4" s="763">
        <v>1</v>
      </c>
      <c r="B4" s="355">
        <v>43164</v>
      </c>
      <c r="C4" s="513"/>
      <c r="D4" s="253" t="s">
        <v>1243</v>
      </c>
      <c r="E4" s="760"/>
      <c r="F4" s="310"/>
      <c r="G4" s="756">
        <v>13440</v>
      </c>
      <c r="H4" s="310">
        <v>41000</v>
      </c>
      <c r="I4" s="765">
        <f>G4*H4</f>
        <v>551040000</v>
      </c>
      <c r="J4" s="758"/>
    </row>
    <row r="5" spans="1:10" s="335" customFormat="1" ht="15" customHeight="1">
      <c r="A5" s="489">
        <v>2</v>
      </c>
      <c r="B5" s="355">
        <v>43172</v>
      </c>
      <c r="C5" s="513"/>
      <c r="D5" s="253" t="s">
        <v>1242</v>
      </c>
      <c r="E5" s="310"/>
      <c r="F5" s="310"/>
      <c r="G5" s="756">
        <v>7982</v>
      </c>
      <c r="H5" s="310">
        <v>48500</v>
      </c>
      <c r="I5" s="766">
        <f t="shared" ref="I5:I22" si="0">G5*H5</f>
        <v>387127000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6">
        <f t="shared" ref="G6:G23" si="1">E6*F6</f>
        <v>0</v>
      </c>
      <c r="H6" s="310"/>
      <c r="I6" s="766">
        <f t="shared" si="0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6">
        <f t="shared" si="1"/>
        <v>0</v>
      </c>
      <c r="H7" s="310"/>
      <c r="I7" s="766">
        <f t="shared" si="0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6">
        <f t="shared" si="1"/>
        <v>0</v>
      </c>
      <c r="H8" s="310"/>
      <c r="I8" s="766">
        <f t="shared" si="0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6">
        <f t="shared" si="1"/>
        <v>0</v>
      </c>
      <c r="H9" s="310"/>
      <c r="I9" s="766">
        <f t="shared" si="0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6">
        <f t="shared" si="1"/>
        <v>0</v>
      </c>
      <c r="H10" s="310"/>
      <c r="I10" s="766">
        <f t="shared" si="0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6">
        <f t="shared" si="1"/>
        <v>0</v>
      </c>
      <c r="H11" s="310"/>
      <c r="I11" s="766">
        <f t="shared" si="0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6">
        <f t="shared" si="1"/>
        <v>0</v>
      </c>
      <c r="H12" s="310"/>
      <c r="I12" s="766">
        <f t="shared" si="0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6">
        <f t="shared" si="1"/>
        <v>0</v>
      </c>
      <c r="H13" s="310"/>
      <c r="I13" s="766">
        <f t="shared" si="0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6">
        <f t="shared" si="1"/>
        <v>0</v>
      </c>
      <c r="H14" s="310"/>
      <c r="I14" s="766">
        <f t="shared" si="0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6">
        <f t="shared" si="1"/>
        <v>0</v>
      </c>
      <c r="H15" s="310"/>
      <c r="I15" s="766">
        <f t="shared" si="0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6">
        <f t="shared" si="1"/>
        <v>0</v>
      </c>
      <c r="H16" s="310"/>
      <c r="I16" s="766">
        <f t="shared" si="0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6">
        <f t="shared" si="1"/>
        <v>0</v>
      </c>
      <c r="H17" s="310"/>
      <c r="I17" s="766">
        <f t="shared" si="0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6">
        <f t="shared" si="1"/>
        <v>0</v>
      </c>
      <c r="H18" s="310"/>
      <c r="I18" s="766">
        <f t="shared" si="0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6">
        <f t="shared" si="1"/>
        <v>0</v>
      </c>
      <c r="H19" s="310"/>
      <c r="I19" s="766">
        <f t="shared" si="0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6">
        <f t="shared" si="1"/>
        <v>0</v>
      </c>
      <c r="H20" s="310"/>
      <c r="I20" s="766">
        <f t="shared" si="0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6">
        <f t="shared" si="1"/>
        <v>0</v>
      </c>
      <c r="H21" s="310"/>
      <c r="I21" s="766">
        <f t="shared" si="0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6">
        <f t="shared" si="1"/>
        <v>0</v>
      </c>
      <c r="H22" s="310"/>
      <c r="I22" s="766">
        <f t="shared" si="0"/>
        <v>0</v>
      </c>
      <c r="J22" s="253"/>
    </row>
    <row r="23" spans="1:10" s="335" customFormat="1" ht="4.5" customHeight="1">
      <c r="A23" s="359"/>
      <c r="B23" s="355"/>
      <c r="C23" s="722"/>
      <c r="D23" s="759"/>
      <c r="E23" s="761"/>
      <c r="F23" s="761"/>
      <c r="G23" s="756">
        <f t="shared" si="1"/>
        <v>0</v>
      </c>
      <c r="H23" s="761"/>
      <c r="I23" s="759"/>
      <c r="J23" s="759"/>
    </row>
    <row r="24" spans="1:10" s="335" customFormat="1" ht="15">
      <c r="A24" s="764"/>
      <c r="B24" s="757"/>
      <c r="C24" s="757"/>
      <c r="D24" s="414" t="s">
        <v>19</v>
      </c>
      <c r="E24" s="413">
        <f>SUM(E4:E23)</f>
        <v>0</v>
      </c>
      <c r="F24" s="413"/>
      <c r="G24" s="762">
        <f>SUM(G4:G23)</f>
        <v>21422</v>
      </c>
      <c r="H24" s="762"/>
      <c r="I24" s="413">
        <f t="shared" ref="I24" si="2">SUM(I4:I23)</f>
        <v>938167000</v>
      </c>
      <c r="J24" s="757"/>
    </row>
    <row r="25" spans="1:10" s="335" customFormat="1" ht="6.75" customHeight="1"/>
    <row r="26" spans="1:10" s="335" customFormat="1" ht="15">
      <c r="E26" s="687" t="s">
        <v>1263</v>
      </c>
      <c r="F26" s="560"/>
      <c r="G26" s="560"/>
      <c r="H26" s="560"/>
      <c r="I26" s="686">
        <v>300000000</v>
      </c>
    </row>
    <row r="27" spans="1:10" s="335" customFormat="1" ht="15">
      <c r="E27" s="687"/>
      <c r="F27" s="560"/>
      <c r="G27" s="560"/>
      <c r="H27" s="560"/>
      <c r="I27" s="686"/>
    </row>
    <row r="28" spans="1:10" s="335" customFormat="1" ht="15">
      <c r="E28" s="687"/>
      <c r="F28" s="560"/>
      <c r="G28" s="560"/>
      <c r="H28" s="560"/>
      <c r="I28" s="686"/>
    </row>
    <row r="29" spans="1:10" s="335" customFormat="1" ht="15">
      <c r="E29" s="687"/>
      <c r="F29" s="560"/>
      <c r="G29" s="560"/>
      <c r="H29" s="560"/>
      <c r="I29" s="686"/>
    </row>
    <row r="30" spans="1:10" s="335" customFormat="1" ht="15">
      <c r="E30" s="687"/>
      <c r="F30" s="560"/>
      <c r="G30" s="560"/>
      <c r="H30" s="560"/>
      <c r="I30" s="686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7">
        <f>SUM(I26:I31)</f>
        <v>300000000</v>
      </c>
    </row>
    <row r="33" spans="2:9" s="680" customFormat="1" ht="14.25">
      <c r="E33" s="560"/>
      <c r="F33" s="560"/>
      <c r="G33" s="560"/>
      <c r="H33" s="560"/>
      <c r="I33" s="782"/>
    </row>
    <row r="34" spans="2:9" s="680" customFormat="1" ht="14.25">
      <c r="B34" s="685"/>
      <c r="C34" s="685"/>
      <c r="D34" s="685"/>
      <c r="E34" s="560" t="s">
        <v>1264</v>
      </c>
      <c r="F34"/>
      <c r="G34"/>
      <c r="H34"/>
      <c r="I34" s="782">
        <f>I24-I32</f>
        <v>638167000</v>
      </c>
    </row>
    <row r="35" spans="2:9" s="680" customFormat="1" ht="14.25">
      <c r="B35" s="685"/>
      <c r="C35" s="685"/>
      <c r="D35"/>
      <c r="E35"/>
      <c r="F35"/>
      <c r="G35"/>
      <c r="H35"/>
      <c r="I35" s="783"/>
    </row>
    <row r="36" spans="2:9" s="680" customFormat="1" ht="14.25">
      <c r="B36" s="685"/>
      <c r="C36" s="685"/>
      <c r="D36"/>
      <c r="E36"/>
      <c r="F36"/>
      <c r="G36"/>
      <c r="H36"/>
      <c r="I36" s="783"/>
    </row>
    <row r="37" spans="2:9" ht="3" customHeight="1">
      <c r="I37" s="784"/>
    </row>
    <row r="38" spans="2:9" ht="14.25" customHeight="1">
      <c r="E38" s="560"/>
      <c r="I38" s="782"/>
    </row>
    <row r="39" spans="2:9">
      <c r="I39" s="784"/>
    </row>
    <row r="43" spans="2:9" ht="3.75" customHeight="1"/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16" right="0.16" top="0.27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4"/>
  <sheetViews>
    <sheetView zoomScale="90" zoomScaleNormal="90" workbookViewId="0">
      <pane xSplit="3" ySplit="3" topLeftCell="D4" activePane="bottomRight" state="frozen"/>
      <selection activeCell="Q24" sqref="Q24"/>
      <selection pane="topRight" activeCell="Q24" sqref="Q24"/>
      <selection pane="bottomLeft" activeCell="Q24" sqref="Q24"/>
      <selection pane="bottomRight" activeCell="L22" sqref="L22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9" style="236" customWidth="1"/>
    <col min="5" max="5" width="9.85546875" style="236" customWidth="1"/>
    <col min="6" max="6" width="6.5703125" style="236" customWidth="1"/>
    <col min="7" max="7" width="11.85546875" style="236" customWidth="1"/>
    <col min="8" max="9" width="14.28515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26.85546875" style="236" customWidth="1"/>
    <col min="16" max="16" width="11.5703125" style="236" customWidth="1"/>
    <col min="17" max="17" width="14.85546875" style="236" customWidth="1"/>
    <col min="18" max="18" width="16" style="236" customWidth="1"/>
    <col min="19" max="16384" width="10.7109375" style="236"/>
  </cols>
  <sheetData>
    <row r="1" spans="1:18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1:18" s="237" customFormat="1" ht="19.5" customHeight="1">
      <c r="A2" s="894" t="s">
        <v>0</v>
      </c>
      <c r="B2" s="894" t="s">
        <v>1</v>
      </c>
      <c r="C2" s="980" t="s">
        <v>1214</v>
      </c>
      <c r="D2" s="897" t="s">
        <v>464</v>
      </c>
      <c r="E2" s="897"/>
      <c r="F2" s="897"/>
      <c r="G2" s="897"/>
      <c r="H2" s="895" t="s">
        <v>452</v>
      </c>
      <c r="I2" s="895" t="s">
        <v>893</v>
      </c>
      <c r="J2" s="897" t="s">
        <v>3</v>
      </c>
      <c r="K2" s="897"/>
      <c r="L2" s="897"/>
      <c r="M2" s="897"/>
      <c r="N2" s="897"/>
      <c r="O2" s="894" t="s">
        <v>451</v>
      </c>
      <c r="P2" s="894"/>
      <c r="Q2" s="894"/>
      <c r="R2" s="895" t="s">
        <v>82</v>
      </c>
    </row>
    <row r="3" spans="1:18" s="143" customFormat="1" ht="42" customHeight="1">
      <c r="A3" s="894"/>
      <c r="B3" s="894" t="s">
        <v>1</v>
      </c>
      <c r="C3" s="981"/>
      <c r="D3" s="735" t="s">
        <v>83</v>
      </c>
      <c r="E3" s="735" t="s">
        <v>7</v>
      </c>
      <c r="F3" s="735" t="s">
        <v>453</v>
      </c>
      <c r="G3" s="735" t="s">
        <v>411</v>
      </c>
      <c r="H3" s="896"/>
      <c r="I3" s="896"/>
      <c r="J3" s="735" t="s">
        <v>455</v>
      </c>
      <c r="K3" s="735" t="s">
        <v>456</v>
      </c>
      <c r="L3" s="735" t="s">
        <v>457</v>
      </c>
      <c r="M3" s="735" t="s">
        <v>51</v>
      </c>
      <c r="N3" s="735" t="s">
        <v>458</v>
      </c>
      <c r="O3" s="735" t="s">
        <v>460</v>
      </c>
      <c r="P3" s="735" t="s">
        <v>461</v>
      </c>
      <c r="Q3" s="735" t="s">
        <v>462</v>
      </c>
      <c r="R3" s="896"/>
    </row>
    <row r="4" spans="1:18" s="150" customFormat="1" ht="18.75" customHeight="1">
      <c r="A4" s="977">
        <v>1</v>
      </c>
      <c r="B4" s="970">
        <v>43104</v>
      </c>
      <c r="C4" s="243" t="s">
        <v>1215</v>
      </c>
      <c r="D4" s="733"/>
      <c r="E4" s="731">
        <v>130</v>
      </c>
      <c r="F4" s="737">
        <v>2.1</v>
      </c>
      <c r="G4" s="736">
        <f t="shared" ref="G4:G11" si="0">E4*F4</f>
        <v>273</v>
      </c>
      <c r="H4" s="310"/>
      <c r="I4" s="310"/>
      <c r="J4" s="970">
        <v>43117</v>
      </c>
      <c r="K4" s="956">
        <f>SUM(G4:G6)-L4</f>
        <v>32</v>
      </c>
      <c r="L4" s="956">
        <v>21166</v>
      </c>
      <c r="M4" s="957">
        <v>22690</v>
      </c>
      <c r="N4" s="957">
        <f>L4*M4</f>
        <v>480256540</v>
      </c>
      <c r="O4" s="253"/>
      <c r="P4" s="254"/>
      <c r="Q4" s="255"/>
      <c r="R4" s="144"/>
    </row>
    <row r="5" spans="1:18" s="150" customFormat="1" ht="18.75" customHeight="1">
      <c r="A5" s="978"/>
      <c r="B5" s="870"/>
      <c r="C5" s="243" t="s">
        <v>1216</v>
      </c>
      <c r="D5" s="733"/>
      <c r="E5" s="731">
        <v>150</v>
      </c>
      <c r="F5" s="737">
        <v>4.5</v>
      </c>
      <c r="G5" s="736">
        <f t="shared" si="0"/>
        <v>675</v>
      </c>
      <c r="H5" s="310"/>
      <c r="I5" s="310"/>
      <c r="J5" s="869"/>
      <c r="K5" s="872"/>
      <c r="L5" s="872"/>
      <c r="M5" s="865"/>
      <c r="N5" s="865"/>
      <c r="O5" s="253"/>
      <c r="P5" s="254"/>
      <c r="Q5" s="255"/>
      <c r="R5" s="144"/>
    </row>
    <row r="6" spans="1:18" s="150" customFormat="1" ht="18" customHeight="1">
      <c r="A6" s="144">
        <v>2</v>
      </c>
      <c r="B6" s="738">
        <v>43110</v>
      </c>
      <c r="C6" s="243" t="s">
        <v>1216</v>
      </c>
      <c r="D6" s="733"/>
      <c r="E6" s="731">
        <v>4500</v>
      </c>
      <c r="F6" s="737">
        <v>4.5</v>
      </c>
      <c r="G6" s="736">
        <f t="shared" si="0"/>
        <v>20250</v>
      </c>
      <c r="H6" s="310"/>
      <c r="I6" s="310"/>
      <c r="J6" s="870"/>
      <c r="K6" s="873"/>
      <c r="L6" s="873"/>
      <c r="M6" s="874"/>
      <c r="N6" s="874"/>
      <c r="O6" s="253"/>
      <c r="P6" s="254"/>
      <c r="Q6" s="255"/>
      <c r="R6" s="144"/>
    </row>
    <row r="7" spans="1:18" s="150" customFormat="1" ht="18" customHeight="1">
      <c r="A7" s="144">
        <v>3</v>
      </c>
      <c r="B7" s="738">
        <v>43118</v>
      </c>
      <c r="C7" s="243" t="s">
        <v>1217</v>
      </c>
      <c r="D7" s="733"/>
      <c r="E7" s="731">
        <v>6000</v>
      </c>
      <c r="F7" s="737">
        <v>3.8</v>
      </c>
      <c r="G7" s="736">
        <f t="shared" si="0"/>
        <v>22800</v>
      </c>
      <c r="H7" s="310"/>
      <c r="I7" s="310"/>
      <c r="J7" s="970">
        <v>43243</v>
      </c>
      <c r="K7" s="956">
        <f>SUM(G7:G9)-L7</f>
        <v>32</v>
      </c>
      <c r="L7" s="956">
        <v>34218.400000000001</v>
      </c>
      <c r="M7" s="957"/>
      <c r="N7" s="957">
        <f>L7*M7</f>
        <v>0</v>
      </c>
      <c r="O7" s="253"/>
      <c r="P7" s="254"/>
      <c r="Q7" s="255"/>
      <c r="R7" s="144"/>
    </row>
    <row r="8" spans="1:18" s="150" customFormat="1" ht="18.75" customHeight="1">
      <c r="A8" s="979">
        <v>4</v>
      </c>
      <c r="B8" s="868">
        <v>43130</v>
      </c>
      <c r="C8" s="243" t="s">
        <v>1217</v>
      </c>
      <c r="D8" s="733"/>
      <c r="E8" s="731">
        <v>858</v>
      </c>
      <c r="F8" s="737">
        <v>3.8</v>
      </c>
      <c r="G8" s="736">
        <f t="shared" si="0"/>
        <v>3260.3999999999996</v>
      </c>
      <c r="H8" s="310"/>
      <c r="I8" s="310"/>
      <c r="J8" s="869"/>
      <c r="K8" s="872"/>
      <c r="L8" s="872"/>
      <c r="M8" s="865"/>
      <c r="N8" s="865"/>
      <c r="O8" s="253"/>
      <c r="P8" s="254"/>
      <c r="Q8" s="255"/>
      <c r="R8" s="144"/>
    </row>
    <row r="9" spans="1:18" s="150" customFormat="1" ht="18.75" customHeight="1">
      <c r="A9" s="978"/>
      <c r="B9" s="870"/>
      <c r="C9" s="243" t="s">
        <v>1215</v>
      </c>
      <c r="D9" s="733"/>
      <c r="E9" s="731">
        <v>3900</v>
      </c>
      <c r="F9" s="737">
        <v>2.1</v>
      </c>
      <c r="G9" s="736">
        <f t="shared" si="0"/>
        <v>8190</v>
      </c>
      <c r="H9" s="310"/>
      <c r="I9" s="310"/>
      <c r="J9" s="870"/>
      <c r="K9" s="873"/>
      <c r="L9" s="873"/>
      <c r="M9" s="874"/>
      <c r="N9" s="874"/>
      <c r="O9" s="253"/>
      <c r="P9" s="254"/>
      <c r="Q9" s="255"/>
      <c r="R9" s="144"/>
    </row>
    <row r="10" spans="1:18" s="150" customFormat="1" ht="18.75" customHeight="1">
      <c r="A10" s="144">
        <v>5</v>
      </c>
      <c r="B10" s="738"/>
      <c r="C10" s="243"/>
      <c r="D10" s="733"/>
      <c r="E10" s="731">
        <f t="shared" ref="E10:E11" si="1">D10*13</f>
        <v>0</v>
      </c>
      <c r="F10" s="737"/>
      <c r="G10" s="736">
        <f t="shared" si="0"/>
        <v>0</v>
      </c>
      <c r="H10" s="310"/>
      <c r="I10" s="310"/>
      <c r="J10" s="308"/>
      <c r="K10" s="309"/>
      <c r="L10" s="309"/>
      <c r="M10" s="310"/>
      <c r="N10" s="310"/>
      <c r="O10" s="253"/>
      <c r="P10" s="254"/>
      <c r="Q10" s="255"/>
      <c r="R10" s="144"/>
    </row>
    <row r="11" spans="1:18" s="150" customFormat="1" ht="18.75" customHeight="1">
      <c r="A11" s="144">
        <v>6</v>
      </c>
      <c r="B11" s="738"/>
      <c r="C11" s="243"/>
      <c r="D11" s="733"/>
      <c r="E11" s="731">
        <f t="shared" si="1"/>
        <v>0</v>
      </c>
      <c r="F11" s="737"/>
      <c r="G11" s="736">
        <f t="shared" si="0"/>
        <v>0</v>
      </c>
      <c r="H11" s="310"/>
      <c r="I11" s="310"/>
      <c r="J11" s="308"/>
      <c r="K11" s="309"/>
      <c r="L11" s="309"/>
      <c r="M11" s="310"/>
      <c r="N11" s="310"/>
      <c r="O11" s="253"/>
      <c r="P11" s="254"/>
      <c r="Q11" s="255"/>
      <c r="R11" s="144"/>
    </row>
    <row r="12" spans="1:18" s="150" customFormat="1" ht="18" customHeight="1">
      <c r="A12" s="742">
        <v>7</v>
      </c>
      <c r="B12" s="738"/>
      <c r="C12" s="243"/>
      <c r="D12" s="733"/>
      <c r="E12" s="731">
        <f t="shared" ref="E12:E17" si="2">D12*13</f>
        <v>0</v>
      </c>
      <c r="F12" s="737"/>
      <c r="G12" s="736">
        <f t="shared" ref="G12:G17" si="3">E12*F12</f>
        <v>0</v>
      </c>
      <c r="H12" s="310"/>
      <c r="I12" s="310"/>
      <c r="J12" s="308"/>
      <c r="K12" s="309"/>
      <c r="L12" s="309"/>
      <c r="M12" s="310"/>
      <c r="N12" s="310"/>
      <c r="O12" s="253"/>
      <c r="P12" s="254"/>
      <c r="Q12" s="255"/>
      <c r="R12" s="144"/>
    </row>
    <row r="13" spans="1:18" s="150" customFormat="1" ht="18" customHeight="1">
      <c r="A13" s="742">
        <v>8</v>
      </c>
      <c r="B13" s="738"/>
      <c r="C13" s="243"/>
      <c r="D13" s="733"/>
      <c r="E13" s="731">
        <f t="shared" si="2"/>
        <v>0</v>
      </c>
      <c r="F13" s="737"/>
      <c r="G13" s="736">
        <f t="shared" si="3"/>
        <v>0</v>
      </c>
      <c r="H13" s="310"/>
      <c r="I13" s="310"/>
      <c r="J13" s="308"/>
      <c r="K13" s="309"/>
      <c r="L13" s="309"/>
      <c r="M13" s="310"/>
      <c r="N13" s="310"/>
      <c r="O13" s="253"/>
      <c r="P13" s="254"/>
      <c r="Q13" s="255"/>
      <c r="R13" s="144"/>
    </row>
    <row r="14" spans="1:18" s="150" customFormat="1" ht="18.75" customHeight="1">
      <c r="A14" s="742">
        <v>9</v>
      </c>
      <c r="B14" s="738"/>
      <c r="C14" s="243"/>
      <c r="D14" s="733"/>
      <c r="E14" s="731">
        <f t="shared" si="2"/>
        <v>0</v>
      </c>
      <c r="F14" s="737"/>
      <c r="G14" s="736">
        <f t="shared" si="3"/>
        <v>0</v>
      </c>
      <c r="H14" s="310"/>
      <c r="I14" s="310"/>
      <c r="J14" s="308"/>
      <c r="K14" s="309"/>
      <c r="L14" s="309"/>
      <c r="M14" s="310"/>
      <c r="N14" s="310"/>
      <c r="O14" s="253"/>
      <c r="P14" s="254"/>
      <c r="Q14" s="255"/>
      <c r="R14" s="144"/>
    </row>
    <row r="15" spans="1:18" s="150" customFormat="1" ht="18.75" customHeight="1">
      <c r="A15" s="742">
        <v>10</v>
      </c>
      <c r="B15" s="738"/>
      <c r="C15" s="243"/>
      <c r="D15" s="733"/>
      <c r="E15" s="731">
        <f t="shared" si="2"/>
        <v>0</v>
      </c>
      <c r="F15" s="737"/>
      <c r="G15" s="736">
        <f t="shared" si="3"/>
        <v>0</v>
      </c>
      <c r="H15" s="310"/>
      <c r="I15" s="310"/>
      <c r="J15" s="308"/>
      <c r="K15" s="309"/>
      <c r="L15" s="309"/>
      <c r="M15" s="310"/>
      <c r="N15" s="310"/>
      <c r="O15" s="253"/>
      <c r="P15" s="254"/>
      <c r="Q15" s="255"/>
      <c r="R15" s="144"/>
    </row>
    <row r="16" spans="1:18" s="150" customFormat="1" ht="18.75" customHeight="1">
      <c r="A16" s="742">
        <v>11</v>
      </c>
      <c r="B16" s="738"/>
      <c r="C16" s="243"/>
      <c r="D16" s="733"/>
      <c r="E16" s="731">
        <f t="shared" si="2"/>
        <v>0</v>
      </c>
      <c r="F16" s="737"/>
      <c r="G16" s="736">
        <f t="shared" si="3"/>
        <v>0</v>
      </c>
      <c r="H16" s="310"/>
      <c r="I16" s="310"/>
      <c r="J16" s="308"/>
      <c r="K16" s="309"/>
      <c r="L16" s="309"/>
      <c r="M16" s="310"/>
      <c r="N16" s="310"/>
      <c r="O16" s="253"/>
      <c r="P16" s="254"/>
      <c r="Q16" s="255"/>
      <c r="R16" s="144"/>
    </row>
    <row r="17" spans="1:18" s="150" customFormat="1" ht="18.75" customHeight="1">
      <c r="A17" s="742">
        <v>12</v>
      </c>
      <c r="B17" s="738"/>
      <c r="C17" s="243"/>
      <c r="D17" s="733"/>
      <c r="E17" s="731">
        <f t="shared" si="2"/>
        <v>0</v>
      </c>
      <c r="F17" s="737"/>
      <c r="G17" s="736">
        <f t="shared" si="3"/>
        <v>0</v>
      </c>
      <c r="H17" s="310"/>
      <c r="I17" s="310"/>
      <c r="J17" s="308"/>
      <c r="K17" s="309"/>
      <c r="L17" s="309"/>
      <c r="M17" s="310"/>
      <c r="N17" s="310"/>
      <c r="O17" s="253"/>
      <c r="P17" s="254"/>
      <c r="Q17" s="255"/>
      <c r="R17" s="144"/>
    </row>
    <row r="18" spans="1:18" s="150" customFormat="1" ht="18.75" customHeight="1">
      <c r="A18" s="249"/>
      <c r="B18" s="740"/>
      <c r="C18" s="148"/>
      <c r="D18" s="730"/>
      <c r="E18" s="730"/>
      <c r="F18" s="739"/>
      <c r="G18" s="739"/>
      <c r="H18" s="312"/>
      <c r="I18" s="312"/>
      <c r="J18" s="311"/>
      <c r="K18" s="311"/>
      <c r="L18" s="312"/>
      <c r="M18" s="312"/>
      <c r="N18" s="312"/>
      <c r="O18" s="739"/>
      <c r="P18" s="739"/>
      <c r="Q18" s="739"/>
      <c r="R18" s="249"/>
    </row>
    <row r="19" spans="1:18" s="305" customFormat="1" ht="18.75" customHeight="1">
      <c r="A19" s="891" t="s">
        <v>19</v>
      </c>
      <c r="B19" s="892"/>
      <c r="C19" s="892"/>
      <c r="D19" s="261">
        <f>SUM(D4:D18)</f>
        <v>0</v>
      </c>
      <c r="E19" s="261">
        <f>SUM(E4:E18)</f>
        <v>15538</v>
      </c>
      <c r="F19" s="262"/>
      <c r="G19" s="552">
        <f>SUM(G4:G18)</f>
        <v>55448.4</v>
      </c>
      <c r="H19" s="261">
        <f>SUM(H4:H18)</f>
        <v>0</v>
      </c>
      <c r="I19" s="261">
        <f>SUM(I4:I18)</f>
        <v>0</v>
      </c>
      <c r="J19" s="262"/>
      <c r="K19" s="262">
        <f>SUM(K4:K18)</f>
        <v>64</v>
      </c>
      <c r="L19" s="262">
        <f>SUM(L4:L18)</f>
        <v>55384.4</v>
      </c>
      <c r="M19" s="262"/>
      <c r="N19" s="261">
        <f>SUM(N4:N18)</f>
        <v>480256540</v>
      </c>
      <c r="O19" s="261"/>
      <c r="P19" s="261">
        <f>SUM(P4:P18)</f>
        <v>0</v>
      </c>
      <c r="Q19" s="261">
        <f>SUM(Q4:Q18)</f>
        <v>0</v>
      </c>
      <c r="R19" s="262"/>
    </row>
    <row r="20" spans="1:18" ht="18.75" customHeight="1">
      <c r="B20" s="162"/>
    </row>
    <row r="21" spans="1:18" s="237" customFormat="1" ht="18.75" customHeight="1">
      <c r="H21" s="462"/>
      <c r="I21" s="462"/>
      <c r="J21" s="305"/>
      <c r="K21" s="305"/>
      <c r="L21" s="463">
        <f>G19-L19-K19</f>
        <v>0</v>
      </c>
      <c r="M21" s="305"/>
      <c r="N21" s="732" t="s">
        <v>463</v>
      </c>
      <c r="O21" s="259"/>
      <c r="P21" s="259"/>
      <c r="Q21" s="259"/>
      <c r="R21" s="734"/>
    </row>
    <row r="22" spans="1:18" ht="18.75" customHeight="1">
      <c r="H22" s="259"/>
      <c r="I22" s="259"/>
      <c r="O22" s="306"/>
      <c r="P22" s="306"/>
      <c r="Q22" s="306"/>
      <c r="R22" s="259"/>
    </row>
    <row r="23" spans="1:18" ht="18" customHeight="1">
      <c r="L23" s="649"/>
      <c r="R23" s="307"/>
    </row>
    <row r="24" spans="1:18" ht="18" customHeight="1">
      <c r="R24" s="307"/>
    </row>
  </sheetData>
  <autoFilter ref="A3:R17"/>
  <mergeCells count="24">
    <mergeCell ref="R2:R3"/>
    <mergeCell ref="A2:A3"/>
    <mergeCell ref="B2:B3"/>
    <mergeCell ref="D2:G2"/>
    <mergeCell ref="H2:H3"/>
    <mergeCell ref="I2:I3"/>
    <mergeCell ref="C2:C3"/>
    <mergeCell ref="O2:Q2"/>
    <mergeCell ref="B8:B9"/>
    <mergeCell ref="A8:A9"/>
    <mergeCell ref="J4:J6"/>
    <mergeCell ref="K4:K6"/>
    <mergeCell ref="L4:L6"/>
    <mergeCell ref="M4:M6"/>
    <mergeCell ref="N4:N6"/>
    <mergeCell ref="J7:J9"/>
    <mergeCell ref="K7:K9"/>
    <mergeCell ref="L7:L9"/>
    <mergeCell ref="M7:M9"/>
    <mergeCell ref="N7:N9"/>
    <mergeCell ref="A19:C19"/>
    <mergeCell ref="B4:B5"/>
    <mergeCell ref="A4:A5"/>
    <mergeCell ref="J2:N2"/>
  </mergeCells>
  <pageMargins left="0.16" right="0.16" top="0.11" bottom="0.16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105"/>
  <sheetViews>
    <sheetView zoomScale="90" zoomScaleNormal="90" workbookViewId="0">
      <selection activeCell="D6" sqref="D6"/>
    </sheetView>
  </sheetViews>
  <sheetFormatPr defaultColWidth="9.140625" defaultRowHeight="15"/>
  <cols>
    <col min="1" max="1" width="4.28515625" style="335" customWidth="1"/>
    <col min="2" max="2" width="35.28515625" style="335" customWidth="1"/>
    <col min="3" max="3" width="10.28515625" style="340" customWidth="1"/>
    <col min="4" max="4" width="8" style="341" customWidth="1"/>
    <col min="5" max="5" width="12.7109375" style="341" customWidth="1"/>
    <col min="6" max="6" width="12.5703125" style="335" customWidth="1"/>
    <col min="7" max="7" width="11.7109375" style="334" customWidth="1"/>
    <col min="8" max="8" width="0.7109375" style="334" customWidth="1"/>
    <col min="9" max="9" width="4.42578125" style="335" customWidth="1"/>
    <col min="10" max="10" width="9.140625" style="335" customWidth="1"/>
    <col min="11" max="11" width="16.85546875" style="335" customWidth="1"/>
    <col min="12" max="12" width="7.7109375" style="335" customWidth="1"/>
    <col min="13" max="13" width="9" style="335" customWidth="1"/>
    <col min="14" max="14" width="8" style="335" customWidth="1"/>
    <col min="15" max="15" width="12.5703125" style="335" customWidth="1"/>
    <col min="16" max="16384" width="9.140625" style="335"/>
  </cols>
  <sheetData>
    <row r="2" spans="1:15" ht="24.75" customHeight="1">
      <c r="A2" s="849" t="s">
        <v>0</v>
      </c>
      <c r="B2" s="849" t="s">
        <v>21</v>
      </c>
      <c r="C2" s="908" t="s">
        <v>50</v>
      </c>
      <c r="D2" s="852" t="s">
        <v>51</v>
      </c>
      <c r="E2" s="852" t="s">
        <v>9</v>
      </c>
      <c r="F2" s="852" t="s">
        <v>117</v>
      </c>
      <c r="G2" s="852" t="s">
        <v>52</v>
      </c>
      <c r="H2" s="559"/>
      <c r="I2" s="849" t="s">
        <v>0</v>
      </c>
      <c r="J2" s="849" t="s">
        <v>1</v>
      </c>
      <c r="K2" s="849" t="s">
        <v>21</v>
      </c>
      <c r="L2" s="908" t="s">
        <v>83</v>
      </c>
      <c r="M2" s="908" t="s">
        <v>7</v>
      </c>
      <c r="N2" s="852" t="s">
        <v>8</v>
      </c>
      <c r="O2" s="852" t="s">
        <v>9</v>
      </c>
    </row>
    <row r="3" spans="1:15" ht="23.25" customHeight="1">
      <c r="A3" s="849"/>
      <c r="B3" s="849"/>
      <c r="C3" s="908"/>
      <c r="D3" s="852"/>
      <c r="E3" s="852"/>
      <c r="F3" s="852"/>
      <c r="G3" s="852"/>
      <c r="H3" s="559"/>
      <c r="I3" s="849"/>
      <c r="J3" s="849"/>
      <c r="K3" s="849"/>
      <c r="L3" s="908"/>
      <c r="M3" s="908"/>
      <c r="N3" s="852"/>
      <c r="O3" s="852"/>
    </row>
    <row r="4" spans="1:15" ht="18" customHeight="1">
      <c r="A4" s="708">
        <v>1</v>
      </c>
      <c r="B4" s="264" t="s">
        <v>1201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  <c r="I4" s="708">
        <v>1</v>
      </c>
      <c r="J4" s="745">
        <v>43104</v>
      </c>
      <c r="K4" s="243" t="s">
        <v>1215</v>
      </c>
      <c r="L4" s="746">
        <v>10</v>
      </c>
      <c r="M4" s="755">
        <v>130</v>
      </c>
      <c r="N4" s="511">
        <v>50000</v>
      </c>
      <c r="O4" s="511">
        <f>M4*N4</f>
        <v>6500000</v>
      </c>
    </row>
    <row r="5" spans="1:15" ht="18" customHeight="1">
      <c r="A5" s="844">
        <v>2</v>
      </c>
      <c r="B5" s="264" t="s">
        <v>1364</v>
      </c>
      <c r="C5" s="510">
        <v>34218.400000000001</v>
      </c>
      <c r="D5" s="511">
        <v>22700</v>
      </c>
      <c r="E5" s="511">
        <f>C5*D5</f>
        <v>776757680</v>
      </c>
      <c r="F5" s="512"/>
      <c r="G5" s="511"/>
      <c r="H5" s="559"/>
      <c r="I5" s="708">
        <v>2</v>
      </c>
      <c r="J5" s="745">
        <v>43104</v>
      </c>
      <c r="K5" s="243" t="s">
        <v>1216</v>
      </c>
      <c r="L5" s="243">
        <v>10</v>
      </c>
      <c r="M5" s="756">
        <v>150</v>
      </c>
      <c r="N5" s="255">
        <v>90000</v>
      </c>
      <c r="O5" s="511">
        <f t="shared" ref="O5" si="0">M5*N5</f>
        <v>13500000</v>
      </c>
    </row>
    <row r="6" spans="1:15" ht="18" customHeight="1">
      <c r="A6" s="708">
        <v>3</v>
      </c>
      <c r="B6" s="253" t="s">
        <v>1231</v>
      </c>
      <c r="C6" s="309"/>
      <c r="D6" s="255"/>
      <c r="E6" s="255"/>
      <c r="F6" s="254">
        <v>5000000</v>
      </c>
      <c r="G6" s="255"/>
      <c r="H6" s="559"/>
      <c r="I6" s="708">
        <v>3</v>
      </c>
      <c r="J6" s="745">
        <v>43130</v>
      </c>
      <c r="K6" s="243" t="s">
        <v>1215</v>
      </c>
      <c r="L6" s="243">
        <v>300</v>
      </c>
      <c r="M6" s="756">
        <v>3900</v>
      </c>
      <c r="N6" s="255">
        <v>50000</v>
      </c>
      <c r="O6" s="511">
        <f t="shared" ref="O6:O10" si="1">M6*N6</f>
        <v>195000000</v>
      </c>
    </row>
    <row r="7" spans="1:15" ht="18" customHeight="1">
      <c r="A7" s="844">
        <v>4</v>
      </c>
      <c r="B7" s="253" t="s">
        <v>1218</v>
      </c>
      <c r="C7" s="309"/>
      <c r="D7" s="255"/>
      <c r="E7" s="255"/>
      <c r="F7" s="254">
        <f>4500*3000</f>
        <v>13500000</v>
      </c>
      <c r="G7" s="255"/>
      <c r="H7" s="559"/>
      <c r="I7" s="708">
        <v>4</v>
      </c>
      <c r="J7" s="745">
        <v>43130</v>
      </c>
      <c r="K7" s="243" t="s">
        <v>1217</v>
      </c>
      <c r="L7" s="243">
        <v>21</v>
      </c>
      <c r="M7" s="756">
        <f>21*13</f>
        <v>273</v>
      </c>
      <c r="N7" s="255">
        <v>80000</v>
      </c>
      <c r="O7" s="511">
        <f t="shared" si="1"/>
        <v>21840000</v>
      </c>
    </row>
    <row r="8" spans="1:15" ht="18" customHeight="1">
      <c r="A8" s="844">
        <v>5</v>
      </c>
      <c r="B8" s="253" t="s">
        <v>1219</v>
      </c>
      <c r="C8" s="309"/>
      <c r="D8" s="255"/>
      <c r="E8" s="255"/>
      <c r="F8" s="254">
        <f>6000*3000</f>
        <v>18000000</v>
      </c>
      <c r="G8" s="255"/>
      <c r="H8" s="559"/>
      <c r="I8" s="708">
        <v>5</v>
      </c>
      <c r="J8" s="745">
        <v>43130</v>
      </c>
      <c r="K8" s="243" t="s">
        <v>1225</v>
      </c>
      <c r="L8" s="243">
        <v>20</v>
      </c>
      <c r="M8" s="756">
        <f>20*13</f>
        <v>260</v>
      </c>
      <c r="N8" s="255">
        <v>95000</v>
      </c>
      <c r="O8" s="511">
        <f t="shared" si="1"/>
        <v>24700000</v>
      </c>
    </row>
    <row r="9" spans="1:15" ht="18" customHeight="1">
      <c r="A9" s="844">
        <v>6</v>
      </c>
      <c r="B9" s="253" t="s">
        <v>1230</v>
      </c>
      <c r="C9" s="309"/>
      <c r="D9" s="255"/>
      <c r="E9" s="255"/>
      <c r="F9" s="254">
        <f>4758*3000</f>
        <v>14274000</v>
      </c>
      <c r="G9" s="255"/>
      <c r="H9" s="559"/>
      <c r="I9" s="708">
        <v>6</v>
      </c>
      <c r="J9" s="745">
        <v>43130</v>
      </c>
      <c r="K9" s="243" t="s">
        <v>1226</v>
      </c>
      <c r="L9" s="243">
        <v>9</v>
      </c>
      <c r="M9" s="756">
        <f>9*13</f>
        <v>117</v>
      </c>
      <c r="N9" s="255">
        <v>75000</v>
      </c>
      <c r="O9" s="511">
        <f>M9*N9</f>
        <v>8775000</v>
      </c>
    </row>
    <row r="10" spans="1:15" ht="18" customHeight="1">
      <c r="A10" s="844">
        <v>7</v>
      </c>
      <c r="B10" s="256" t="s">
        <v>1301</v>
      </c>
      <c r="C10" s="310"/>
      <c r="D10" s="255"/>
      <c r="E10" s="255"/>
      <c r="F10" s="254">
        <f>400*10000</f>
        <v>4000000</v>
      </c>
      <c r="G10" s="255"/>
      <c r="H10" s="559"/>
      <c r="I10" s="708">
        <v>7</v>
      </c>
      <c r="J10" s="745">
        <v>43130</v>
      </c>
      <c r="K10" s="754" t="s">
        <v>1227</v>
      </c>
      <c r="L10" s="754">
        <v>16</v>
      </c>
      <c r="M10" s="756">
        <f>16*13</f>
        <v>208</v>
      </c>
      <c r="N10" s="255">
        <v>80000</v>
      </c>
      <c r="O10" s="511">
        <f t="shared" si="1"/>
        <v>16640000</v>
      </c>
    </row>
    <row r="11" spans="1:15" ht="18" customHeight="1">
      <c r="A11" s="708"/>
      <c r="B11" s="256"/>
      <c r="C11" s="310"/>
      <c r="D11" s="255"/>
      <c r="E11" s="255"/>
      <c r="F11" s="254"/>
      <c r="G11" s="255"/>
      <c r="H11" s="559"/>
      <c r="I11" s="708"/>
      <c r="J11" s="745"/>
      <c r="K11" s="256"/>
      <c r="L11" s="256"/>
      <c r="M11" s="310"/>
      <c r="N11" s="255"/>
      <c r="O11" s="255"/>
    </row>
    <row r="12" spans="1:15" ht="18" customHeight="1">
      <c r="A12" s="376"/>
      <c r="B12" s="376" t="s">
        <v>57</v>
      </c>
      <c r="C12" s="262">
        <f>SUM(C4:C11)</f>
        <v>55384.4</v>
      </c>
      <c r="D12" s="262"/>
      <c r="E12" s="261">
        <f>SUM(E4:E11)</f>
        <v>1257014220</v>
      </c>
      <c r="F12" s="261">
        <f>SUM(F4:F11)</f>
        <v>54774000</v>
      </c>
      <c r="G12" s="261">
        <f>SUM(G4:G11)</f>
        <v>0</v>
      </c>
      <c r="H12" s="559"/>
      <c r="I12" s="376"/>
      <c r="J12" s="376"/>
      <c r="K12" s="376" t="s">
        <v>57</v>
      </c>
      <c r="L12" s="376"/>
      <c r="M12" s="552">
        <f>SUM(M4:M11)</f>
        <v>5038</v>
      </c>
      <c r="N12" s="262"/>
      <c r="O12" s="261">
        <f>SUM(O4:O11)</f>
        <v>286955000</v>
      </c>
    </row>
    <row r="13" spans="1:15">
      <c r="A13" s="534"/>
      <c r="B13" s="534"/>
      <c r="C13" s="535"/>
      <c r="D13" s="536"/>
      <c r="E13" s="536"/>
      <c r="F13" s="534"/>
      <c r="G13" s="581"/>
      <c r="H13" s="559"/>
    </row>
    <row r="14" spans="1:15">
      <c r="A14" s="534"/>
      <c r="B14" s="582"/>
      <c r="C14" s="535"/>
      <c r="D14" s="536"/>
      <c r="E14" s="536"/>
      <c r="F14" s="534"/>
      <c r="G14" s="581"/>
      <c r="H14" s="559"/>
    </row>
    <row r="15" spans="1:15" ht="15" customHeight="1">
      <c r="A15" s="534"/>
      <c r="B15" s="534" t="s">
        <v>929</v>
      </c>
      <c r="C15" s="535">
        <f>C12</f>
        <v>55384.4</v>
      </c>
      <c r="D15" s="536"/>
      <c r="E15" s="536"/>
      <c r="F15" s="901">
        <f>E12</f>
        <v>1257014220</v>
      </c>
      <c r="G15" s="901"/>
      <c r="H15" s="559"/>
    </row>
    <row r="16" spans="1:15">
      <c r="A16" s="534"/>
      <c r="B16" s="534"/>
      <c r="C16" s="535"/>
      <c r="D16" s="536"/>
      <c r="E16" s="536"/>
      <c r="F16" s="534"/>
      <c r="G16" s="581"/>
      <c r="H16" s="559"/>
    </row>
    <row r="17" spans="1:8">
      <c r="A17" s="583"/>
      <c r="B17" s="583" t="s">
        <v>1228</v>
      </c>
      <c r="C17" s="583"/>
      <c r="D17" s="583"/>
      <c r="E17" s="583"/>
      <c r="F17" s="901">
        <f>F12</f>
        <v>54774000</v>
      </c>
      <c r="G17" s="901"/>
      <c r="H17" s="559"/>
    </row>
    <row r="18" spans="1:8">
      <c r="A18" s="583"/>
      <c r="B18" s="583"/>
      <c r="C18" s="583"/>
      <c r="D18" s="583"/>
      <c r="E18" s="583"/>
      <c r="F18" s="583"/>
      <c r="G18" s="583"/>
      <c r="H18" s="559"/>
    </row>
    <row r="19" spans="1:8">
      <c r="A19" s="583"/>
      <c r="B19" s="583" t="s">
        <v>1229</v>
      </c>
      <c r="C19" s="583"/>
      <c r="D19" s="583"/>
      <c r="E19" s="583"/>
      <c r="F19" s="982">
        <f>O12</f>
        <v>286955000</v>
      </c>
      <c r="G19" s="982"/>
      <c r="H19" s="559"/>
    </row>
    <row r="20" spans="1:8">
      <c r="A20" s="583"/>
      <c r="B20" s="583"/>
      <c r="C20" s="583"/>
      <c r="D20" s="583"/>
      <c r="E20" s="583"/>
      <c r="F20" s="583"/>
      <c r="G20" s="583"/>
      <c r="H20" s="559"/>
    </row>
    <row r="21" spans="1:8">
      <c r="A21" s="583"/>
      <c r="B21" s="583" t="s">
        <v>960</v>
      </c>
      <c r="C21" s="583"/>
      <c r="D21" s="583"/>
      <c r="E21" s="583"/>
      <c r="F21" s="901">
        <f>G12</f>
        <v>0</v>
      </c>
      <c r="G21" s="901"/>
      <c r="H21" s="559"/>
    </row>
    <row r="22" spans="1:8">
      <c r="A22" s="560"/>
      <c r="B22" s="560"/>
      <c r="C22" s="560"/>
      <c r="D22" s="560"/>
      <c r="E22" s="560"/>
      <c r="F22" s="903"/>
      <c r="G22" s="903"/>
      <c r="H22" s="559"/>
    </row>
    <row r="23" spans="1:8">
      <c r="A23" s="560"/>
      <c r="B23" s="560"/>
      <c r="C23" s="560"/>
      <c r="D23" s="560"/>
      <c r="E23" s="560"/>
      <c r="F23" s="901"/>
      <c r="G23" s="901"/>
      <c r="H23" s="559"/>
    </row>
    <row r="24" spans="1:8">
      <c r="A24" s="559"/>
      <c r="B24" s="560" t="s">
        <v>930</v>
      </c>
      <c r="C24" s="559"/>
      <c r="D24" s="559"/>
      <c r="E24" s="559"/>
      <c r="F24" s="901">
        <f>F15-SUM(F17:G22)</f>
        <v>915285220</v>
      </c>
      <c r="G24" s="901"/>
      <c r="H24" s="559"/>
    </row>
    <row r="25" spans="1:8">
      <c r="A25" s="559"/>
      <c r="B25" s="559"/>
      <c r="C25" s="559"/>
      <c r="D25" s="559"/>
      <c r="E25" s="559"/>
      <c r="F25" s="559"/>
      <c r="G25" s="559"/>
      <c r="H25" s="559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 s="534" customFormat="1" ht="14.25">
      <c r="A27" s="559"/>
      <c r="B27" s="560" t="s">
        <v>1204</v>
      </c>
      <c r="C27" s="741"/>
      <c r="D27" s="560"/>
      <c r="E27" s="741">
        <f>'HUNAM (MB) - 2018'!L21</f>
        <v>0</v>
      </c>
      <c r="F27" s="560" t="s">
        <v>1205</v>
      </c>
      <c r="G27" s="753"/>
      <c r="H27" s="560"/>
    </row>
    <row r="28" spans="1:8">
      <c r="A28" s="559"/>
      <c r="B28" s="559"/>
      <c r="C28" s="559"/>
      <c r="D28" s="559"/>
      <c r="E28" s="559"/>
      <c r="F28" s="559"/>
      <c r="G28" s="559" t="s">
        <v>1224</v>
      </c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G70" s="559"/>
      <c r="H70" s="559"/>
    </row>
    <row r="71" spans="1:8">
      <c r="A71" s="559"/>
      <c r="B71" s="559"/>
      <c r="C71" s="559"/>
      <c r="D71" s="559"/>
      <c r="E71" s="559"/>
      <c r="F71" s="559"/>
      <c r="G71" s="559"/>
      <c r="H71" s="559"/>
    </row>
    <row r="72" spans="1:8">
      <c r="A72" s="559"/>
      <c r="B72" s="559"/>
      <c r="C72" s="559"/>
      <c r="D72" s="559"/>
      <c r="E72" s="559"/>
      <c r="F72" s="559"/>
      <c r="G72" s="559"/>
      <c r="H72" s="559"/>
    </row>
    <row r="73" spans="1:8">
      <c r="A73" s="559"/>
      <c r="B73" s="559"/>
      <c r="C73" s="559"/>
      <c r="D73" s="559"/>
      <c r="E73" s="559"/>
      <c r="F73" s="559"/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  <row r="103" spans="8:8">
      <c r="H103" s="559"/>
    </row>
    <row r="104" spans="8:8">
      <c r="H104" s="559"/>
    </row>
    <row r="105" spans="8:8">
      <c r="H105" s="559"/>
    </row>
  </sheetData>
  <mergeCells count="21">
    <mergeCell ref="N2:N3"/>
    <mergeCell ref="O2:O3"/>
    <mergeCell ref="F15:G15"/>
    <mergeCell ref="G2:G3"/>
    <mergeCell ref="A2:A3"/>
    <mergeCell ref="B2:B3"/>
    <mergeCell ref="C2:C3"/>
    <mergeCell ref="D2:D3"/>
    <mergeCell ref="E2:E3"/>
    <mergeCell ref="F2:F3"/>
    <mergeCell ref="J2:J3"/>
    <mergeCell ref="L2:L3"/>
    <mergeCell ref="I2:I3"/>
    <mergeCell ref="K2:K3"/>
    <mergeCell ref="M2:M3"/>
    <mergeCell ref="F17:G17"/>
    <mergeCell ref="F21:G21"/>
    <mergeCell ref="F22:G22"/>
    <mergeCell ref="F23:G23"/>
    <mergeCell ref="F24:G24"/>
    <mergeCell ref="F19:G19"/>
  </mergeCells>
  <pageMargins left="0.16" right="0.16" top="0.27" bottom="0.16" header="0.16" footer="0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948" t="s">
        <v>518</v>
      </c>
      <c r="B2" s="948"/>
      <c r="C2" s="948"/>
      <c r="D2" s="948"/>
      <c r="E2" s="948"/>
      <c r="F2" s="948"/>
      <c r="G2" s="948"/>
      <c r="H2" s="948"/>
      <c r="I2" s="948"/>
      <c r="J2" s="948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949" t="s">
        <v>19</v>
      </c>
      <c r="B28" s="949"/>
      <c r="C28" s="949"/>
      <c r="D28" s="949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948" t="s">
        <v>574</v>
      </c>
      <c r="B35" s="948"/>
      <c r="C35" s="948"/>
      <c r="D35" s="948"/>
      <c r="E35" s="948"/>
      <c r="F35" s="948"/>
      <c r="G35" s="948"/>
      <c r="H35" s="948"/>
      <c r="I35" s="948"/>
      <c r="J35" s="948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949" t="s">
        <v>19</v>
      </c>
      <c r="B58" s="949"/>
      <c r="C58" s="949"/>
      <c r="D58" s="949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948" t="s">
        <v>707</v>
      </c>
      <c r="B67" s="948"/>
      <c r="C67" s="948"/>
      <c r="D67" s="948"/>
      <c r="E67" s="948"/>
      <c r="F67" s="948"/>
      <c r="G67" s="948"/>
      <c r="H67" s="948"/>
      <c r="I67" s="948"/>
      <c r="J67" s="948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949" t="s">
        <v>19</v>
      </c>
      <c r="B87" s="949"/>
      <c r="C87" s="949"/>
      <c r="D87" s="949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948" t="s">
        <v>750</v>
      </c>
      <c r="B97" s="948"/>
      <c r="C97" s="948"/>
      <c r="D97" s="948"/>
      <c r="E97" s="948"/>
      <c r="F97" s="948"/>
      <c r="G97" s="948"/>
      <c r="H97" s="948"/>
      <c r="I97" s="948"/>
      <c r="J97" s="948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949" t="s">
        <v>19</v>
      </c>
      <c r="B111" s="949"/>
      <c r="C111" s="949"/>
      <c r="D111" s="949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948" t="s">
        <v>909</v>
      </c>
      <c r="B118" s="948"/>
      <c r="C118" s="948"/>
      <c r="D118" s="948"/>
      <c r="E118" s="948"/>
      <c r="F118" s="948"/>
      <c r="G118" s="948"/>
      <c r="H118" s="948"/>
      <c r="I118" s="948"/>
      <c r="J118" s="948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949" t="s">
        <v>19</v>
      </c>
      <c r="B135" s="949"/>
      <c r="C135" s="949"/>
      <c r="D135" s="949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948" t="s">
        <v>1023</v>
      </c>
      <c r="B139" s="948"/>
      <c r="C139" s="948"/>
      <c r="D139" s="948"/>
      <c r="E139" s="948"/>
      <c r="F139" s="948"/>
      <c r="G139" s="948"/>
      <c r="H139" s="948"/>
      <c r="I139" s="948"/>
      <c r="J139" s="948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949" t="s">
        <v>19</v>
      </c>
      <c r="B151" s="949"/>
      <c r="C151" s="949"/>
      <c r="D151" s="949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948" t="s">
        <v>1111</v>
      </c>
      <c r="B156" s="948"/>
      <c r="C156" s="948"/>
      <c r="D156" s="948"/>
      <c r="E156" s="948"/>
      <c r="F156" s="948"/>
      <c r="G156" s="948"/>
      <c r="H156" s="948"/>
      <c r="I156" s="948"/>
      <c r="J156" s="948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949" t="s">
        <v>19</v>
      </c>
      <c r="B168" s="949"/>
      <c r="C168" s="949"/>
      <c r="D168" s="949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948" t="s">
        <v>1151</v>
      </c>
      <c r="B174" s="948"/>
      <c r="C174" s="948"/>
      <c r="D174" s="948"/>
      <c r="E174" s="948"/>
      <c r="F174" s="948"/>
      <c r="G174" s="948"/>
      <c r="H174" s="948"/>
      <c r="I174" s="948"/>
      <c r="J174" s="948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949" t="s">
        <v>19</v>
      </c>
      <c r="B183" s="949"/>
      <c r="C183" s="949"/>
      <c r="D183" s="949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948" t="s">
        <v>1149</v>
      </c>
      <c r="B187" s="948"/>
      <c r="C187" s="948"/>
      <c r="D187" s="948"/>
      <c r="E187" s="948"/>
      <c r="F187" s="948"/>
      <c r="G187" s="948"/>
      <c r="H187" s="948"/>
      <c r="I187" s="948"/>
      <c r="J187" s="948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949" t="s">
        <v>19</v>
      </c>
      <c r="B194" s="949"/>
      <c r="C194" s="949"/>
      <c r="D194" s="949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2">
        <f>H194+H183</f>
        <v>17965500</v>
      </c>
    </row>
  </sheetData>
  <sortState ref="A158:K171">
    <sortCondition ref="B158:B171"/>
  </sortState>
  <mergeCells count="18">
    <mergeCell ref="A118:J118"/>
    <mergeCell ref="A135:D135"/>
    <mergeCell ref="A139:J139"/>
    <mergeCell ref="A151:D151"/>
    <mergeCell ref="A97:J97"/>
    <mergeCell ref="A111:D111"/>
    <mergeCell ref="A87:D87"/>
    <mergeCell ref="A2:J2"/>
    <mergeCell ref="A28:D28"/>
    <mergeCell ref="A35:J35"/>
    <mergeCell ref="A58:D58"/>
    <mergeCell ref="A67:J67"/>
    <mergeCell ref="A174:J174"/>
    <mergeCell ref="A183:D183"/>
    <mergeCell ref="A187:J187"/>
    <mergeCell ref="A194:D194"/>
    <mergeCell ref="A156:J156"/>
    <mergeCell ref="A168:D168"/>
  </mergeCells>
  <pageMargins left="0.16" right="0.13" top="0.16" bottom="0.16" header="0.3" footer="0.3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topLeftCell="A7" zoomScale="90" zoomScaleNormal="90" workbookViewId="0">
      <selection activeCell="E30" sqref="E30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983" t="s">
        <v>27</v>
      </c>
      <c r="F8" s="984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983" t="s">
        <v>27</v>
      </c>
      <c r="B15" s="984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983" t="s">
        <v>27</v>
      </c>
      <c r="F21" s="984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1186</v>
      </c>
      <c r="C1" s="581"/>
      <c r="D1" s="534" t="s">
        <v>1188</v>
      </c>
      <c r="F1" s="534" t="s">
        <v>1189</v>
      </c>
    </row>
    <row r="2" spans="1:16" ht="42" customHeight="1">
      <c r="A2" s="713" t="s">
        <v>21</v>
      </c>
      <c r="B2" s="713" t="s">
        <v>1187</v>
      </c>
      <c r="C2" s="714" t="s">
        <v>52</v>
      </c>
      <c r="D2" s="713" t="s">
        <v>1187</v>
      </c>
      <c r="E2" s="714" t="s">
        <v>52</v>
      </c>
      <c r="F2" s="713" t="s">
        <v>1187</v>
      </c>
      <c r="G2" s="714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2">
        <v>42843</v>
      </c>
      <c r="C4" s="255">
        <v>1349618000</v>
      </c>
      <c r="D4" s="722">
        <v>43005</v>
      </c>
      <c r="E4" s="255">
        <v>930600000</v>
      </c>
      <c r="F4" s="722"/>
      <c r="G4" s="255"/>
    </row>
    <row r="5" spans="1:16" ht="20.25" customHeight="1">
      <c r="A5" s="256" t="s">
        <v>394</v>
      </c>
      <c r="B5" s="722">
        <v>42850</v>
      </c>
      <c r="C5" s="255">
        <f>5186275000-204000000</f>
        <v>4982275000</v>
      </c>
      <c r="D5" s="722">
        <v>43011</v>
      </c>
      <c r="E5" s="255">
        <v>322400000</v>
      </c>
      <c r="F5" s="722">
        <v>43011</v>
      </c>
      <c r="G5" s="255">
        <f>917432000-E5</f>
        <v>595032000</v>
      </c>
    </row>
    <row r="6" spans="1:16" ht="20.25" customHeight="1">
      <c r="A6" s="256" t="s">
        <v>394</v>
      </c>
      <c r="B6" s="722">
        <v>42864</v>
      </c>
      <c r="C6" s="255">
        <v>662146000</v>
      </c>
      <c r="D6" s="722"/>
      <c r="E6" s="255"/>
      <c r="F6" s="722">
        <v>43069</v>
      </c>
      <c r="G6" s="255">
        <v>2200000000</v>
      </c>
    </row>
    <row r="7" spans="1:16" ht="20.25" customHeight="1">
      <c r="A7" s="256" t="s">
        <v>394</v>
      </c>
      <c r="B7" s="722">
        <v>42868</v>
      </c>
      <c r="C7" s="255">
        <v>3162276000</v>
      </c>
      <c r="D7" s="722"/>
      <c r="E7" s="255"/>
      <c r="F7" s="722">
        <v>43074</v>
      </c>
      <c r="G7" s="255">
        <v>2000000000</v>
      </c>
    </row>
    <row r="8" spans="1:16" ht="20.25" customHeight="1">
      <c r="A8" s="256" t="s">
        <v>394</v>
      </c>
      <c r="B8" s="722">
        <v>42926</v>
      </c>
      <c r="C8" s="255">
        <v>1411865000</v>
      </c>
      <c r="D8" s="722"/>
      <c r="E8" s="255"/>
      <c r="F8" s="722">
        <v>43084</v>
      </c>
      <c r="G8" s="255">
        <v>800000000</v>
      </c>
    </row>
    <row r="9" spans="1:16" ht="20.25" customHeight="1">
      <c r="A9" s="256" t="s">
        <v>394</v>
      </c>
      <c r="B9" s="722">
        <v>42930</v>
      </c>
      <c r="C9" s="255">
        <v>2220230000</v>
      </c>
      <c r="D9" s="722"/>
      <c r="E9" s="255"/>
      <c r="F9" s="722"/>
      <c r="G9" s="255"/>
    </row>
    <row r="10" spans="1:16" ht="20.25" customHeight="1">
      <c r="A10" s="256" t="s">
        <v>394</v>
      </c>
      <c r="B10" s="722">
        <v>42935</v>
      </c>
      <c r="C10" s="255">
        <v>1912587000</v>
      </c>
      <c r="D10" s="722"/>
      <c r="E10" s="255"/>
      <c r="F10" s="722"/>
      <c r="G10" s="255"/>
    </row>
    <row r="11" spans="1:16" ht="20.25" customHeight="1">
      <c r="A11" s="256" t="s">
        <v>394</v>
      </c>
      <c r="B11" s="722">
        <v>42941</v>
      </c>
      <c r="C11" s="258">
        <v>2709455000</v>
      </c>
      <c r="D11" s="722"/>
      <c r="E11" s="258"/>
      <c r="F11" s="722"/>
      <c r="G11" s="258"/>
    </row>
    <row r="12" spans="1:16" ht="20.25" customHeight="1">
      <c r="A12" s="256" t="s">
        <v>394</v>
      </c>
      <c r="B12" s="722">
        <v>42949</v>
      </c>
      <c r="C12" s="255">
        <v>1397242000</v>
      </c>
      <c r="D12" s="722"/>
      <c r="E12" s="255"/>
      <c r="F12" s="722"/>
      <c r="G12" s="255"/>
    </row>
    <row r="13" spans="1:16" s="334" customFormat="1" ht="20.25" customHeight="1">
      <c r="A13" s="256" t="s">
        <v>394</v>
      </c>
      <c r="B13" s="722">
        <v>42985</v>
      </c>
      <c r="C13" s="255">
        <v>1290562000</v>
      </c>
      <c r="D13" s="722"/>
      <c r="E13" s="255"/>
      <c r="F13" s="722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2">
        <v>42993</v>
      </c>
      <c r="C14" s="255">
        <v>3000000000</v>
      </c>
      <c r="D14" s="722"/>
      <c r="E14" s="255"/>
      <c r="F14" s="722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2">
        <v>42993</v>
      </c>
      <c r="C15" s="255">
        <v>2000000000</v>
      </c>
      <c r="D15" s="722"/>
      <c r="E15" s="255"/>
      <c r="F15" s="722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2">
        <v>42994</v>
      </c>
      <c r="C16" s="255">
        <v>1000000000</v>
      </c>
      <c r="D16" s="722"/>
      <c r="E16" s="255"/>
      <c r="F16" s="722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2">
        <v>42996</v>
      </c>
      <c r="C17" s="255">
        <v>149245000</v>
      </c>
      <c r="D17" s="722"/>
      <c r="E17" s="255"/>
      <c r="F17" s="722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2">
        <v>42999</v>
      </c>
      <c r="C18" s="255">
        <v>3299500000</v>
      </c>
      <c r="D18" s="722"/>
      <c r="E18" s="255"/>
      <c r="F18" s="722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2">
        <v>43033</v>
      </c>
      <c r="C19" s="255">
        <v>4053558000</v>
      </c>
      <c r="D19" s="722"/>
      <c r="E19" s="255"/>
      <c r="F19" s="722"/>
      <c r="G19" s="255"/>
    </row>
    <row r="20" spans="1:16" ht="20.25" customHeight="1">
      <c r="A20" s="256" t="s">
        <v>394</v>
      </c>
      <c r="B20" s="722">
        <v>43045</v>
      </c>
      <c r="C20" s="255">
        <v>6439946500</v>
      </c>
      <c r="D20" s="722"/>
      <c r="E20" s="255"/>
      <c r="F20" s="722"/>
      <c r="G20" s="255"/>
    </row>
    <row r="21" spans="1:16" ht="20.25" customHeight="1">
      <c r="A21" s="256" t="s">
        <v>394</v>
      </c>
      <c r="B21" s="722">
        <v>43049</v>
      </c>
      <c r="C21" s="255">
        <v>1121952000</v>
      </c>
      <c r="D21" s="722"/>
      <c r="E21" s="255"/>
      <c r="F21" s="722"/>
      <c r="G21" s="255"/>
    </row>
    <row r="22" spans="1:16" ht="21.75" customHeight="1">
      <c r="A22" s="256" t="s">
        <v>394</v>
      </c>
      <c r="B22" s="722">
        <v>43077</v>
      </c>
      <c r="C22" s="255">
        <v>2427880000</v>
      </c>
      <c r="D22" s="722"/>
      <c r="E22" s="255"/>
      <c r="F22" s="722"/>
      <c r="G22" s="255"/>
    </row>
    <row r="23" spans="1:16" ht="21.75" customHeight="1">
      <c r="A23" s="257" t="s">
        <v>394</v>
      </c>
      <c r="B23" s="722">
        <v>43089</v>
      </c>
      <c r="C23" s="258">
        <v>1204970000</v>
      </c>
      <c r="D23" s="722"/>
      <c r="E23" s="258"/>
      <c r="F23" s="722"/>
      <c r="G23" s="258"/>
    </row>
    <row r="24" spans="1:16" s="534" customFormat="1" ht="21.75" customHeight="1">
      <c r="A24" s="723" t="s">
        <v>19</v>
      </c>
      <c r="B24" s="724"/>
      <c r="C24" s="725">
        <f>SUM(C3:C23)</f>
        <v>48644005300</v>
      </c>
      <c r="D24" s="725"/>
      <c r="E24" s="725">
        <f>SUM(E3:E23)</f>
        <v>1969994000</v>
      </c>
      <c r="F24" s="725"/>
      <c r="G24" s="725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97"/>
  <sheetViews>
    <sheetView zoomScale="90" zoomScaleNormal="90" workbookViewId="0">
      <pane xSplit="5" ySplit="3" topLeftCell="F4" activePane="bottomRight" state="frozen"/>
      <selection activeCell="C243" sqref="C243"/>
      <selection pane="topRight" activeCell="C243" sqref="C243"/>
      <selection pane="bottomLeft" activeCell="C243" sqref="C243"/>
      <selection pane="bottomRight" activeCell="M3" sqref="M3"/>
    </sheetView>
  </sheetViews>
  <sheetFormatPr defaultColWidth="10.7109375" defaultRowHeight="18" customHeight="1"/>
  <cols>
    <col min="1" max="1" width="8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8" style="236" customWidth="1"/>
    <col min="9" max="9" width="14.5703125" style="236" customWidth="1"/>
    <col min="10" max="11" width="14.28515625" style="236" hidden="1" customWidth="1"/>
    <col min="12" max="12" width="9.5703125" style="236" customWidth="1"/>
    <col min="13" max="13" width="9" style="236" customWidth="1"/>
    <col min="14" max="14" width="14" style="236" customWidth="1"/>
    <col min="15" max="15" width="8" style="236" customWidth="1"/>
    <col min="16" max="16" width="15" style="236" customWidth="1"/>
    <col min="17" max="17" width="26.85546875" style="236" hidden="1" customWidth="1"/>
    <col min="18" max="18" width="11.5703125" style="236" hidden="1" customWidth="1"/>
    <col min="19" max="19" width="14.85546875" style="236" hidden="1" customWidth="1"/>
    <col min="20" max="20" width="18" style="236" customWidth="1"/>
    <col min="21" max="21" width="6" customWidth="1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ht="19.5" customHeight="1">
      <c r="A2" s="894" t="s">
        <v>1234</v>
      </c>
      <c r="B2" s="894" t="s">
        <v>1</v>
      </c>
      <c r="C2" s="897" t="s">
        <v>2</v>
      </c>
      <c r="D2" s="897"/>
      <c r="E2" s="897"/>
      <c r="F2" s="897" t="s">
        <v>464</v>
      </c>
      <c r="G2" s="897"/>
      <c r="H2" s="897"/>
      <c r="I2" s="897"/>
      <c r="J2" s="895" t="s">
        <v>452</v>
      </c>
      <c r="K2" s="895" t="s">
        <v>893</v>
      </c>
      <c r="L2" s="897" t="s">
        <v>3</v>
      </c>
      <c r="M2" s="897"/>
      <c r="N2" s="897"/>
      <c r="O2" s="897"/>
      <c r="P2" s="897"/>
      <c r="Q2" s="894" t="s">
        <v>451</v>
      </c>
      <c r="R2" s="894"/>
      <c r="S2" s="894"/>
      <c r="T2" s="895" t="s">
        <v>82</v>
      </c>
    </row>
    <row r="3" spans="1:20" ht="42" customHeight="1">
      <c r="A3" s="894"/>
      <c r="B3" s="894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96"/>
      <c r="K3" s="896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96"/>
    </row>
    <row r="4" spans="1:20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7" si="0">F4*13</f>
        <v>26390</v>
      </c>
      <c r="H4" s="544">
        <v>2.2000000000000002</v>
      </c>
      <c r="I4" s="543">
        <f t="shared" ref="I4:I67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9" si="2">71000000</f>
        <v>71000000</v>
      </c>
      <c r="K5" s="310">
        <v>2880000</v>
      </c>
      <c r="L5" s="868">
        <v>43001</v>
      </c>
      <c r="M5" s="871">
        <v>56.5</v>
      </c>
      <c r="N5" s="871">
        <f>SUM(I5:I7)-M5</f>
        <v>174117.50000000003</v>
      </c>
      <c r="O5" s="864">
        <v>22690</v>
      </c>
      <c r="P5" s="864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869"/>
      <c r="M6" s="872"/>
      <c r="N6" s="872"/>
      <c r="O6" s="865"/>
      <c r="P6" s="865"/>
      <c r="Q6" s="256" t="s">
        <v>923</v>
      </c>
      <c r="R6" s="254">
        <v>686950</v>
      </c>
      <c r="S6" s="255">
        <v>1249000000</v>
      </c>
      <c r="T6" s="144"/>
    </row>
    <row r="7" spans="1:20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870"/>
      <c r="M7" s="873"/>
      <c r="N7" s="873"/>
      <c r="O7" s="874"/>
      <c r="P7" s="874"/>
      <c r="Q7" s="256" t="s">
        <v>924</v>
      </c>
      <c r="R7" s="254">
        <v>330000</v>
      </c>
      <c r="S7" s="255">
        <v>1000000000</v>
      </c>
      <c r="T7" s="343"/>
    </row>
    <row r="8" spans="1:20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871">
        <v>2.2000000000000002</v>
      </c>
      <c r="I8" s="871">
        <f>SUM(G8:G10)*H8</f>
        <v>174174</v>
      </c>
      <c r="J8" s="864">
        <f>71000000*3</f>
        <v>213000000</v>
      </c>
      <c r="K8" s="864">
        <f>2880000*3</f>
        <v>8640000</v>
      </c>
      <c r="L8" s="868">
        <v>43004</v>
      </c>
      <c r="M8" s="871">
        <v>56.5</v>
      </c>
      <c r="N8" s="871">
        <f>SUM(I8:I10)-M8</f>
        <v>174117.5</v>
      </c>
      <c r="O8" s="864">
        <v>22690</v>
      </c>
      <c r="P8" s="864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872"/>
      <c r="I9" s="872"/>
      <c r="J9" s="865"/>
      <c r="K9" s="865"/>
      <c r="L9" s="869"/>
      <c r="M9" s="872"/>
      <c r="N9" s="872"/>
      <c r="O9" s="865"/>
      <c r="P9" s="865"/>
      <c r="Q9" s="256" t="s">
        <v>406</v>
      </c>
      <c r="R9" s="254">
        <v>550000</v>
      </c>
      <c r="S9" s="255">
        <v>1265340000</v>
      </c>
      <c r="T9" s="144"/>
    </row>
    <row r="10" spans="1:20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873"/>
      <c r="I10" s="873"/>
      <c r="J10" s="874"/>
      <c r="K10" s="874"/>
      <c r="L10" s="870"/>
      <c r="M10" s="873"/>
      <c r="N10" s="873"/>
      <c r="O10" s="874"/>
      <c r="P10" s="874"/>
      <c r="Q10" s="256" t="s">
        <v>394</v>
      </c>
      <c r="R10" s="254">
        <v>511830</v>
      </c>
      <c r="S10" s="255">
        <v>930600000</v>
      </c>
      <c r="T10" s="144"/>
    </row>
    <row r="11" spans="1:20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871">
        <v>2.2000000000000002</v>
      </c>
      <c r="I11" s="871">
        <f>SUM(G11:G13)*H11</f>
        <v>174174</v>
      </c>
      <c r="J11" s="864">
        <f>68000000*1+71000000*2</f>
        <v>210000000</v>
      </c>
      <c r="K11" s="864">
        <f>2880000*3</f>
        <v>8640000</v>
      </c>
      <c r="L11" s="868">
        <v>43012</v>
      </c>
      <c r="M11" s="871">
        <v>56.5</v>
      </c>
      <c r="N11" s="871">
        <f>SUM(I11:I13)-M11</f>
        <v>174117.5</v>
      </c>
      <c r="O11" s="864">
        <v>22690</v>
      </c>
      <c r="P11" s="864">
        <f>N11*O11</f>
        <v>3950726075</v>
      </c>
      <c r="Q11" s="253"/>
      <c r="R11" s="254"/>
      <c r="S11" s="255"/>
      <c r="T11" s="144"/>
    </row>
    <row r="12" spans="1:20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872"/>
      <c r="I12" s="872"/>
      <c r="J12" s="865"/>
      <c r="K12" s="865"/>
      <c r="L12" s="869"/>
      <c r="M12" s="872"/>
      <c r="N12" s="872"/>
      <c r="O12" s="865"/>
      <c r="P12" s="865"/>
      <c r="Q12" s="253"/>
      <c r="R12" s="254"/>
      <c r="S12" s="255"/>
      <c r="T12" s="144"/>
    </row>
    <row r="13" spans="1:20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873"/>
      <c r="I13" s="873"/>
      <c r="J13" s="874"/>
      <c r="K13" s="874"/>
      <c r="L13" s="870"/>
      <c r="M13" s="873"/>
      <c r="N13" s="873"/>
      <c r="O13" s="874"/>
      <c r="P13" s="874"/>
      <c r="Q13" s="253"/>
      <c r="R13" s="254"/>
      <c r="S13" s="255"/>
      <c r="T13" s="144"/>
    </row>
    <row r="14" spans="1:20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871">
        <v>2.2000000000000002</v>
      </c>
      <c r="I14" s="871">
        <f>SUM(G14:G16)*H14</f>
        <v>174174</v>
      </c>
      <c r="J14" s="864">
        <f t="shared" ref="J14" si="4">68000000*3</f>
        <v>204000000</v>
      </c>
      <c r="K14" s="864">
        <f>2880000*3</f>
        <v>8640000</v>
      </c>
      <c r="L14" s="868">
        <v>43027</v>
      </c>
      <c r="M14" s="871">
        <v>56.5</v>
      </c>
      <c r="N14" s="871">
        <f>SUM(I14:I16)-M14</f>
        <v>174117.5</v>
      </c>
      <c r="O14" s="864">
        <v>22680</v>
      </c>
      <c r="P14" s="864">
        <f>N14*O14</f>
        <v>3948984900</v>
      </c>
      <c r="Q14" s="253"/>
      <c r="R14" s="254"/>
      <c r="S14" s="255"/>
      <c r="T14" s="144"/>
    </row>
    <row r="15" spans="1:20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872"/>
      <c r="I15" s="872"/>
      <c r="J15" s="865"/>
      <c r="K15" s="865"/>
      <c r="L15" s="869"/>
      <c r="M15" s="872"/>
      <c r="N15" s="872"/>
      <c r="O15" s="865"/>
      <c r="P15" s="865"/>
      <c r="Q15" s="540"/>
      <c r="R15" s="540"/>
      <c r="S15" s="540"/>
      <c r="T15" s="144"/>
    </row>
    <row r="16" spans="1:20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873"/>
      <c r="I16" s="873"/>
      <c r="J16" s="874"/>
      <c r="K16" s="874"/>
      <c r="L16" s="870"/>
      <c r="M16" s="873"/>
      <c r="N16" s="873"/>
      <c r="O16" s="874"/>
      <c r="P16" s="874"/>
      <c r="Q16" s="540"/>
      <c r="R16" s="540"/>
      <c r="S16" s="540"/>
      <c r="T16" s="144"/>
    </row>
    <row r="17" spans="1:20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871">
        <v>2.2000000000000002</v>
      </c>
      <c r="I17" s="871">
        <f>SUM(G17:G19)*H17</f>
        <v>174174</v>
      </c>
      <c r="J17" s="864">
        <f t="shared" ref="J17" si="5">68000000*3</f>
        <v>204000000</v>
      </c>
      <c r="K17" s="864">
        <f>2880000*3</f>
        <v>8640000</v>
      </c>
      <c r="L17" s="868">
        <v>43046</v>
      </c>
      <c r="M17" s="871">
        <v>56.5</v>
      </c>
      <c r="N17" s="871">
        <f>SUM(I17:I19)-M17</f>
        <v>174117.5</v>
      </c>
      <c r="O17" s="864">
        <v>22680</v>
      </c>
      <c r="P17" s="864">
        <f>N17*O17</f>
        <v>3948984900</v>
      </c>
      <c r="Q17" s="253"/>
      <c r="R17" s="254"/>
      <c r="S17" s="255"/>
      <c r="T17" s="144"/>
    </row>
    <row r="18" spans="1:20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872"/>
      <c r="I18" s="872"/>
      <c r="J18" s="865"/>
      <c r="K18" s="865"/>
      <c r="L18" s="869"/>
      <c r="M18" s="872"/>
      <c r="N18" s="872"/>
      <c r="O18" s="865"/>
      <c r="P18" s="865"/>
      <c r="Q18" s="253"/>
      <c r="R18" s="254"/>
      <c r="S18" s="255"/>
      <c r="T18" s="144"/>
    </row>
    <row r="19" spans="1:20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873"/>
      <c r="I19" s="873"/>
      <c r="J19" s="874"/>
      <c r="K19" s="874"/>
      <c r="L19" s="870"/>
      <c r="M19" s="873"/>
      <c r="N19" s="873"/>
      <c r="O19" s="874"/>
      <c r="P19" s="874"/>
      <c r="Q19" s="253"/>
      <c r="R19" s="254"/>
      <c r="S19" s="255"/>
      <c r="T19" s="144"/>
    </row>
    <row r="20" spans="1:20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871">
        <v>2.2000000000000002</v>
      </c>
      <c r="I20" s="871">
        <f>SUM(G20:G22)*H20</f>
        <v>174174</v>
      </c>
      <c r="J20" s="864">
        <f t="shared" ref="J20" si="6">68000000*3</f>
        <v>204000000</v>
      </c>
      <c r="K20" s="864">
        <f>2880000*3</f>
        <v>8640000</v>
      </c>
      <c r="L20" s="868">
        <v>43073</v>
      </c>
      <c r="M20" s="871">
        <v>56.5</v>
      </c>
      <c r="N20" s="871">
        <f>SUM(I20:I22)-M20</f>
        <v>174117.5</v>
      </c>
      <c r="O20" s="864">
        <v>22690</v>
      </c>
      <c r="P20" s="864">
        <f>N20*O20</f>
        <v>3950726075</v>
      </c>
      <c r="Q20" s="253"/>
      <c r="R20" s="254"/>
      <c r="S20" s="255"/>
      <c r="T20" s="144"/>
    </row>
    <row r="21" spans="1:20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872"/>
      <c r="I21" s="872"/>
      <c r="J21" s="865"/>
      <c r="K21" s="865"/>
      <c r="L21" s="869"/>
      <c r="M21" s="872"/>
      <c r="N21" s="872"/>
      <c r="O21" s="865"/>
      <c r="P21" s="865"/>
      <c r="Q21" s="253"/>
      <c r="R21" s="254"/>
      <c r="S21" s="255"/>
      <c r="T21" s="144"/>
    </row>
    <row r="22" spans="1:20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873"/>
      <c r="I22" s="873"/>
      <c r="J22" s="874"/>
      <c r="K22" s="874"/>
      <c r="L22" s="870"/>
      <c r="M22" s="873"/>
      <c r="N22" s="873"/>
      <c r="O22" s="874"/>
      <c r="P22" s="874"/>
      <c r="Q22" s="253"/>
      <c r="R22" s="254"/>
      <c r="S22" s="255"/>
      <c r="T22" s="144"/>
    </row>
    <row r="23" spans="1:20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871">
        <v>2</v>
      </c>
      <c r="I23" s="871">
        <f>SUM(G23:G25)*H23</f>
        <v>158340</v>
      </c>
      <c r="J23" s="864">
        <f t="shared" ref="J23" si="7">68000000*3</f>
        <v>204000000</v>
      </c>
      <c r="K23" s="864">
        <f>2880000*3</f>
        <v>8640000</v>
      </c>
      <c r="L23" s="868">
        <v>43077</v>
      </c>
      <c r="M23" s="871">
        <v>56.5</v>
      </c>
      <c r="N23" s="871">
        <f>SUM(I23:I25)-M23</f>
        <v>158283.5</v>
      </c>
      <c r="O23" s="864">
        <v>22690</v>
      </c>
      <c r="P23" s="864">
        <f>N23*O23</f>
        <v>3591452615</v>
      </c>
      <c r="Q23" s="540"/>
      <c r="R23" s="540"/>
      <c r="S23" s="540"/>
      <c r="T23" s="144"/>
    </row>
    <row r="24" spans="1:20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872"/>
      <c r="I24" s="872"/>
      <c r="J24" s="865"/>
      <c r="K24" s="865"/>
      <c r="L24" s="869"/>
      <c r="M24" s="872"/>
      <c r="N24" s="872"/>
      <c r="O24" s="865"/>
      <c r="P24" s="865"/>
      <c r="Q24" s="540"/>
      <c r="R24" s="540"/>
      <c r="S24" s="540"/>
      <c r="T24" s="144"/>
    </row>
    <row r="25" spans="1:20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873"/>
      <c r="I25" s="873"/>
      <c r="J25" s="874"/>
      <c r="K25" s="874"/>
      <c r="L25" s="870"/>
      <c r="M25" s="873"/>
      <c r="N25" s="873"/>
      <c r="O25" s="874"/>
      <c r="P25" s="874"/>
      <c r="Q25" s="253"/>
      <c r="R25" s="254"/>
      <c r="S25" s="255"/>
      <c r="T25" s="144"/>
    </row>
    <row r="26" spans="1:20" ht="18" customHeight="1">
      <c r="A26" s="144">
        <v>24</v>
      </c>
      <c r="B26" s="623">
        <v>43010</v>
      </c>
      <c r="C26" s="243"/>
      <c r="D26" s="243"/>
      <c r="E26" s="243"/>
      <c r="F26" s="601">
        <v>2030</v>
      </c>
      <c r="G26" s="539">
        <f t="shared" si="0"/>
        <v>26390</v>
      </c>
      <c r="H26" s="871">
        <v>2</v>
      </c>
      <c r="I26" s="871">
        <f>SUM(G26:G28)*H26</f>
        <v>158340</v>
      </c>
      <c r="J26" s="864">
        <f t="shared" ref="J26" si="8">68000000*3</f>
        <v>204000000</v>
      </c>
      <c r="K26" s="864">
        <f>2880000*3</f>
        <v>8640000</v>
      </c>
      <c r="L26" s="868">
        <v>43095</v>
      </c>
      <c r="M26" s="871">
        <v>56.5</v>
      </c>
      <c r="N26" s="871">
        <f>SUM(I26:I28)-M26</f>
        <v>158283.5</v>
      </c>
      <c r="O26" s="864">
        <v>22685</v>
      </c>
      <c r="P26" s="864">
        <f>N26*O26</f>
        <v>3590661197.5</v>
      </c>
      <c r="Q26" s="253"/>
      <c r="R26" s="254"/>
      <c r="S26" s="255"/>
      <c r="T26" s="144"/>
    </row>
    <row r="27" spans="1:20" ht="18.75" customHeight="1">
      <c r="A27" s="144">
        <v>25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872"/>
      <c r="I27" s="872"/>
      <c r="J27" s="865"/>
      <c r="K27" s="865"/>
      <c r="L27" s="869"/>
      <c r="M27" s="872"/>
      <c r="N27" s="872"/>
      <c r="O27" s="865"/>
      <c r="P27" s="865"/>
      <c r="Q27" s="253"/>
      <c r="R27" s="254"/>
      <c r="S27" s="255"/>
      <c r="T27" s="144"/>
    </row>
    <row r="28" spans="1:20" ht="18.75" customHeight="1">
      <c r="A28" s="144">
        <v>26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873"/>
      <c r="I28" s="873"/>
      <c r="J28" s="874"/>
      <c r="K28" s="874"/>
      <c r="L28" s="870"/>
      <c r="M28" s="873"/>
      <c r="N28" s="873"/>
      <c r="O28" s="874"/>
      <c r="P28" s="874"/>
      <c r="Q28" s="253"/>
      <c r="R28" s="254"/>
      <c r="S28" s="255"/>
      <c r="T28" s="144"/>
    </row>
    <row r="29" spans="1:20" ht="18" customHeight="1">
      <c r="A29" s="416">
        <v>5</v>
      </c>
      <c r="B29" s="417">
        <v>42983</v>
      </c>
      <c r="C29" s="418"/>
      <c r="D29" s="418"/>
      <c r="E29" s="418"/>
      <c r="F29" s="706">
        <v>2030</v>
      </c>
      <c r="G29" s="706">
        <f>F29*13</f>
        <v>26390</v>
      </c>
      <c r="H29" s="421">
        <v>2.2000000000000002</v>
      </c>
      <c r="I29" s="707">
        <f>G29*H29</f>
        <v>58058.000000000007</v>
      </c>
      <c r="J29" s="709">
        <f t="shared" si="2"/>
        <v>71000000</v>
      </c>
      <c r="K29" s="709">
        <v>2880000</v>
      </c>
      <c r="L29" s="882">
        <v>43088</v>
      </c>
      <c r="M29" s="885">
        <v>56.5</v>
      </c>
      <c r="N29" s="885">
        <f>SUM(I26:I30)-M29</f>
        <v>264977.5</v>
      </c>
      <c r="O29" s="888">
        <v>22690</v>
      </c>
      <c r="P29" s="888">
        <f>N29*O29</f>
        <v>6012339475</v>
      </c>
      <c r="Q29" s="610"/>
      <c r="R29" s="610"/>
      <c r="S29" s="610"/>
      <c r="T29" s="416"/>
    </row>
    <row r="30" spans="1:20" ht="18" customHeight="1">
      <c r="A30" s="144">
        <v>27</v>
      </c>
      <c r="B30" s="417">
        <v>43026</v>
      </c>
      <c r="C30" s="418"/>
      <c r="D30" s="418"/>
      <c r="E30" s="418"/>
      <c r="F30" s="706">
        <v>1930</v>
      </c>
      <c r="G30" s="706">
        <f>F30*14</f>
        <v>27020</v>
      </c>
      <c r="H30" s="421">
        <v>1.8</v>
      </c>
      <c r="I30" s="707">
        <f>G30*H30</f>
        <v>48636</v>
      </c>
      <c r="J30" s="888">
        <f>68000000*4</f>
        <v>272000000</v>
      </c>
      <c r="K30" s="888">
        <f>2880000*4</f>
        <v>11520000</v>
      </c>
      <c r="L30" s="883"/>
      <c r="M30" s="886"/>
      <c r="N30" s="886"/>
      <c r="O30" s="889"/>
      <c r="P30" s="889"/>
      <c r="Q30" s="610"/>
      <c r="R30" s="610"/>
      <c r="S30" s="610"/>
      <c r="T30" s="416"/>
    </row>
    <row r="31" spans="1:20" ht="18.75" customHeight="1">
      <c r="A31" s="144">
        <v>28</v>
      </c>
      <c r="B31" s="417">
        <v>43026</v>
      </c>
      <c r="C31" s="418"/>
      <c r="D31" s="418"/>
      <c r="E31" s="418"/>
      <c r="F31" s="706">
        <v>2030</v>
      </c>
      <c r="G31" s="706">
        <f t="shared" si="0"/>
        <v>26390</v>
      </c>
      <c r="H31" s="885">
        <v>2</v>
      </c>
      <c r="I31" s="885">
        <f>SUM(G31:G33)*H31</f>
        <v>158340</v>
      </c>
      <c r="J31" s="889"/>
      <c r="K31" s="889"/>
      <c r="L31" s="883"/>
      <c r="M31" s="886"/>
      <c r="N31" s="886"/>
      <c r="O31" s="889"/>
      <c r="P31" s="889"/>
      <c r="Q31" s="614"/>
      <c r="R31" s="424"/>
      <c r="S31" s="425"/>
      <c r="T31" s="416"/>
    </row>
    <row r="32" spans="1:20" ht="18.75" customHeight="1">
      <c r="A32" s="144">
        <v>29</v>
      </c>
      <c r="B32" s="417">
        <v>43026</v>
      </c>
      <c r="C32" s="418"/>
      <c r="D32" s="418"/>
      <c r="E32" s="418"/>
      <c r="F32" s="706">
        <v>2030</v>
      </c>
      <c r="G32" s="706">
        <f t="shared" si="0"/>
        <v>26390</v>
      </c>
      <c r="H32" s="886"/>
      <c r="I32" s="886"/>
      <c r="J32" s="889"/>
      <c r="K32" s="889"/>
      <c r="L32" s="883"/>
      <c r="M32" s="886"/>
      <c r="N32" s="886"/>
      <c r="O32" s="889"/>
      <c r="P32" s="889"/>
      <c r="Q32" s="614"/>
      <c r="R32" s="424"/>
      <c r="S32" s="425"/>
      <c r="T32" s="416"/>
    </row>
    <row r="33" spans="1:21" ht="18" customHeight="1">
      <c r="A33" s="144">
        <v>30</v>
      </c>
      <c r="B33" s="417">
        <v>43026</v>
      </c>
      <c r="C33" s="418"/>
      <c r="D33" s="418"/>
      <c r="E33" s="418"/>
      <c r="F33" s="706">
        <v>2030</v>
      </c>
      <c r="G33" s="706">
        <f t="shared" si="0"/>
        <v>26390</v>
      </c>
      <c r="H33" s="887"/>
      <c r="I33" s="887"/>
      <c r="J33" s="890"/>
      <c r="K33" s="890"/>
      <c r="L33" s="884"/>
      <c r="M33" s="887"/>
      <c r="N33" s="887"/>
      <c r="O33" s="890"/>
      <c r="P33" s="890"/>
      <c r="Q33" s="610"/>
      <c r="R33" s="610"/>
      <c r="S33" s="610"/>
      <c r="T33" s="416"/>
    </row>
    <row r="34" spans="1:21" ht="18" customHeight="1">
      <c r="A34" s="144">
        <v>31</v>
      </c>
      <c r="B34" s="417">
        <v>43056</v>
      </c>
      <c r="C34" s="418"/>
      <c r="D34" s="418"/>
      <c r="E34" s="418"/>
      <c r="F34" s="706">
        <v>2030</v>
      </c>
      <c r="G34" s="706">
        <f t="shared" ref="G34:G37" si="9">F34*13</f>
        <v>26390</v>
      </c>
      <c r="H34" s="885">
        <v>2</v>
      </c>
      <c r="I34" s="885">
        <f>(G34+G35)*H34</f>
        <v>105560</v>
      </c>
      <c r="J34" s="864">
        <f>68000000*4</f>
        <v>272000000</v>
      </c>
      <c r="K34" s="864">
        <f>2880000*4</f>
        <v>11520000</v>
      </c>
      <c r="L34" s="882">
        <v>43066</v>
      </c>
      <c r="M34" s="885">
        <f>I34-N34</f>
        <v>56.5</v>
      </c>
      <c r="N34" s="885">
        <v>105503.5</v>
      </c>
      <c r="O34" s="888">
        <v>22690</v>
      </c>
      <c r="P34" s="888">
        <f>N34*O34</f>
        <v>2393874415</v>
      </c>
      <c r="Q34" s="614"/>
      <c r="R34" s="424"/>
      <c r="S34" s="425"/>
      <c r="T34" s="416"/>
    </row>
    <row r="35" spans="1:21" ht="18" customHeight="1">
      <c r="A35" s="144">
        <v>32</v>
      </c>
      <c r="B35" s="417">
        <v>43056</v>
      </c>
      <c r="C35" s="418"/>
      <c r="D35" s="418"/>
      <c r="E35" s="418"/>
      <c r="F35" s="706">
        <v>2030</v>
      </c>
      <c r="G35" s="706">
        <f t="shared" si="9"/>
        <v>26390</v>
      </c>
      <c r="H35" s="887"/>
      <c r="I35" s="887">
        <f t="shared" si="1"/>
        <v>0</v>
      </c>
      <c r="J35" s="865"/>
      <c r="K35" s="865"/>
      <c r="L35" s="884"/>
      <c r="M35" s="887"/>
      <c r="N35" s="887"/>
      <c r="O35" s="890"/>
      <c r="P35" s="890"/>
      <c r="Q35" s="614"/>
      <c r="R35" s="424"/>
      <c r="S35" s="425"/>
      <c r="T35" s="416"/>
    </row>
    <row r="36" spans="1:21" ht="18.75" customHeight="1">
      <c r="A36" s="144">
        <v>33</v>
      </c>
      <c r="B36" s="671">
        <v>43070</v>
      </c>
      <c r="C36" s="243"/>
      <c r="D36" s="243"/>
      <c r="E36" s="243"/>
      <c r="F36" s="682">
        <v>2030</v>
      </c>
      <c r="G36" s="669">
        <f t="shared" si="9"/>
        <v>26390</v>
      </c>
      <c r="H36" s="871">
        <v>2</v>
      </c>
      <c r="I36" s="871">
        <f>(G36+G37)*H36</f>
        <v>105560</v>
      </c>
      <c r="J36" s="865"/>
      <c r="K36" s="865"/>
      <c r="L36" s="868">
        <v>43129</v>
      </c>
      <c r="M36" s="871">
        <v>56.5</v>
      </c>
      <c r="N36" s="871">
        <f>I36+I38-M36</f>
        <v>202775.5</v>
      </c>
      <c r="O36" s="864">
        <v>22685</v>
      </c>
      <c r="P36" s="864">
        <f>N36*O36</f>
        <v>4599962217.5</v>
      </c>
      <c r="Q36" s="253"/>
      <c r="R36" s="254"/>
      <c r="S36" s="255"/>
      <c r="T36" s="144"/>
    </row>
    <row r="37" spans="1:21" ht="18.75" customHeight="1">
      <c r="A37" s="144">
        <v>34</v>
      </c>
      <c r="B37" s="683">
        <v>43070</v>
      </c>
      <c r="C37" s="243"/>
      <c r="D37" s="243"/>
      <c r="E37" s="243"/>
      <c r="F37" s="682">
        <v>2030</v>
      </c>
      <c r="G37" s="669">
        <f t="shared" si="9"/>
        <v>26390</v>
      </c>
      <c r="H37" s="873"/>
      <c r="I37" s="873">
        <f t="shared" ref="I37" si="10">G37*H37</f>
        <v>0</v>
      </c>
      <c r="J37" s="874"/>
      <c r="K37" s="874"/>
      <c r="L37" s="869"/>
      <c r="M37" s="872"/>
      <c r="N37" s="872"/>
      <c r="O37" s="865"/>
      <c r="P37" s="865"/>
      <c r="Q37" s="253"/>
      <c r="R37" s="254"/>
      <c r="S37" s="255"/>
      <c r="T37" s="144"/>
    </row>
    <row r="38" spans="1:21" ht="18.75" customHeight="1">
      <c r="A38" s="144">
        <v>35</v>
      </c>
      <c r="B38" s="671">
        <v>43077</v>
      </c>
      <c r="C38" s="243"/>
      <c r="D38" s="243"/>
      <c r="E38" s="243"/>
      <c r="F38" s="695">
        <v>1930</v>
      </c>
      <c r="G38" s="669">
        <f>F38*14</f>
        <v>27020</v>
      </c>
      <c r="H38" s="871">
        <v>1.8</v>
      </c>
      <c r="I38" s="871">
        <f>(G38+G39)*H38</f>
        <v>97272</v>
      </c>
      <c r="J38" s="310"/>
      <c r="K38" s="310"/>
      <c r="L38" s="869"/>
      <c r="M38" s="872"/>
      <c r="N38" s="872"/>
      <c r="O38" s="865"/>
      <c r="P38" s="865"/>
      <c r="Q38" s="253"/>
      <c r="R38" s="254"/>
      <c r="S38" s="255"/>
      <c r="T38" s="144"/>
    </row>
    <row r="39" spans="1:21" ht="18.75" customHeight="1">
      <c r="A39" s="144">
        <v>36</v>
      </c>
      <c r="B39" s="696">
        <v>43077</v>
      </c>
      <c r="C39" s="243"/>
      <c r="D39" s="243"/>
      <c r="E39" s="243"/>
      <c r="F39" s="695">
        <v>1930</v>
      </c>
      <c r="G39" s="695">
        <f>F39*14</f>
        <v>27020</v>
      </c>
      <c r="H39" s="873"/>
      <c r="I39" s="873">
        <f t="shared" ref="I39" si="11">G39*H39</f>
        <v>0</v>
      </c>
      <c r="J39" s="310"/>
      <c r="K39" s="310"/>
      <c r="L39" s="870"/>
      <c r="M39" s="873"/>
      <c r="N39" s="873"/>
      <c r="O39" s="874"/>
      <c r="P39" s="874"/>
      <c r="Q39" s="253"/>
      <c r="R39" s="254"/>
      <c r="S39" s="255"/>
      <c r="T39" s="144"/>
    </row>
    <row r="40" spans="1:21" ht="18" customHeight="1">
      <c r="A40" s="604">
        <v>37</v>
      </c>
      <c r="B40" s="481">
        <v>43077</v>
      </c>
      <c r="C40" s="482"/>
      <c r="D40" s="482"/>
      <c r="E40" s="482"/>
      <c r="F40" s="777">
        <v>2030</v>
      </c>
      <c r="G40" s="777">
        <f t="shared" ref="G40:G55" si="12">F40*13</f>
        <v>26390</v>
      </c>
      <c r="H40" s="878">
        <v>1.8</v>
      </c>
      <c r="I40" s="878">
        <f>SUM(G40:G42)*H40</f>
        <v>142506</v>
      </c>
      <c r="J40" s="605"/>
      <c r="K40" s="605"/>
      <c r="L40" s="875">
        <v>43097</v>
      </c>
      <c r="M40" s="878">
        <v>56.5</v>
      </c>
      <c r="N40" s="878">
        <f>SUM(I40:I42)-M40</f>
        <v>142449.5</v>
      </c>
      <c r="O40" s="866">
        <v>22685</v>
      </c>
      <c r="P40" s="866">
        <f>N40*O40</f>
        <v>3231466907.5</v>
      </c>
      <c r="Q40" s="659"/>
      <c r="R40" s="660"/>
      <c r="S40" s="661"/>
      <c r="T40" s="604" t="s">
        <v>1249</v>
      </c>
      <c r="U40" t="s">
        <v>1250</v>
      </c>
    </row>
    <row r="41" spans="1:21" ht="18" customHeight="1">
      <c r="A41" s="604">
        <v>38</v>
      </c>
      <c r="B41" s="481">
        <v>43077</v>
      </c>
      <c r="C41" s="482"/>
      <c r="D41" s="482"/>
      <c r="E41" s="482"/>
      <c r="F41" s="777">
        <v>2030</v>
      </c>
      <c r="G41" s="777">
        <f t="shared" si="12"/>
        <v>26390</v>
      </c>
      <c r="H41" s="879"/>
      <c r="I41" s="879"/>
      <c r="J41" s="605"/>
      <c r="K41" s="605"/>
      <c r="L41" s="876"/>
      <c r="M41" s="879"/>
      <c r="N41" s="879"/>
      <c r="O41" s="881"/>
      <c r="P41" s="881"/>
      <c r="Q41" s="659"/>
      <c r="R41" s="660"/>
      <c r="S41" s="661"/>
      <c r="T41" s="604" t="s">
        <v>1249</v>
      </c>
      <c r="U41" t="s">
        <v>1250</v>
      </c>
    </row>
    <row r="42" spans="1:21" ht="18.75" customHeight="1">
      <c r="A42" s="604">
        <v>39</v>
      </c>
      <c r="B42" s="481">
        <v>43077</v>
      </c>
      <c r="C42" s="482"/>
      <c r="D42" s="482"/>
      <c r="E42" s="482"/>
      <c r="F42" s="777">
        <v>2030</v>
      </c>
      <c r="G42" s="777">
        <f t="shared" si="12"/>
        <v>26390</v>
      </c>
      <c r="H42" s="880"/>
      <c r="I42" s="880"/>
      <c r="J42" s="605"/>
      <c r="K42" s="605"/>
      <c r="L42" s="877"/>
      <c r="M42" s="880"/>
      <c r="N42" s="880"/>
      <c r="O42" s="867"/>
      <c r="P42" s="867"/>
      <c r="Q42" s="659"/>
      <c r="R42" s="660"/>
      <c r="S42" s="661"/>
      <c r="T42" s="604" t="s">
        <v>1249</v>
      </c>
      <c r="U42" t="s">
        <v>1250</v>
      </c>
    </row>
    <row r="43" spans="1:21" ht="18.75" customHeight="1">
      <c r="A43" s="604" t="s">
        <v>1238</v>
      </c>
      <c r="B43" s="481">
        <v>43078</v>
      </c>
      <c r="C43" s="482"/>
      <c r="D43" s="482"/>
      <c r="E43" s="482"/>
      <c r="F43" s="777">
        <v>6090</v>
      </c>
      <c r="G43" s="777">
        <f t="shared" si="12"/>
        <v>79170</v>
      </c>
      <c r="H43" s="774">
        <v>1.8</v>
      </c>
      <c r="I43" s="775">
        <f t="shared" ref="I43:I45" si="13">G43*H43</f>
        <v>142506</v>
      </c>
      <c r="J43" s="605"/>
      <c r="K43" s="605"/>
      <c r="L43" s="773">
        <v>43111</v>
      </c>
      <c r="M43" s="774">
        <v>56.5</v>
      </c>
      <c r="N43" s="774">
        <f>SUM(I43:I43)-M43</f>
        <v>142449.5</v>
      </c>
      <c r="O43" s="776">
        <v>22685</v>
      </c>
      <c r="P43" s="776">
        <f>N43*O43</f>
        <v>3231466907.5</v>
      </c>
      <c r="Q43" s="659"/>
      <c r="R43" s="660"/>
      <c r="S43" s="661"/>
      <c r="T43" s="604" t="s">
        <v>1249</v>
      </c>
      <c r="U43" t="s">
        <v>1250</v>
      </c>
    </row>
    <row r="44" spans="1:21" ht="18" customHeight="1">
      <c r="A44" s="416" t="s">
        <v>1235</v>
      </c>
      <c r="B44" s="417">
        <v>43084</v>
      </c>
      <c r="C44" s="418"/>
      <c r="D44" s="418"/>
      <c r="E44" s="418"/>
      <c r="F44" s="780">
        <v>10150</v>
      </c>
      <c r="G44" s="780">
        <f t="shared" si="12"/>
        <v>131950</v>
      </c>
      <c r="H44" s="778">
        <v>1.8</v>
      </c>
      <c r="I44" s="779">
        <f t="shared" si="13"/>
        <v>237510</v>
      </c>
      <c r="J44" s="709"/>
      <c r="K44" s="709"/>
      <c r="L44" s="785">
        <v>43168</v>
      </c>
      <c r="M44" s="786">
        <v>56.5</v>
      </c>
      <c r="N44" s="786">
        <f>I44-M44</f>
        <v>237453.5</v>
      </c>
      <c r="O44" s="709"/>
      <c r="P44" s="709"/>
      <c r="Q44" s="614"/>
      <c r="R44" s="424"/>
      <c r="S44" s="425"/>
      <c r="T44" s="416"/>
    </row>
    <row r="45" spans="1:21" ht="18" customHeight="1">
      <c r="A45" s="144">
        <v>48</v>
      </c>
      <c r="B45" s="700">
        <v>43095</v>
      </c>
      <c r="C45" s="243"/>
      <c r="D45" s="243"/>
      <c r="E45" s="243"/>
      <c r="F45" s="710">
        <v>2030</v>
      </c>
      <c r="G45" s="697">
        <f>F45*13</f>
        <v>26390</v>
      </c>
      <c r="H45" s="750">
        <v>1.8</v>
      </c>
      <c r="I45" s="749">
        <f t="shared" si="13"/>
        <v>47502</v>
      </c>
      <c r="J45" s="310"/>
      <c r="K45" s="310"/>
      <c r="L45" s="868">
        <v>43157</v>
      </c>
      <c r="M45" s="871">
        <v>56.5</v>
      </c>
      <c r="N45" s="871">
        <f>SUM(I45:I49)-M45</f>
        <v>306067.5</v>
      </c>
      <c r="O45" s="864"/>
      <c r="P45" s="864"/>
      <c r="Q45" s="253"/>
      <c r="R45" s="254"/>
      <c r="S45" s="255"/>
      <c r="T45" s="144"/>
    </row>
    <row r="46" spans="1:21" ht="18" customHeight="1">
      <c r="A46" s="144">
        <v>49</v>
      </c>
      <c r="B46" s="711">
        <v>43095</v>
      </c>
      <c r="C46" s="243"/>
      <c r="D46" s="243"/>
      <c r="E46" s="243"/>
      <c r="F46" s="710">
        <v>2030</v>
      </c>
      <c r="G46" s="697">
        <f>F46*13</f>
        <v>26390</v>
      </c>
      <c r="H46" s="750">
        <v>2</v>
      </c>
      <c r="I46" s="698">
        <f>G46*H46</f>
        <v>52780</v>
      </c>
      <c r="J46" s="310"/>
      <c r="K46" s="310"/>
      <c r="L46" s="869"/>
      <c r="M46" s="872"/>
      <c r="N46" s="872"/>
      <c r="O46" s="865"/>
      <c r="P46" s="865"/>
      <c r="Q46" s="253"/>
      <c r="R46" s="254"/>
      <c r="S46" s="255"/>
      <c r="T46" s="144"/>
    </row>
    <row r="47" spans="1:21" ht="18.75" customHeight="1">
      <c r="A47" s="604" t="s">
        <v>1236</v>
      </c>
      <c r="B47" s="481">
        <v>43099</v>
      </c>
      <c r="C47" s="482"/>
      <c r="D47" s="482"/>
      <c r="E47" s="482"/>
      <c r="F47" s="777">
        <v>4060</v>
      </c>
      <c r="G47" s="777">
        <f t="shared" ref="G47:G51" si="14">F47*13</f>
        <v>52780</v>
      </c>
      <c r="H47" s="774">
        <v>2</v>
      </c>
      <c r="I47" s="775">
        <f>G47*H47</f>
        <v>105560</v>
      </c>
      <c r="J47" s="605"/>
      <c r="K47" s="605"/>
      <c r="L47" s="869"/>
      <c r="M47" s="872"/>
      <c r="N47" s="872"/>
      <c r="O47" s="865"/>
      <c r="P47" s="865"/>
      <c r="Q47" s="659"/>
      <c r="R47" s="660"/>
      <c r="S47" s="661"/>
      <c r="T47" s="604" t="s">
        <v>1249</v>
      </c>
      <c r="U47" t="s">
        <v>1250</v>
      </c>
    </row>
    <row r="48" spans="1:21" ht="18" customHeight="1">
      <c r="A48" s="604">
        <v>55</v>
      </c>
      <c r="B48" s="481">
        <v>43140</v>
      </c>
      <c r="C48" s="482"/>
      <c r="D48" s="482"/>
      <c r="E48" s="482"/>
      <c r="F48" s="608">
        <v>2030</v>
      </c>
      <c r="G48" s="777">
        <f>F48*13</f>
        <v>26390</v>
      </c>
      <c r="H48" s="485">
        <v>2</v>
      </c>
      <c r="I48" s="775">
        <f>G48*H48</f>
        <v>52780</v>
      </c>
      <c r="J48" s="605"/>
      <c r="K48" s="605"/>
      <c r="L48" s="869"/>
      <c r="M48" s="872"/>
      <c r="N48" s="872"/>
      <c r="O48" s="865"/>
      <c r="P48" s="865"/>
      <c r="Q48" s="659"/>
      <c r="R48" s="660"/>
      <c r="S48" s="661"/>
      <c r="T48" s="604" t="s">
        <v>1249</v>
      </c>
      <c r="U48" t="s">
        <v>1250</v>
      </c>
    </row>
    <row r="49" spans="1:21" ht="18.75" customHeight="1">
      <c r="A49" s="144">
        <v>56</v>
      </c>
      <c r="B49" s="744">
        <v>43140</v>
      </c>
      <c r="C49" s="243"/>
      <c r="D49" s="243"/>
      <c r="E49" s="243"/>
      <c r="F49" s="743">
        <v>2030</v>
      </c>
      <c r="G49" s="697">
        <f>F49*13</f>
        <v>26390</v>
      </c>
      <c r="H49" s="699">
        <v>1.8</v>
      </c>
      <c r="I49" s="698">
        <f>G49*H49</f>
        <v>47502</v>
      </c>
      <c r="J49" s="310"/>
      <c r="K49" s="310"/>
      <c r="L49" s="870"/>
      <c r="M49" s="873"/>
      <c r="N49" s="873"/>
      <c r="O49" s="874"/>
      <c r="P49" s="874"/>
      <c r="Q49" s="253"/>
      <c r="R49" s="254"/>
      <c r="S49" s="255"/>
      <c r="T49" s="144"/>
    </row>
    <row r="50" spans="1:21" ht="18.75" customHeight="1">
      <c r="A50" s="752">
        <v>52</v>
      </c>
      <c r="B50" s="751">
        <v>43119</v>
      </c>
      <c r="C50" s="243"/>
      <c r="D50" s="243"/>
      <c r="E50" s="243"/>
      <c r="F50" s="748">
        <v>2030</v>
      </c>
      <c r="G50" s="747">
        <f t="shared" si="14"/>
        <v>26390</v>
      </c>
      <c r="H50" s="750">
        <v>1.8</v>
      </c>
      <c r="I50" s="749">
        <f t="shared" ref="I50" si="15">G50*H50</f>
        <v>47502</v>
      </c>
      <c r="J50" s="310"/>
      <c r="K50" s="310"/>
      <c r="L50" s="868">
        <v>43165</v>
      </c>
      <c r="M50" s="871">
        <v>56.5</v>
      </c>
      <c r="N50" s="871">
        <f>SUM(I50:I51)-M50</f>
        <v>153005.5</v>
      </c>
      <c r="O50" s="864"/>
      <c r="P50" s="864"/>
      <c r="Q50" s="253"/>
      <c r="R50" s="254"/>
      <c r="S50" s="255"/>
      <c r="T50" s="752"/>
    </row>
    <row r="51" spans="1:21" ht="18.75" customHeight="1">
      <c r="A51" s="604" t="s">
        <v>1237</v>
      </c>
      <c r="B51" s="481">
        <v>43120</v>
      </c>
      <c r="C51" s="482"/>
      <c r="D51" s="482"/>
      <c r="E51" s="482"/>
      <c r="F51" s="608">
        <v>4060</v>
      </c>
      <c r="G51" s="777">
        <f t="shared" si="14"/>
        <v>52780</v>
      </c>
      <c r="H51" s="774">
        <v>2</v>
      </c>
      <c r="I51" s="775">
        <f t="shared" ref="I51:I55" si="16">G51*H51</f>
        <v>105560</v>
      </c>
      <c r="J51" s="605"/>
      <c r="K51" s="605"/>
      <c r="L51" s="869"/>
      <c r="M51" s="872"/>
      <c r="N51" s="872"/>
      <c r="O51" s="865"/>
      <c r="P51" s="865"/>
      <c r="Q51" s="659"/>
      <c r="R51" s="660"/>
      <c r="S51" s="661"/>
      <c r="T51" s="604" t="s">
        <v>1249</v>
      </c>
      <c r="U51" t="s">
        <v>1250</v>
      </c>
    </row>
    <row r="52" spans="1:21" ht="18.75" customHeight="1">
      <c r="A52" s="604">
        <v>57</v>
      </c>
      <c r="B52" s="481">
        <v>43161</v>
      </c>
      <c r="C52" s="482"/>
      <c r="D52" s="482"/>
      <c r="E52" s="482"/>
      <c r="F52" s="608">
        <v>2030</v>
      </c>
      <c r="G52" s="777">
        <f t="shared" si="12"/>
        <v>26390</v>
      </c>
      <c r="H52" s="485">
        <v>2</v>
      </c>
      <c r="I52" s="775">
        <f t="shared" si="16"/>
        <v>52780</v>
      </c>
      <c r="J52" s="605"/>
      <c r="K52" s="605"/>
      <c r="L52" s="875">
        <v>43182</v>
      </c>
      <c r="M52" s="878">
        <f>45+220</f>
        <v>265</v>
      </c>
      <c r="N52" s="878">
        <f>SUM(I52:I57)-M52</f>
        <v>469503</v>
      </c>
      <c r="O52" s="866"/>
      <c r="P52" s="866"/>
      <c r="Q52" s="659"/>
      <c r="R52" s="660"/>
      <c r="S52" s="661"/>
      <c r="T52" s="604" t="s">
        <v>1249</v>
      </c>
      <c r="U52" t="s">
        <v>1250</v>
      </c>
    </row>
    <row r="53" spans="1:21" ht="18.75" customHeight="1">
      <c r="A53" s="416">
        <v>58</v>
      </c>
      <c r="B53" s="417">
        <v>43161</v>
      </c>
      <c r="C53" s="418"/>
      <c r="D53" s="418"/>
      <c r="E53" s="418"/>
      <c r="F53" s="610">
        <v>2031</v>
      </c>
      <c r="G53" s="780">
        <f t="shared" ref="G53" si="17">F53*13</f>
        <v>26403</v>
      </c>
      <c r="H53" s="421">
        <v>2</v>
      </c>
      <c r="I53" s="779">
        <f t="shared" ref="I53" si="18">G53*H53</f>
        <v>52806</v>
      </c>
      <c r="J53" s="709"/>
      <c r="K53" s="709"/>
      <c r="L53" s="876"/>
      <c r="M53" s="879"/>
      <c r="N53" s="879"/>
      <c r="O53" s="881"/>
      <c r="P53" s="881"/>
      <c r="Q53" s="614"/>
      <c r="R53" s="424"/>
      <c r="S53" s="425"/>
      <c r="T53" s="416"/>
      <c r="U53" t="s">
        <v>1250</v>
      </c>
    </row>
    <row r="54" spans="1:21" ht="18.75" customHeight="1">
      <c r="A54" s="604">
        <v>59</v>
      </c>
      <c r="B54" s="481">
        <v>43162</v>
      </c>
      <c r="C54" s="482"/>
      <c r="D54" s="482"/>
      <c r="E54" s="482"/>
      <c r="F54" s="608">
        <v>2030</v>
      </c>
      <c r="G54" s="777">
        <f t="shared" si="12"/>
        <v>26390</v>
      </c>
      <c r="H54" s="485">
        <v>1.8</v>
      </c>
      <c r="I54" s="775">
        <f t="shared" si="16"/>
        <v>47502</v>
      </c>
      <c r="J54" s="605"/>
      <c r="K54" s="605"/>
      <c r="L54" s="876"/>
      <c r="M54" s="879"/>
      <c r="N54" s="879"/>
      <c r="O54" s="881"/>
      <c r="P54" s="881"/>
      <c r="Q54" s="659"/>
      <c r="R54" s="660"/>
      <c r="S54" s="661"/>
      <c r="T54" s="604" t="s">
        <v>1249</v>
      </c>
      <c r="U54" t="s">
        <v>1250</v>
      </c>
    </row>
    <row r="55" spans="1:21" ht="18.75" customHeight="1">
      <c r="A55" s="752">
        <v>60</v>
      </c>
      <c r="B55" s="751">
        <v>43162</v>
      </c>
      <c r="C55" s="243"/>
      <c r="D55" s="243"/>
      <c r="E55" s="243"/>
      <c r="F55" s="748">
        <v>2030</v>
      </c>
      <c r="G55" s="697">
        <f t="shared" si="12"/>
        <v>26390</v>
      </c>
      <c r="H55" s="699">
        <v>2</v>
      </c>
      <c r="I55" s="698">
        <f t="shared" si="16"/>
        <v>52780</v>
      </c>
      <c r="J55" s="310"/>
      <c r="K55" s="310"/>
      <c r="L55" s="876"/>
      <c r="M55" s="879"/>
      <c r="N55" s="879"/>
      <c r="O55" s="881"/>
      <c r="P55" s="881"/>
      <c r="Q55" s="253"/>
      <c r="R55" s="254"/>
      <c r="S55" s="255"/>
      <c r="T55" s="144"/>
      <c r="U55" t="s">
        <v>1250</v>
      </c>
    </row>
    <row r="56" spans="1:21" ht="18" customHeight="1">
      <c r="A56" s="604" t="s">
        <v>1251</v>
      </c>
      <c r="B56" s="481">
        <v>43167</v>
      </c>
      <c r="C56" s="482"/>
      <c r="D56" s="482"/>
      <c r="E56" s="482"/>
      <c r="F56" s="608">
        <f>2030*2</f>
        <v>4060</v>
      </c>
      <c r="G56" s="777">
        <f t="shared" si="0"/>
        <v>52780</v>
      </c>
      <c r="H56" s="485">
        <v>2</v>
      </c>
      <c r="I56" s="775">
        <f t="shared" si="1"/>
        <v>105560</v>
      </c>
      <c r="J56" s="605"/>
      <c r="K56" s="605"/>
      <c r="L56" s="876"/>
      <c r="M56" s="879"/>
      <c r="N56" s="879"/>
      <c r="O56" s="881"/>
      <c r="P56" s="881"/>
      <c r="Q56" s="659"/>
      <c r="R56" s="660"/>
      <c r="S56" s="661"/>
      <c r="T56" s="604" t="s">
        <v>1253</v>
      </c>
      <c r="U56" t="s">
        <v>1250</v>
      </c>
    </row>
    <row r="57" spans="1:21" ht="18" customHeight="1">
      <c r="A57" s="604" t="s">
        <v>1252</v>
      </c>
      <c r="B57" s="481">
        <v>43167</v>
      </c>
      <c r="C57" s="482"/>
      <c r="D57" s="482"/>
      <c r="E57" s="482"/>
      <c r="F57" s="608">
        <f>2030*3</f>
        <v>6090</v>
      </c>
      <c r="G57" s="777">
        <f t="shared" ref="G57" si="19">F57*13</f>
        <v>79170</v>
      </c>
      <c r="H57" s="485">
        <v>2</v>
      </c>
      <c r="I57" s="775">
        <f t="shared" ref="I57" si="20">G57*H57</f>
        <v>158340</v>
      </c>
      <c r="J57" s="605"/>
      <c r="K57" s="605"/>
      <c r="L57" s="877"/>
      <c r="M57" s="880"/>
      <c r="N57" s="880"/>
      <c r="O57" s="867"/>
      <c r="P57" s="867"/>
      <c r="Q57" s="659"/>
      <c r="R57" s="660"/>
      <c r="S57" s="661"/>
      <c r="T57" s="604" t="s">
        <v>1249</v>
      </c>
      <c r="U57" t="s">
        <v>1250</v>
      </c>
    </row>
    <row r="58" spans="1:21" ht="18" customHeight="1">
      <c r="A58" s="604" t="s">
        <v>1268</v>
      </c>
      <c r="B58" s="481">
        <v>43174</v>
      </c>
      <c r="C58" s="482"/>
      <c r="D58" s="482"/>
      <c r="E58" s="482"/>
      <c r="F58" s="608">
        <f>2030*4</f>
        <v>8120</v>
      </c>
      <c r="G58" s="787">
        <f t="shared" ref="G58:G63" si="21">F58*13</f>
        <v>105560</v>
      </c>
      <c r="H58" s="485">
        <v>2</v>
      </c>
      <c r="I58" s="788">
        <f t="shared" ref="I58:I63" si="22">G58*H58</f>
        <v>211120</v>
      </c>
      <c r="J58" s="605"/>
      <c r="K58" s="605"/>
      <c r="L58" s="875">
        <v>43213</v>
      </c>
      <c r="M58" s="878">
        <v>56.5</v>
      </c>
      <c r="N58" s="878">
        <f>I58+I59-M58</f>
        <v>305563.5</v>
      </c>
      <c r="O58" s="866"/>
      <c r="P58" s="866"/>
      <c r="Q58" s="659"/>
      <c r="R58" s="660"/>
      <c r="S58" s="661"/>
      <c r="T58" s="604" t="s">
        <v>1249</v>
      </c>
      <c r="U58" t="s">
        <v>1250</v>
      </c>
    </row>
    <row r="59" spans="1:21" ht="18.75" customHeight="1">
      <c r="A59" s="752" t="s">
        <v>1269</v>
      </c>
      <c r="B59" s="751">
        <v>43174</v>
      </c>
      <c r="C59" s="243"/>
      <c r="D59" s="243"/>
      <c r="E59" s="243"/>
      <c r="F59" s="748">
        <f>1550+1600</f>
        <v>3150</v>
      </c>
      <c r="G59" s="747">
        <f>F59*15</f>
        <v>47250</v>
      </c>
      <c r="H59" s="750">
        <v>2</v>
      </c>
      <c r="I59" s="749">
        <f t="shared" si="22"/>
        <v>94500</v>
      </c>
      <c r="J59" s="310"/>
      <c r="K59" s="310"/>
      <c r="L59" s="877"/>
      <c r="M59" s="880"/>
      <c r="N59" s="880"/>
      <c r="O59" s="867"/>
      <c r="P59" s="867"/>
      <c r="Q59" s="253"/>
      <c r="R59" s="254"/>
      <c r="S59" s="255"/>
      <c r="T59" s="752" t="s">
        <v>1267</v>
      </c>
      <c r="U59" t="s">
        <v>1250</v>
      </c>
    </row>
    <row r="60" spans="1:21" ht="18" customHeight="1">
      <c r="A60" s="781">
        <v>66</v>
      </c>
      <c r="B60" s="772">
        <v>43167</v>
      </c>
      <c r="C60" s="243"/>
      <c r="D60" s="243"/>
      <c r="E60" s="243"/>
      <c r="F60" s="769">
        <v>2030</v>
      </c>
      <c r="G60" s="768">
        <f t="shared" ref="G60" si="23">F60*13</f>
        <v>26390</v>
      </c>
      <c r="H60" s="771">
        <v>2</v>
      </c>
      <c r="I60" s="770">
        <f t="shared" ref="I60" si="24">G60*H60</f>
        <v>52780</v>
      </c>
      <c r="J60" s="310"/>
      <c r="K60" s="310"/>
      <c r="L60" s="868">
        <v>43200</v>
      </c>
      <c r="M60" s="871">
        <f>19+142.23</f>
        <v>161.22999999999999</v>
      </c>
      <c r="N60" s="871">
        <f>SUM(I60:I62)-M60</f>
        <v>258460.77</v>
      </c>
      <c r="O60" s="864"/>
      <c r="P60" s="864"/>
      <c r="Q60" s="253"/>
      <c r="R60" s="254"/>
      <c r="S60" s="255"/>
      <c r="T60" s="781"/>
      <c r="U60" t="s">
        <v>1250</v>
      </c>
    </row>
    <row r="61" spans="1:21" ht="18.75" customHeight="1">
      <c r="A61" s="781" t="s">
        <v>1275</v>
      </c>
      <c r="B61" s="789">
        <v>43181</v>
      </c>
      <c r="C61" s="243"/>
      <c r="D61" s="243"/>
      <c r="E61" s="243"/>
      <c r="F61" s="748">
        <f>2030*3</f>
        <v>6090</v>
      </c>
      <c r="G61" s="747">
        <f t="shared" si="21"/>
        <v>79170</v>
      </c>
      <c r="H61" s="750">
        <v>2</v>
      </c>
      <c r="I61" s="749">
        <f t="shared" si="22"/>
        <v>158340</v>
      </c>
      <c r="J61" s="310"/>
      <c r="K61" s="310"/>
      <c r="L61" s="869"/>
      <c r="M61" s="872"/>
      <c r="N61" s="872"/>
      <c r="O61" s="865"/>
      <c r="P61" s="865"/>
      <c r="Q61" s="253"/>
      <c r="R61" s="254"/>
      <c r="S61" s="255"/>
      <c r="T61" s="752"/>
    </row>
    <row r="62" spans="1:21" ht="18.75" customHeight="1">
      <c r="A62" s="790">
        <v>76</v>
      </c>
      <c r="B62" s="794">
        <v>43181</v>
      </c>
      <c r="C62" s="243"/>
      <c r="D62" s="243"/>
      <c r="E62" s="243"/>
      <c r="F62" s="748">
        <v>2030</v>
      </c>
      <c r="G62" s="747">
        <f t="shared" si="21"/>
        <v>26390</v>
      </c>
      <c r="H62" s="750">
        <v>1.8</v>
      </c>
      <c r="I62" s="749">
        <f t="shared" si="22"/>
        <v>47502</v>
      </c>
      <c r="J62" s="310"/>
      <c r="K62" s="310"/>
      <c r="L62" s="870"/>
      <c r="M62" s="873"/>
      <c r="N62" s="873"/>
      <c r="O62" s="874"/>
      <c r="P62" s="874"/>
      <c r="Q62" s="253"/>
      <c r="R62" s="254"/>
      <c r="S62" s="255"/>
      <c r="T62" s="752"/>
    </row>
    <row r="63" spans="1:21" ht="19.5" customHeight="1">
      <c r="A63" s="790">
        <v>77</v>
      </c>
      <c r="B63" s="751">
        <v>43194</v>
      </c>
      <c r="C63" s="243"/>
      <c r="D63" s="243"/>
      <c r="E63" s="243"/>
      <c r="F63" s="804">
        <v>2030</v>
      </c>
      <c r="G63" s="747">
        <f t="shared" si="21"/>
        <v>26390</v>
      </c>
      <c r="H63" s="750">
        <v>1.85</v>
      </c>
      <c r="I63" s="749">
        <f t="shared" si="22"/>
        <v>48821.5</v>
      </c>
      <c r="J63" s="310"/>
      <c r="K63" s="310"/>
      <c r="L63" s="868">
        <v>43203</v>
      </c>
      <c r="M63" s="871">
        <v>126.39</v>
      </c>
      <c r="N63" s="871">
        <f>SUM(I63:I66)-M63</f>
        <v>195159.61</v>
      </c>
      <c r="O63" s="864"/>
      <c r="P63" s="864"/>
      <c r="Q63" s="253"/>
      <c r="R63" s="254"/>
      <c r="S63" s="255"/>
      <c r="T63" s="752"/>
    </row>
    <row r="64" spans="1:21" ht="18" customHeight="1">
      <c r="A64" s="795">
        <v>78</v>
      </c>
      <c r="B64" s="806">
        <v>43194</v>
      </c>
      <c r="C64" s="243"/>
      <c r="D64" s="243"/>
      <c r="E64" s="243"/>
      <c r="F64" s="804">
        <v>2030</v>
      </c>
      <c r="G64" s="539">
        <f t="shared" si="0"/>
        <v>26390</v>
      </c>
      <c r="H64" s="805">
        <v>1.85</v>
      </c>
      <c r="I64" s="543">
        <f t="shared" si="1"/>
        <v>48821.5</v>
      </c>
      <c r="J64" s="310"/>
      <c r="K64" s="310"/>
      <c r="L64" s="869"/>
      <c r="M64" s="872"/>
      <c r="N64" s="872"/>
      <c r="O64" s="865"/>
      <c r="P64" s="865"/>
      <c r="Q64" s="253"/>
      <c r="R64" s="254"/>
      <c r="S64" s="255"/>
      <c r="T64" s="144"/>
    </row>
    <row r="65" spans="1:20" ht="18.75" customHeight="1">
      <c r="A65" s="795">
        <v>79</v>
      </c>
      <c r="B65" s="806">
        <v>43194</v>
      </c>
      <c r="C65" s="243"/>
      <c r="D65" s="243"/>
      <c r="E65" s="243"/>
      <c r="F65" s="804">
        <v>2030</v>
      </c>
      <c r="G65" s="669">
        <f t="shared" ref="G65:G66" si="25">F65*13</f>
        <v>26390</v>
      </c>
      <c r="H65" s="805">
        <v>1.85</v>
      </c>
      <c r="I65" s="670">
        <f t="shared" ref="I65:I66" si="26">G65*H65</f>
        <v>48821.5</v>
      </c>
      <c r="J65" s="310"/>
      <c r="K65" s="310"/>
      <c r="L65" s="869"/>
      <c r="M65" s="872"/>
      <c r="N65" s="872"/>
      <c r="O65" s="865"/>
      <c r="P65" s="865"/>
      <c r="Q65" s="253"/>
      <c r="R65" s="254"/>
      <c r="S65" s="255"/>
      <c r="T65" s="144"/>
    </row>
    <row r="66" spans="1:20" ht="18.75" customHeight="1">
      <c r="A66" s="795">
        <v>80</v>
      </c>
      <c r="B66" s="806">
        <v>43194</v>
      </c>
      <c r="C66" s="243"/>
      <c r="D66" s="243"/>
      <c r="E66" s="243"/>
      <c r="F66" s="804">
        <v>2030</v>
      </c>
      <c r="G66" s="669">
        <f t="shared" si="25"/>
        <v>26390</v>
      </c>
      <c r="H66" s="805">
        <v>1.85</v>
      </c>
      <c r="I66" s="670">
        <f t="shared" si="26"/>
        <v>48821.5</v>
      </c>
      <c r="J66" s="310"/>
      <c r="K66" s="310"/>
      <c r="L66" s="870"/>
      <c r="M66" s="873"/>
      <c r="N66" s="873"/>
      <c r="O66" s="874"/>
      <c r="P66" s="874"/>
      <c r="Q66" s="253"/>
      <c r="R66" s="254"/>
      <c r="S66" s="255"/>
      <c r="T66" s="144"/>
    </row>
    <row r="67" spans="1:20" ht="18.75" customHeight="1">
      <c r="A67" s="795">
        <v>81</v>
      </c>
      <c r="B67" s="545">
        <v>43223</v>
      </c>
      <c r="C67" s="243"/>
      <c r="D67" s="243"/>
      <c r="E67" s="243"/>
      <c r="F67" s="816">
        <v>2030</v>
      </c>
      <c r="G67" s="539">
        <f t="shared" si="0"/>
        <v>26390</v>
      </c>
      <c r="H67" s="821">
        <v>2</v>
      </c>
      <c r="I67" s="543">
        <f t="shared" si="1"/>
        <v>52780</v>
      </c>
      <c r="J67" s="310"/>
      <c r="K67" s="310"/>
      <c r="L67" s="868">
        <v>43231</v>
      </c>
      <c r="M67" s="871">
        <v>56.5</v>
      </c>
      <c r="N67" s="871">
        <f>SUM(I67:I70)-M67</f>
        <v>211063.5</v>
      </c>
      <c r="O67" s="864"/>
      <c r="P67" s="864"/>
      <c r="Q67" s="253"/>
      <c r="R67" s="254"/>
      <c r="S67" s="255"/>
      <c r="T67" s="144"/>
    </row>
    <row r="68" spans="1:20" ht="18.75" customHeight="1">
      <c r="A68" s="813">
        <v>82</v>
      </c>
      <c r="B68" s="822">
        <v>43223</v>
      </c>
      <c r="C68" s="243"/>
      <c r="D68" s="243"/>
      <c r="E68" s="243"/>
      <c r="F68" s="816">
        <v>2030</v>
      </c>
      <c r="G68" s="809">
        <f t="shared" ref="G68:G90" si="27">F68*13</f>
        <v>26390</v>
      </c>
      <c r="H68" s="821">
        <v>2</v>
      </c>
      <c r="I68" s="808">
        <f t="shared" ref="I68:I90" si="28">G68*H68</f>
        <v>52780</v>
      </c>
      <c r="J68" s="310"/>
      <c r="K68" s="310"/>
      <c r="L68" s="869"/>
      <c r="M68" s="872"/>
      <c r="N68" s="872"/>
      <c r="O68" s="865"/>
      <c r="P68" s="865"/>
      <c r="Q68" s="253"/>
      <c r="R68" s="254"/>
      <c r="S68" s="255"/>
      <c r="T68" s="813"/>
    </row>
    <row r="69" spans="1:20" ht="18.75" customHeight="1">
      <c r="A69" s="813">
        <v>83</v>
      </c>
      <c r="B69" s="822">
        <v>43223</v>
      </c>
      <c r="C69" s="243"/>
      <c r="D69" s="243"/>
      <c r="E69" s="243"/>
      <c r="F69" s="816">
        <v>2030</v>
      </c>
      <c r="G69" s="809">
        <f t="shared" si="27"/>
        <v>26390</v>
      </c>
      <c r="H69" s="821">
        <v>2</v>
      </c>
      <c r="I69" s="808">
        <f t="shared" si="28"/>
        <v>52780</v>
      </c>
      <c r="J69" s="310"/>
      <c r="K69" s="310"/>
      <c r="L69" s="869"/>
      <c r="M69" s="872"/>
      <c r="N69" s="872"/>
      <c r="O69" s="865"/>
      <c r="P69" s="865"/>
      <c r="Q69" s="253"/>
      <c r="R69" s="254"/>
      <c r="S69" s="255"/>
      <c r="T69" s="813"/>
    </row>
    <row r="70" spans="1:20" ht="18.75" customHeight="1">
      <c r="A70" s="813">
        <v>84</v>
      </c>
      <c r="B70" s="822">
        <v>43223</v>
      </c>
      <c r="C70" s="243"/>
      <c r="D70" s="243"/>
      <c r="E70" s="243"/>
      <c r="F70" s="816">
        <v>2030</v>
      </c>
      <c r="G70" s="809">
        <f t="shared" si="27"/>
        <v>26390</v>
      </c>
      <c r="H70" s="821">
        <v>2</v>
      </c>
      <c r="I70" s="808">
        <f t="shared" si="28"/>
        <v>52780</v>
      </c>
      <c r="J70" s="310"/>
      <c r="K70" s="310"/>
      <c r="L70" s="870"/>
      <c r="M70" s="873"/>
      <c r="N70" s="873"/>
      <c r="O70" s="874"/>
      <c r="P70" s="874"/>
      <c r="Q70" s="253"/>
      <c r="R70" s="254"/>
      <c r="S70" s="255"/>
      <c r="T70" s="813"/>
    </row>
    <row r="71" spans="1:20" ht="18.75" customHeight="1">
      <c r="A71" s="823">
        <v>85</v>
      </c>
      <c r="B71" s="822">
        <v>43227</v>
      </c>
      <c r="C71" s="243"/>
      <c r="D71" s="243"/>
      <c r="E71" s="243"/>
      <c r="F71" s="820">
        <v>2030</v>
      </c>
      <c r="G71" s="819">
        <f t="shared" ref="G71:G85" si="29">F71*13</f>
        <v>26390</v>
      </c>
      <c r="H71" s="821">
        <v>2</v>
      </c>
      <c r="I71" s="818">
        <f t="shared" ref="I71:I85" si="30">G71*H71</f>
        <v>52780</v>
      </c>
      <c r="J71" s="310"/>
      <c r="K71" s="310"/>
      <c r="L71" s="868">
        <v>43245</v>
      </c>
      <c r="M71" s="871">
        <v>56.5</v>
      </c>
      <c r="N71" s="871">
        <f>SUM(I71:I74)-M71</f>
        <v>211063.5</v>
      </c>
      <c r="O71" s="864"/>
      <c r="P71" s="864"/>
      <c r="Q71" s="253"/>
      <c r="R71" s="254"/>
      <c r="S71" s="255"/>
      <c r="T71" s="823"/>
    </row>
    <row r="72" spans="1:20" ht="18.75" customHeight="1">
      <c r="A72" s="823">
        <v>86</v>
      </c>
      <c r="B72" s="822">
        <v>43227</v>
      </c>
      <c r="C72" s="243"/>
      <c r="D72" s="243"/>
      <c r="E72" s="243"/>
      <c r="F72" s="820">
        <v>2030</v>
      </c>
      <c r="G72" s="819">
        <f t="shared" si="29"/>
        <v>26390</v>
      </c>
      <c r="H72" s="821">
        <v>2</v>
      </c>
      <c r="I72" s="818">
        <f t="shared" si="30"/>
        <v>52780</v>
      </c>
      <c r="J72" s="310"/>
      <c r="K72" s="310"/>
      <c r="L72" s="869"/>
      <c r="M72" s="872"/>
      <c r="N72" s="872"/>
      <c r="O72" s="865"/>
      <c r="P72" s="865"/>
      <c r="Q72" s="253"/>
      <c r="R72" s="254"/>
      <c r="S72" s="255"/>
      <c r="T72" s="823"/>
    </row>
    <row r="73" spans="1:20" ht="18.75" customHeight="1">
      <c r="A73" s="831">
        <v>87</v>
      </c>
      <c r="B73" s="822">
        <v>43227</v>
      </c>
      <c r="C73" s="243"/>
      <c r="D73" s="243"/>
      <c r="E73" s="243"/>
      <c r="F73" s="820">
        <v>2030</v>
      </c>
      <c r="G73" s="819">
        <f t="shared" si="29"/>
        <v>26390</v>
      </c>
      <c r="H73" s="821">
        <v>2</v>
      </c>
      <c r="I73" s="818">
        <f t="shared" si="30"/>
        <v>52780</v>
      </c>
      <c r="J73" s="310"/>
      <c r="K73" s="310"/>
      <c r="L73" s="869"/>
      <c r="M73" s="872"/>
      <c r="N73" s="872"/>
      <c r="O73" s="865"/>
      <c r="P73" s="865"/>
      <c r="Q73" s="253"/>
      <c r="R73" s="254"/>
      <c r="S73" s="255"/>
      <c r="T73" s="823"/>
    </row>
    <row r="74" spans="1:20" ht="18.75" customHeight="1">
      <c r="A74" s="831">
        <v>88</v>
      </c>
      <c r="B74" s="822">
        <v>43227</v>
      </c>
      <c r="C74" s="243"/>
      <c r="D74" s="243"/>
      <c r="E74" s="243"/>
      <c r="F74" s="820">
        <v>2030</v>
      </c>
      <c r="G74" s="819">
        <f t="shared" si="29"/>
        <v>26390</v>
      </c>
      <c r="H74" s="821">
        <v>2</v>
      </c>
      <c r="I74" s="818">
        <f t="shared" si="30"/>
        <v>52780</v>
      </c>
      <c r="J74" s="310"/>
      <c r="K74" s="310"/>
      <c r="L74" s="870"/>
      <c r="M74" s="873"/>
      <c r="N74" s="873"/>
      <c r="O74" s="874"/>
      <c r="P74" s="874"/>
      <c r="Q74" s="253"/>
      <c r="R74" s="254"/>
      <c r="S74" s="255"/>
      <c r="T74" s="823"/>
    </row>
    <row r="75" spans="1:20" ht="18.75" customHeight="1">
      <c r="A75" s="604">
        <v>89</v>
      </c>
      <c r="B75" s="481">
        <v>43232</v>
      </c>
      <c r="C75" s="482"/>
      <c r="D75" s="482"/>
      <c r="E75" s="482"/>
      <c r="F75" s="608">
        <v>2030</v>
      </c>
      <c r="G75" s="824">
        <f t="shared" si="29"/>
        <v>26390</v>
      </c>
      <c r="H75" s="485">
        <v>2</v>
      </c>
      <c r="I75" s="827">
        <f t="shared" si="30"/>
        <v>52780</v>
      </c>
      <c r="J75" s="605"/>
      <c r="K75" s="605"/>
      <c r="L75" s="606"/>
      <c r="M75" s="607"/>
      <c r="N75" s="607"/>
      <c r="O75" s="605"/>
      <c r="P75" s="605"/>
      <c r="Q75" s="659"/>
      <c r="R75" s="660"/>
      <c r="S75" s="661"/>
      <c r="T75" s="898" t="s">
        <v>1132</v>
      </c>
    </row>
    <row r="76" spans="1:20" ht="18.75" customHeight="1">
      <c r="A76" s="604">
        <v>90</v>
      </c>
      <c r="B76" s="481">
        <v>43232</v>
      </c>
      <c r="C76" s="482"/>
      <c r="D76" s="482"/>
      <c r="E76" s="482"/>
      <c r="F76" s="608">
        <v>2030</v>
      </c>
      <c r="G76" s="824">
        <f t="shared" ref="G76:G80" si="31">F76*13</f>
        <v>26390</v>
      </c>
      <c r="H76" s="485">
        <v>2</v>
      </c>
      <c r="I76" s="827">
        <f t="shared" ref="I76:I80" si="32">G76*H76</f>
        <v>52780</v>
      </c>
      <c r="J76" s="605"/>
      <c r="K76" s="605"/>
      <c r="L76" s="606"/>
      <c r="M76" s="607"/>
      <c r="N76" s="607"/>
      <c r="O76" s="605"/>
      <c r="P76" s="605"/>
      <c r="Q76" s="659"/>
      <c r="R76" s="660"/>
      <c r="S76" s="661"/>
      <c r="T76" s="899"/>
    </row>
    <row r="77" spans="1:20" ht="18.75" customHeight="1">
      <c r="A77" s="604">
        <v>91</v>
      </c>
      <c r="B77" s="481">
        <v>43232</v>
      </c>
      <c r="C77" s="482"/>
      <c r="D77" s="482"/>
      <c r="E77" s="482"/>
      <c r="F77" s="608">
        <v>2030</v>
      </c>
      <c r="G77" s="824">
        <f t="shared" si="31"/>
        <v>26390</v>
      </c>
      <c r="H77" s="485">
        <v>2</v>
      </c>
      <c r="I77" s="827">
        <f t="shared" si="32"/>
        <v>52780</v>
      </c>
      <c r="J77" s="605"/>
      <c r="K77" s="605"/>
      <c r="L77" s="606"/>
      <c r="M77" s="607"/>
      <c r="N77" s="607"/>
      <c r="O77" s="605"/>
      <c r="P77" s="605"/>
      <c r="Q77" s="659"/>
      <c r="R77" s="660"/>
      <c r="S77" s="661"/>
      <c r="T77" s="899"/>
    </row>
    <row r="78" spans="1:20" ht="18.75" customHeight="1">
      <c r="A78" s="604">
        <v>92</v>
      </c>
      <c r="B78" s="481">
        <v>43232</v>
      </c>
      <c r="C78" s="482"/>
      <c r="D78" s="482"/>
      <c r="E78" s="482"/>
      <c r="F78" s="608">
        <v>2030</v>
      </c>
      <c r="G78" s="824">
        <f t="shared" si="31"/>
        <v>26390</v>
      </c>
      <c r="H78" s="485">
        <v>2</v>
      </c>
      <c r="I78" s="827">
        <f t="shared" si="32"/>
        <v>52780</v>
      </c>
      <c r="J78" s="605"/>
      <c r="K78" s="605"/>
      <c r="L78" s="606"/>
      <c r="M78" s="607"/>
      <c r="N78" s="607"/>
      <c r="O78" s="605"/>
      <c r="P78" s="605"/>
      <c r="Q78" s="659"/>
      <c r="R78" s="660"/>
      <c r="S78" s="661"/>
      <c r="T78" s="899"/>
    </row>
    <row r="79" spans="1:20" ht="18.75" customHeight="1">
      <c r="A79" s="604">
        <v>93</v>
      </c>
      <c r="B79" s="481">
        <v>43232</v>
      </c>
      <c r="C79" s="482"/>
      <c r="D79" s="482"/>
      <c r="E79" s="482"/>
      <c r="F79" s="608">
        <v>2030</v>
      </c>
      <c r="G79" s="824">
        <f t="shared" si="31"/>
        <v>26390</v>
      </c>
      <c r="H79" s="485">
        <v>2</v>
      </c>
      <c r="I79" s="827">
        <f t="shared" si="32"/>
        <v>52780</v>
      </c>
      <c r="J79" s="605"/>
      <c r="K79" s="605"/>
      <c r="L79" s="606"/>
      <c r="M79" s="607"/>
      <c r="N79" s="607"/>
      <c r="O79" s="605"/>
      <c r="P79" s="605"/>
      <c r="Q79" s="659"/>
      <c r="R79" s="660"/>
      <c r="S79" s="661"/>
      <c r="T79" s="899"/>
    </row>
    <row r="80" spans="1:20" ht="18.75" customHeight="1">
      <c r="A80" s="604">
        <v>94</v>
      </c>
      <c r="B80" s="481">
        <v>43232</v>
      </c>
      <c r="C80" s="482"/>
      <c r="D80" s="482"/>
      <c r="E80" s="482"/>
      <c r="F80" s="608">
        <v>2030</v>
      </c>
      <c r="G80" s="824">
        <f t="shared" si="31"/>
        <v>26390</v>
      </c>
      <c r="H80" s="485">
        <v>2</v>
      </c>
      <c r="I80" s="827">
        <f t="shared" si="32"/>
        <v>52780</v>
      </c>
      <c r="J80" s="605"/>
      <c r="K80" s="605"/>
      <c r="L80" s="606"/>
      <c r="M80" s="607"/>
      <c r="N80" s="607"/>
      <c r="O80" s="605"/>
      <c r="P80" s="605"/>
      <c r="Q80" s="659"/>
      <c r="R80" s="660"/>
      <c r="S80" s="661"/>
      <c r="T80" s="900"/>
    </row>
    <row r="81" spans="1:20" ht="18.75" customHeight="1">
      <c r="A81" s="831">
        <v>95</v>
      </c>
      <c r="B81" s="830"/>
      <c r="C81" s="243"/>
      <c r="D81" s="243"/>
      <c r="E81" s="243"/>
      <c r="F81" s="828"/>
      <c r="G81" s="826">
        <f t="shared" si="29"/>
        <v>0</v>
      </c>
      <c r="H81" s="829"/>
      <c r="I81" s="825">
        <f t="shared" si="30"/>
        <v>0</v>
      </c>
      <c r="J81" s="310"/>
      <c r="K81" s="310"/>
      <c r="L81" s="308"/>
      <c r="M81" s="309"/>
      <c r="N81" s="309"/>
      <c r="O81" s="310"/>
      <c r="P81" s="310"/>
      <c r="Q81" s="253"/>
      <c r="R81" s="254"/>
      <c r="S81" s="255"/>
      <c r="T81" s="831"/>
    </row>
    <row r="82" spans="1:20" ht="18.75" customHeight="1">
      <c r="A82" s="831">
        <v>96</v>
      </c>
      <c r="B82" s="830"/>
      <c r="C82" s="243"/>
      <c r="D82" s="243"/>
      <c r="E82" s="243"/>
      <c r="F82" s="828"/>
      <c r="G82" s="826">
        <f t="shared" si="29"/>
        <v>0</v>
      </c>
      <c r="H82" s="829"/>
      <c r="I82" s="825">
        <f t="shared" si="30"/>
        <v>0</v>
      </c>
      <c r="J82" s="310"/>
      <c r="K82" s="310"/>
      <c r="L82" s="308"/>
      <c r="M82" s="309"/>
      <c r="N82" s="309"/>
      <c r="O82" s="310"/>
      <c r="P82" s="310"/>
      <c r="Q82" s="253"/>
      <c r="R82" s="254"/>
      <c r="S82" s="255"/>
      <c r="T82" s="831"/>
    </row>
    <row r="83" spans="1:20" ht="18.75" customHeight="1">
      <c r="A83" s="831">
        <v>97</v>
      </c>
      <c r="B83" s="830"/>
      <c r="C83" s="243"/>
      <c r="D83" s="243"/>
      <c r="E83" s="243"/>
      <c r="F83" s="828"/>
      <c r="G83" s="826">
        <f t="shared" si="29"/>
        <v>0</v>
      </c>
      <c r="H83" s="829"/>
      <c r="I83" s="825">
        <f t="shared" si="30"/>
        <v>0</v>
      </c>
      <c r="J83" s="310"/>
      <c r="K83" s="310"/>
      <c r="L83" s="308"/>
      <c r="M83" s="309"/>
      <c r="N83" s="309"/>
      <c r="O83" s="310"/>
      <c r="P83" s="310"/>
      <c r="Q83" s="253"/>
      <c r="R83" s="254"/>
      <c r="S83" s="255"/>
      <c r="T83" s="831"/>
    </row>
    <row r="84" spans="1:20" ht="18.75" customHeight="1">
      <c r="A84" s="831">
        <v>98</v>
      </c>
      <c r="B84" s="830"/>
      <c r="C84" s="243"/>
      <c r="D84" s="243"/>
      <c r="E84" s="243"/>
      <c r="F84" s="828"/>
      <c r="G84" s="826">
        <f t="shared" si="29"/>
        <v>0</v>
      </c>
      <c r="H84" s="829"/>
      <c r="I84" s="825">
        <f t="shared" si="30"/>
        <v>0</v>
      </c>
      <c r="J84" s="310"/>
      <c r="K84" s="310"/>
      <c r="L84" s="308"/>
      <c r="M84" s="309"/>
      <c r="N84" s="309"/>
      <c r="O84" s="310"/>
      <c r="P84" s="310"/>
      <c r="Q84" s="253"/>
      <c r="R84" s="254"/>
      <c r="S84" s="255"/>
      <c r="T84" s="831"/>
    </row>
    <row r="85" spans="1:20" ht="18.75" customHeight="1">
      <c r="A85" s="831">
        <v>99</v>
      </c>
      <c r="B85" s="830"/>
      <c r="C85" s="243"/>
      <c r="D85" s="243"/>
      <c r="E85" s="243"/>
      <c r="F85" s="828"/>
      <c r="G85" s="826">
        <f t="shared" si="29"/>
        <v>0</v>
      </c>
      <c r="H85" s="829"/>
      <c r="I85" s="825">
        <f t="shared" si="30"/>
        <v>0</v>
      </c>
      <c r="J85" s="310"/>
      <c r="K85" s="310"/>
      <c r="L85" s="308"/>
      <c r="M85" s="309"/>
      <c r="N85" s="309"/>
      <c r="O85" s="310"/>
      <c r="P85" s="310"/>
      <c r="Q85" s="253"/>
      <c r="R85" s="254"/>
      <c r="S85" s="255"/>
      <c r="T85" s="831"/>
    </row>
    <row r="86" spans="1:20" ht="18.75" customHeight="1">
      <c r="A86" s="831">
        <v>100</v>
      </c>
      <c r="B86" s="812"/>
      <c r="C86" s="243"/>
      <c r="D86" s="243"/>
      <c r="E86" s="243"/>
      <c r="F86" s="810"/>
      <c r="G86" s="809">
        <f t="shared" si="27"/>
        <v>0</v>
      </c>
      <c r="H86" s="811"/>
      <c r="I86" s="808">
        <f t="shared" si="28"/>
        <v>0</v>
      </c>
      <c r="J86" s="310"/>
      <c r="K86" s="310"/>
      <c r="L86" s="308"/>
      <c r="M86" s="309"/>
      <c r="N86" s="309"/>
      <c r="O86" s="310"/>
      <c r="P86" s="310"/>
      <c r="Q86" s="253"/>
      <c r="R86" s="254"/>
      <c r="S86" s="255"/>
      <c r="T86" s="813"/>
    </row>
    <row r="87" spans="1:20" ht="18.75" customHeight="1">
      <c r="A87" s="831">
        <v>101</v>
      </c>
      <c r="B87" s="812"/>
      <c r="C87" s="243"/>
      <c r="D87" s="243"/>
      <c r="E87" s="243"/>
      <c r="F87" s="810"/>
      <c r="G87" s="809">
        <f t="shared" si="27"/>
        <v>0</v>
      </c>
      <c r="H87" s="811"/>
      <c r="I87" s="808">
        <f t="shared" si="28"/>
        <v>0</v>
      </c>
      <c r="J87" s="310"/>
      <c r="K87" s="310"/>
      <c r="L87" s="308"/>
      <c r="M87" s="309"/>
      <c r="N87" s="309"/>
      <c r="O87" s="310"/>
      <c r="P87" s="310"/>
      <c r="Q87" s="253"/>
      <c r="R87" s="254"/>
      <c r="S87" s="255"/>
      <c r="T87" s="813"/>
    </row>
    <row r="88" spans="1:20" ht="18.75" customHeight="1">
      <c r="A88" s="831">
        <v>102</v>
      </c>
      <c r="B88" s="812"/>
      <c r="C88" s="243"/>
      <c r="D88" s="243"/>
      <c r="E88" s="243"/>
      <c r="F88" s="810"/>
      <c r="G88" s="809">
        <f t="shared" si="27"/>
        <v>0</v>
      </c>
      <c r="H88" s="811"/>
      <c r="I88" s="808">
        <f t="shared" si="28"/>
        <v>0</v>
      </c>
      <c r="J88" s="310"/>
      <c r="K88" s="310"/>
      <c r="L88" s="308"/>
      <c r="M88" s="309"/>
      <c r="N88" s="309"/>
      <c r="O88" s="310"/>
      <c r="P88" s="310"/>
      <c r="Q88" s="253"/>
      <c r="R88" s="254"/>
      <c r="S88" s="255"/>
      <c r="T88" s="813"/>
    </row>
    <row r="89" spans="1:20" ht="18.75" customHeight="1">
      <c r="A89" s="831">
        <v>103</v>
      </c>
      <c r="B89" s="812"/>
      <c r="C89" s="243"/>
      <c r="D89" s="243"/>
      <c r="E89" s="243"/>
      <c r="F89" s="810"/>
      <c r="G89" s="809">
        <f t="shared" si="27"/>
        <v>0</v>
      </c>
      <c r="H89" s="811"/>
      <c r="I89" s="808">
        <f t="shared" si="28"/>
        <v>0</v>
      </c>
      <c r="J89" s="310"/>
      <c r="K89" s="310"/>
      <c r="L89" s="308"/>
      <c r="M89" s="309"/>
      <c r="N89" s="309"/>
      <c r="O89" s="310"/>
      <c r="P89" s="310"/>
      <c r="Q89" s="253"/>
      <c r="R89" s="254"/>
      <c r="S89" s="255"/>
      <c r="T89" s="813"/>
    </row>
    <row r="90" spans="1:20" ht="18.75" customHeight="1">
      <c r="A90" s="831">
        <v>104</v>
      </c>
      <c r="B90" s="812"/>
      <c r="C90" s="243"/>
      <c r="D90" s="243"/>
      <c r="E90" s="243"/>
      <c r="F90" s="810"/>
      <c r="G90" s="809">
        <f t="shared" si="27"/>
        <v>0</v>
      </c>
      <c r="H90" s="811"/>
      <c r="I90" s="808">
        <f t="shared" si="28"/>
        <v>0</v>
      </c>
      <c r="J90" s="310"/>
      <c r="K90" s="310"/>
      <c r="L90" s="308"/>
      <c r="M90" s="309"/>
      <c r="N90" s="309"/>
      <c r="O90" s="310"/>
      <c r="P90" s="310"/>
      <c r="Q90" s="253"/>
      <c r="R90" s="254"/>
      <c r="S90" s="255"/>
      <c r="T90" s="813"/>
    </row>
    <row r="91" spans="1:20" ht="18.75" customHeight="1">
      <c r="A91" s="249"/>
      <c r="B91" s="547"/>
      <c r="C91" s="148"/>
      <c r="D91" s="148"/>
      <c r="E91" s="148"/>
      <c r="F91" s="538"/>
      <c r="G91" s="538"/>
      <c r="H91" s="546"/>
      <c r="I91" s="546"/>
      <c r="J91" s="312"/>
      <c r="K91" s="312"/>
      <c r="L91" s="311"/>
      <c r="M91" s="311"/>
      <c r="N91" s="312"/>
      <c r="O91" s="312"/>
      <c r="P91" s="312"/>
      <c r="Q91" s="546"/>
      <c r="R91" s="546"/>
      <c r="S91" s="546"/>
      <c r="T91" s="249"/>
    </row>
    <row r="92" spans="1:20" ht="18.75" customHeight="1">
      <c r="A92" s="891" t="s">
        <v>19</v>
      </c>
      <c r="B92" s="892"/>
      <c r="C92" s="892"/>
      <c r="D92" s="892"/>
      <c r="E92" s="893"/>
      <c r="F92" s="261">
        <f>SUM(F4:F91)</f>
        <v>189611</v>
      </c>
      <c r="G92" s="261">
        <f>SUM(G4:G91)</f>
        <v>2477033</v>
      </c>
      <c r="H92" s="262"/>
      <c r="I92" s="552">
        <f>SUM(I4:I91)</f>
        <v>4943132</v>
      </c>
      <c r="J92" s="261">
        <f>SUM(J4:J91)</f>
        <v>2342000000</v>
      </c>
      <c r="K92" s="261">
        <f>SUM(K4:K91)</f>
        <v>97920000</v>
      </c>
      <c r="L92" s="262"/>
      <c r="M92" s="262">
        <f>SUM(M4:M91)</f>
        <v>1682.6200000000074</v>
      </c>
      <c r="N92" s="262">
        <f>SUM(N4:N91)</f>
        <v>4624769.38</v>
      </c>
      <c r="O92" s="262"/>
      <c r="P92" s="261">
        <f>SUM(P4:P91)</f>
        <v>51668151870</v>
      </c>
      <c r="Q92" s="261"/>
      <c r="R92" s="261">
        <f>SUM(R4:R91)</f>
        <v>3164972.8</v>
      </c>
      <c r="S92" s="261">
        <f>SUM(S4:S91)</f>
        <v>7729094000</v>
      </c>
      <c r="T92" s="262"/>
    </row>
    <row r="93" spans="1:20" ht="18.75" customHeight="1">
      <c r="B93" s="162"/>
    </row>
    <row r="94" spans="1:20" ht="18.75" customHeight="1">
      <c r="A94" s="237"/>
      <c r="B94" s="237"/>
      <c r="C94" s="237"/>
      <c r="D94" s="237"/>
      <c r="E94" s="237"/>
      <c r="F94" s="237"/>
      <c r="G94" s="237"/>
      <c r="H94" s="237"/>
      <c r="I94" s="237"/>
      <c r="J94" s="462"/>
      <c r="K94" s="462"/>
      <c r="L94" s="305"/>
      <c r="M94" s="305"/>
      <c r="N94" s="463">
        <f>I92-N92-M92</f>
        <v>316680.00000000012</v>
      </c>
      <c r="O94" s="305"/>
      <c r="P94" s="548" t="s">
        <v>463</v>
      </c>
      <c r="Q94" s="259"/>
      <c r="R94" s="259"/>
      <c r="S94" s="259"/>
      <c r="T94" s="541"/>
    </row>
    <row r="95" spans="1:20" ht="18.75" customHeight="1">
      <c r="J95" s="259"/>
      <c r="K95" s="259"/>
      <c r="Q95" s="306"/>
      <c r="R95" s="306"/>
      <c r="S95" s="306"/>
      <c r="T95" s="259"/>
    </row>
    <row r="96" spans="1:20" ht="18" customHeight="1">
      <c r="N96" s="649"/>
      <c r="T96" s="307"/>
    </row>
    <row r="97" spans="20:20" ht="18" customHeight="1">
      <c r="T97" s="307"/>
    </row>
  </sheetData>
  <autoFilter ref="A3:T90"/>
  <mergeCells count="153">
    <mergeCell ref="L71:L74"/>
    <mergeCell ref="M71:M74"/>
    <mergeCell ref="N71:N74"/>
    <mergeCell ref="O71:O74"/>
    <mergeCell ref="P71:P74"/>
    <mergeCell ref="P40:P42"/>
    <mergeCell ref="H31:H33"/>
    <mergeCell ref="I31:I33"/>
    <mergeCell ref="J30:J33"/>
    <mergeCell ref="L40:L42"/>
    <mergeCell ref="H38:H39"/>
    <mergeCell ref="I38:I39"/>
    <mergeCell ref="H40:H42"/>
    <mergeCell ref="T75:T80"/>
    <mergeCell ref="I40:I42"/>
    <mergeCell ref="M40:M42"/>
    <mergeCell ref="N40:N42"/>
    <mergeCell ref="O40:O42"/>
    <mergeCell ref="L58:L59"/>
    <mergeCell ref="M58:M59"/>
    <mergeCell ref="N58:N59"/>
    <mergeCell ref="O58:O59"/>
    <mergeCell ref="L60:L62"/>
    <mergeCell ref="M60:M62"/>
    <mergeCell ref="N60:N62"/>
    <mergeCell ref="O60:O62"/>
    <mergeCell ref="P60:P62"/>
    <mergeCell ref="P52:P57"/>
    <mergeCell ref="P45:P49"/>
    <mergeCell ref="L45:L49"/>
    <mergeCell ref="M45:M49"/>
    <mergeCell ref="N45:N49"/>
    <mergeCell ref="O45:O49"/>
    <mergeCell ref="L50:L51"/>
    <mergeCell ref="M50:M51"/>
    <mergeCell ref="N50:N51"/>
    <mergeCell ref="O50:O51"/>
    <mergeCell ref="H26:H28"/>
    <mergeCell ref="I26:I28"/>
    <mergeCell ref="J26:J28"/>
    <mergeCell ref="K26:K28"/>
    <mergeCell ref="O34:O35"/>
    <mergeCell ref="H34:H35"/>
    <mergeCell ref="I34:I35"/>
    <mergeCell ref="J34:J37"/>
    <mergeCell ref="K34:K37"/>
    <mergeCell ref="H36:H37"/>
    <mergeCell ref="I36:I37"/>
    <mergeCell ref="L34:L35"/>
    <mergeCell ref="M34:M35"/>
    <mergeCell ref="N34:N35"/>
    <mergeCell ref="P5:P7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L5:L7"/>
    <mergeCell ref="M5:M7"/>
    <mergeCell ref="N5:N7"/>
    <mergeCell ref="O5:O7"/>
    <mergeCell ref="M8:M10"/>
    <mergeCell ref="N8:N10"/>
    <mergeCell ref="O8:O10"/>
    <mergeCell ref="A92:E92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I14:I16"/>
    <mergeCell ref="J14:J16"/>
    <mergeCell ref="K14:K16"/>
    <mergeCell ref="L8:L10"/>
    <mergeCell ref="P8:P10"/>
    <mergeCell ref="P23:P25"/>
    <mergeCell ref="I23:I25"/>
    <mergeCell ref="J23:J25"/>
    <mergeCell ref="K23:K25"/>
    <mergeCell ref="L36:L39"/>
    <mergeCell ref="M36:M39"/>
    <mergeCell ref="N36:N39"/>
    <mergeCell ref="O36:O39"/>
    <mergeCell ref="P36:P39"/>
    <mergeCell ref="L23:L25"/>
    <mergeCell ref="L26:L28"/>
    <mergeCell ref="M26:M28"/>
    <mergeCell ref="N26:N28"/>
    <mergeCell ref="O26:O28"/>
    <mergeCell ref="P26:P28"/>
    <mergeCell ref="L29:L33"/>
    <mergeCell ref="M29:M33"/>
    <mergeCell ref="N29:N33"/>
    <mergeCell ref="O29:O33"/>
    <mergeCell ref="P29:P33"/>
    <mergeCell ref="K30:K33"/>
    <mergeCell ref="P34:P35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H23:H25"/>
    <mergeCell ref="M17:M19"/>
    <mergeCell ref="N17:N19"/>
    <mergeCell ref="O17:O19"/>
    <mergeCell ref="P50:P51"/>
    <mergeCell ref="P58:P59"/>
    <mergeCell ref="L67:L70"/>
    <mergeCell ref="M67:M70"/>
    <mergeCell ref="N67:N70"/>
    <mergeCell ref="O67:O70"/>
    <mergeCell ref="P67:P70"/>
    <mergeCell ref="L63:L66"/>
    <mergeCell ref="M63:M66"/>
    <mergeCell ref="N63:N66"/>
    <mergeCell ref="O63:O66"/>
    <mergeCell ref="P63:P66"/>
    <mergeCell ref="L52:L57"/>
    <mergeCell ref="M52:M57"/>
    <mergeCell ref="N52:N57"/>
    <mergeCell ref="O52:O57"/>
  </mergeCells>
  <pageMargins left="0.16" right="0.16" top="0.11" bottom="0.16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41"/>
  <sheetViews>
    <sheetView topLeftCell="A283" zoomScale="90" zoomScaleNormal="90" workbookViewId="0">
      <selection activeCell="B303" sqref="B303"/>
    </sheetView>
  </sheetViews>
  <sheetFormatPr defaultColWidth="9.140625" defaultRowHeight="15"/>
  <cols>
    <col min="1" max="1" width="4.28515625" style="335" customWidth="1"/>
    <col min="2" max="2" width="42.7109375" style="335" customWidth="1"/>
    <col min="3" max="3" width="12.42578125" style="340" customWidth="1"/>
    <col min="4" max="4" width="8.140625" style="341" customWidth="1"/>
    <col min="5" max="5" width="14.42578125" style="341" customWidth="1"/>
    <col min="6" max="6" width="14.28515625" style="335" customWidth="1"/>
    <col min="7" max="7" width="14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140625" style="334" customWidth="1"/>
    <col min="12" max="12" width="9.85546875" style="334" customWidth="1"/>
    <col min="13" max="13" width="6.5703125" style="334" customWidth="1"/>
    <col min="14" max="14" width="7.7109375" style="334" customWidth="1"/>
    <col min="15" max="15" width="7.28515625" style="334" hidden="1" customWidth="1"/>
    <col min="16" max="16" width="8.5703125" style="335" customWidth="1"/>
    <col min="17" max="17" width="8.285156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49" t="s">
        <v>0</v>
      </c>
      <c r="B2" s="849" t="s">
        <v>21</v>
      </c>
      <c r="C2" s="908" t="s">
        <v>50</v>
      </c>
      <c r="D2" s="852" t="s">
        <v>51</v>
      </c>
      <c r="E2" s="852" t="s">
        <v>9</v>
      </c>
      <c r="F2" s="852" t="s">
        <v>117</v>
      </c>
      <c r="G2" s="852" t="s">
        <v>52</v>
      </c>
      <c r="H2" s="559"/>
      <c r="I2" s="849" t="s">
        <v>0</v>
      </c>
      <c r="J2" s="849" t="s">
        <v>30</v>
      </c>
      <c r="K2" s="849" t="s">
        <v>31</v>
      </c>
      <c r="L2" s="849" t="s">
        <v>103</v>
      </c>
      <c r="M2" s="849" t="s">
        <v>32</v>
      </c>
      <c r="N2" s="853" t="s">
        <v>83</v>
      </c>
      <c r="O2" s="854"/>
      <c r="P2" s="850" t="s">
        <v>33</v>
      </c>
      <c r="Q2" s="852" t="s">
        <v>106</v>
      </c>
      <c r="R2" s="852" t="s">
        <v>9</v>
      </c>
      <c r="S2" s="852" t="s">
        <v>82</v>
      </c>
    </row>
    <row r="3" spans="1:21" ht="23.25" customHeight="1">
      <c r="A3" s="849"/>
      <c r="B3" s="849"/>
      <c r="C3" s="908"/>
      <c r="D3" s="852"/>
      <c r="E3" s="852"/>
      <c r="F3" s="852"/>
      <c r="G3" s="852"/>
      <c r="H3" s="559"/>
      <c r="I3" s="849"/>
      <c r="J3" s="849"/>
      <c r="K3" s="849"/>
      <c r="L3" s="849"/>
      <c r="M3" s="849"/>
      <c r="N3" s="855"/>
      <c r="O3" s="856"/>
      <c r="P3" s="851"/>
      <c r="Q3" s="852"/>
      <c r="R3" s="852"/>
      <c r="S3" s="852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901">
        <f>E23</f>
        <v>9221352140</v>
      </c>
      <c r="G26" s="901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901">
        <f>F23</f>
        <v>1455653793.8</v>
      </c>
      <c r="G28" s="901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901">
        <f>G23</f>
        <v>7729094000</v>
      </c>
      <c r="G31" s="901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903"/>
      <c r="G32" s="903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901"/>
      <c r="G33" s="901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901">
        <f>F26-F28-F31</f>
        <v>36604346.199999809</v>
      </c>
      <c r="G34" s="901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902">
        <f>N39-O39</f>
        <v>12190</v>
      </c>
      <c r="N40" s="902"/>
      <c r="O40" s="902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49" t="s">
        <v>0</v>
      </c>
      <c r="J43" s="849" t="s">
        <v>30</v>
      </c>
      <c r="K43" s="849" t="s">
        <v>725</v>
      </c>
      <c r="L43" s="849" t="s">
        <v>103</v>
      </c>
      <c r="M43" s="849" t="s">
        <v>32</v>
      </c>
      <c r="N43" s="853" t="s">
        <v>83</v>
      </c>
      <c r="O43" s="854"/>
      <c r="P43" s="850" t="s">
        <v>33</v>
      </c>
      <c r="Q43" s="852" t="s">
        <v>106</v>
      </c>
      <c r="R43" s="852" t="s">
        <v>9</v>
      </c>
      <c r="S43" s="559"/>
    </row>
    <row r="44" spans="1:21" ht="28.5">
      <c r="A44" s="579" t="s">
        <v>0</v>
      </c>
      <c r="B44" s="579" t="s">
        <v>21</v>
      </c>
      <c r="C44" s="913" t="s">
        <v>798</v>
      </c>
      <c r="D44" s="914"/>
      <c r="E44" s="580" t="s">
        <v>799</v>
      </c>
      <c r="F44" s="580" t="s">
        <v>800</v>
      </c>
      <c r="G44" s="559"/>
      <c r="H44" s="559"/>
      <c r="I44" s="849"/>
      <c r="J44" s="849"/>
      <c r="K44" s="849"/>
      <c r="L44" s="849"/>
      <c r="M44" s="849"/>
      <c r="N44" s="855"/>
      <c r="O44" s="856"/>
      <c r="P44" s="851"/>
      <c r="Q44" s="852"/>
      <c r="R44" s="852"/>
      <c r="S44" s="559"/>
    </row>
    <row r="45" spans="1:21">
      <c r="A45" s="489">
        <v>1</v>
      </c>
      <c r="B45" s="253" t="s">
        <v>801</v>
      </c>
      <c r="C45" s="915">
        <v>3720000000</v>
      </c>
      <c r="D45" s="916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911"/>
      <c r="D46" s="912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911"/>
      <c r="D47" s="912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911"/>
      <c r="D48" s="912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911"/>
      <c r="D49" s="912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915"/>
      <c r="D50" s="916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909">
        <f>SUM(C45:C50)</f>
        <v>3720000000</v>
      </c>
      <c r="D51" s="910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49" t="s">
        <v>0</v>
      </c>
      <c r="B57" s="849" t="s">
        <v>21</v>
      </c>
      <c r="C57" s="908" t="s">
        <v>50</v>
      </c>
      <c r="D57" s="852" t="s">
        <v>51</v>
      </c>
      <c r="E57" s="852" t="s">
        <v>9</v>
      </c>
      <c r="F57" s="852" t="s">
        <v>117</v>
      </c>
      <c r="G57" s="852" t="s">
        <v>52</v>
      </c>
      <c r="H57" s="559"/>
      <c r="I57" s="849" t="s">
        <v>0</v>
      </c>
      <c r="J57" s="849" t="s">
        <v>30</v>
      </c>
      <c r="K57" s="849" t="s">
        <v>31</v>
      </c>
      <c r="L57" s="849" t="s">
        <v>103</v>
      </c>
      <c r="M57" s="849" t="s">
        <v>32</v>
      </c>
      <c r="N57" s="853" t="s">
        <v>83</v>
      </c>
      <c r="O57" s="854"/>
      <c r="P57" s="850" t="s">
        <v>33</v>
      </c>
      <c r="Q57" s="852" t="s">
        <v>106</v>
      </c>
      <c r="R57" s="852" t="s">
        <v>9</v>
      </c>
      <c r="S57" s="559"/>
    </row>
    <row r="58" spans="1:19" ht="22.5" customHeight="1">
      <c r="A58" s="849"/>
      <c r="B58" s="849"/>
      <c r="C58" s="908"/>
      <c r="D58" s="852"/>
      <c r="E58" s="852"/>
      <c r="F58" s="852"/>
      <c r="G58" s="852"/>
      <c r="H58" s="559"/>
      <c r="I58" s="849"/>
      <c r="J58" s="849"/>
      <c r="K58" s="849"/>
      <c r="L58" s="849"/>
      <c r="M58" s="849"/>
      <c r="N58" s="855"/>
      <c r="O58" s="856"/>
      <c r="P58" s="851"/>
      <c r="Q58" s="852"/>
      <c r="R58" s="852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902">
        <f>N70-O70</f>
        <v>10</v>
      </c>
      <c r="N71" s="902"/>
      <c r="O71" s="902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901">
        <f>E70</f>
        <v>3961008060</v>
      </c>
      <c r="G73" s="901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901">
        <f>F70</f>
        <v>462260527</v>
      </c>
      <c r="G75" s="901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901">
        <f>G70</f>
        <v>3498750000</v>
      </c>
      <c r="G77" s="901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903"/>
      <c r="G78" s="903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901"/>
      <c r="G79" s="901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901">
        <f>F73-F75-F77</f>
        <v>-2467</v>
      </c>
      <c r="G80" s="901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49" t="s">
        <v>0</v>
      </c>
      <c r="B82" s="849" t="s">
        <v>21</v>
      </c>
      <c r="C82" s="908" t="s">
        <v>50</v>
      </c>
      <c r="D82" s="852" t="s">
        <v>51</v>
      </c>
      <c r="E82" s="852" t="s">
        <v>9</v>
      </c>
      <c r="F82" s="852" t="s">
        <v>117</v>
      </c>
      <c r="G82" s="852" t="s">
        <v>52</v>
      </c>
      <c r="H82" s="559"/>
      <c r="I82" s="849" t="s">
        <v>0</v>
      </c>
      <c r="J82" s="849" t="s">
        <v>30</v>
      </c>
      <c r="K82" s="849" t="s">
        <v>31</v>
      </c>
      <c r="L82" s="849" t="s">
        <v>103</v>
      </c>
      <c r="M82" s="849" t="s">
        <v>32</v>
      </c>
      <c r="N82" s="853" t="s">
        <v>83</v>
      </c>
      <c r="O82" s="854"/>
      <c r="P82" s="850" t="s">
        <v>33</v>
      </c>
      <c r="Q82" s="852" t="s">
        <v>106</v>
      </c>
      <c r="R82" s="852" t="s">
        <v>9</v>
      </c>
      <c r="S82" s="559"/>
    </row>
    <row r="83" spans="1:19" ht="20.25" customHeight="1">
      <c r="A83" s="849"/>
      <c r="B83" s="849"/>
      <c r="C83" s="908"/>
      <c r="D83" s="852"/>
      <c r="E83" s="852"/>
      <c r="F83" s="852"/>
      <c r="G83" s="852"/>
      <c r="H83" s="559"/>
      <c r="I83" s="849"/>
      <c r="J83" s="849"/>
      <c r="K83" s="849"/>
      <c r="L83" s="849"/>
      <c r="M83" s="849"/>
      <c r="N83" s="855"/>
      <c r="O83" s="856"/>
      <c r="P83" s="851"/>
      <c r="Q83" s="852"/>
      <c r="R83" s="852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902">
        <f>N91-O91</f>
        <v>0</v>
      </c>
      <c r="N92" s="902"/>
      <c r="O92" s="902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901">
        <f>E94</f>
        <v>3950266320</v>
      </c>
      <c r="G97" s="901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901">
        <f>F94</f>
        <v>299803000</v>
      </c>
      <c r="G99" s="901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901">
        <f>G94</f>
        <v>3651800000</v>
      </c>
      <c r="G101" s="901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903"/>
      <c r="G102" s="903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901"/>
      <c r="G103" s="901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901">
        <f>F97-F99-F101</f>
        <v>-1336680</v>
      </c>
      <c r="G104" s="901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849" t="s">
        <v>0</v>
      </c>
      <c r="B106" s="849" t="s">
        <v>21</v>
      </c>
      <c r="C106" s="908" t="s">
        <v>50</v>
      </c>
      <c r="D106" s="852" t="s">
        <v>51</v>
      </c>
      <c r="E106" s="852" t="s">
        <v>9</v>
      </c>
      <c r="F106" s="852" t="s">
        <v>117</v>
      </c>
      <c r="G106" s="852" t="s">
        <v>52</v>
      </c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849"/>
      <c r="B107" s="849"/>
      <c r="C107" s="908"/>
      <c r="D107" s="852"/>
      <c r="E107" s="852"/>
      <c r="F107" s="852"/>
      <c r="G107" s="852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356">
        <v>1</v>
      </c>
      <c r="B108" s="264" t="s">
        <v>1133</v>
      </c>
      <c r="C108" s="510">
        <v>174174</v>
      </c>
      <c r="D108" s="511">
        <v>22680</v>
      </c>
      <c r="E108" s="511">
        <f>C108*D108</f>
        <v>3950266320</v>
      </c>
      <c r="F108" s="512"/>
      <c r="G108" s="511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356">
        <v>2</v>
      </c>
      <c r="B109" s="253" t="s">
        <v>959</v>
      </c>
      <c r="C109" s="309"/>
      <c r="D109" s="255"/>
      <c r="E109" s="255"/>
      <c r="F109" s="254">
        <f>56.5*1*D108</f>
        <v>1281420</v>
      </c>
      <c r="G109" s="255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9</v>
      </c>
      <c r="B110" s="256" t="s">
        <v>1122</v>
      </c>
      <c r="C110" s="310"/>
      <c r="D110" s="255"/>
      <c r="E110" s="255"/>
      <c r="F110" s="254">
        <v>984900</v>
      </c>
      <c r="G110" s="255">
        <v>3948000000</v>
      </c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/>
      <c r="B111" s="256"/>
      <c r="C111" s="310"/>
      <c r="D111" s="255"/>
      <c r="E111" s="255"/>
      <c r="F111" s="254"/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76"/>
      <c r="B112" s="376" t="s">
        <v>57</v>
      </c>
      <c r="C112" s="262">
        <f>SUM(C108:C111)</f>
        <v>174174</v>
      </c>
      <c r="D112" s="262"/>
      <c r="E112" s="261">
        <f>SUM(E108:E111)</f>
        <v>3950266320</v>
      </c>
      <c r="F112" s="261">
        <f>SUM(F108:F111)</f>
        <v>2266320</v>
      </c>
      <c r="G112" s="261">
        <f>SUM(G108:G111)</f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534"/>
      <c r="B113" s="534"/>
      <c r="C113" s="535"/>
      <c r="D113" s="536"/>
      <c r="E113" s="536"/>
      <c r="F113" s="534"/>
      <c r="G113" s="581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534"/>
      <c r="B114" s="582"/>
      <c r="C114" s="535"/>
      <c r="D114" s="536"/>
      <c r="E114" s="536"/>
      <c r="F114" s="534"/>
      <c r="G114" s="581"/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 t="s">
        <v>929</v>
      </c>
      <c r="C115" s="535">
        <f>C112</f>
        <v>174174</v>
      </c>
      <c r="D115" s="536"/>
      <c r="E115" s="536"/>
      <c r="F115" s="901">
        <f>E112</f>
        <v>3950266320</v>
      </c>
      <c r="G115" s="901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34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83"/>
      <c r="B117" s="583" t="s">
        <v>961</v>
      </c>
      <c r="C117" s="583"/>
      <c r="D117" s="583"/>
      <c r="E117" s="583"/>
      <c r="F117" s="901">
        <f>F112</f>
        <v>2266320</v>
      </c>
      <c r="G117" s="901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83"/>
      <c r="B118" s="583"/>
      <c r="C118" s="583"/>
      <c r="D118" s="583"/>
      <c r="E118" s="583"/>
      <c r="F118" s="583"/>
      <c r="G118" s="583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960</v>
      </c>
      <c r="C119" s="583"/>
      <c r="D119" s="583"/>
      <c r="E119" s="583"/>
      <c r="F119" s="901">
        <f>G112</f>
        <v>3948000000</v>
      </c>
      <c r="G119" s="901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60"/>
      <c r="B120" s="560"/>
      <c r="C120" s="560"/>
      <c r="D120" s="560"/>
      <c r="E120" s="560"/>
      <c r="F120" s="903"/>
      <c r="G120" s="903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59"/>
      <c r="B121" s="560" t="s">
        <v>930</v>
      </c>
      <c r="C121" s="559"/>
      <c r="D121" s="559"/>
      <c r="E121" s="559"/>
      <c r="F121" s="901">
        <f>F115-F117-F119</f>
        <v>0</v>
      </c>
      <c r="G121" s="901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849" t="s">
        <v>0</v>
      </c>
      <c r="B123" s="849" t="s">
        <v>21</v>
      </c>
      <c r="C123" s="908" t="s">
        <v>50</v>
      </c>
      <c r="D123" s="852" t="s">
        <v>51</v>
      </c>
      <c r="E123" s="852" t="s">
        <v>9</v>
      </c>
      <c r="F123" s="852" t="s">
        <v>117</v>
      </c>
      <c r="G123" s="852" t="s">
        <v>52</v>
      </c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849"/>
      <c r="B124" s="849"/>
      <c r="C124" s="908"/>
      <c r="D124" s="852"/>
      <c r="E124" s="852"/>
      <c r="F124" s="852"/>
      <c r="G124" s="852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684">
        <v>1</v>
      </c>
      <c r="B125" s="264" t="s">
        <v>1153</v>
      </c>
      <c r="C125" s="510">
        <v>105560</v>
      </c>
      <c r="D125" s="511">
        <v>22690</v>
      </c>
      <c r="E125" s="511">
        <f>C125*D125</f>
        <v>2395156400</v>
      </c>
      <c r="F125" s="512"/>
      <c r="G125" s="511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684">
        <v>2</v>
      </c>
      <c r="B126" s="264" t="s">
        <v>1166</v>
      </c>
      <c r="C126" s="510">
        <v>174174</v>
      </c>
      <c r="D126" s="511">
        <v>22690</v>
      </c>
      <c r="E126" s="511">
        <f>C126*D126</f>
        <v>3952008060</v>
      </c>
      <c r="F126" s="512"/>
      <c r="G126" s="511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708">
        <v>3</v>
      </c>
      <c r="B127" s="264" t="s">
        <v>1167</v>
      </c>
      <c r="C127" s="510">
        <f>158283.5+65.5</f>
        <v>158349</v>
      </c>
      <c r="D127" s="511">
        <v>22690</v>
      </c>
      <c r="E127" s="511">
        <f>C127*D127</f>
        <v>3592938810</v>
      </c>
      <c r="F127" s="512"/>
      <c r="G127" s="511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708">
        <v>4</v>
      </c>
      <c r="B128" s="264" t="s">
        <v>1175</v>
      </c>
      <c r="C128" s="510">
        <v>265034</v>
      </c>
      <c r="D128" s="511">
        <v>22690</v>
      </c>
      <c r="E128" s="511">
        <f>C128*D128</f>
        <v>6013621460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708">
        <v>5</v>
      </c>
      <c r="B129" s="253" t="s">
        <v>959</v>
      </c>
      <c r="C129" s="309"/>
      <c r="D129" s="255"/>
      <c r="E129" s="255"/>
      <c r="F129" s="254">
        <f>56.5*4*D125</f>
        <v>5127940</v>
      </c>
      <c r="G129" s="255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08">
        <v>6</v>
      </c>
      <c r="B130" s="253" t="s">
        <v>1168</v>
      </c>
      <c r="C130" s="309"/>
      <c r="D130" s="255"/>
      <c r="E130" s="255"/>
      <c r="F130" s="254">
        <f>68000000*12</f>
        <v>816000000</v>
      </c>
      <c r="G130" s="255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08">
        <v>7</v>
      </c>
      <c r="B131" s="256" t="s">
        <v>958</v>
      </c>
      <c r="C131" s="263"/>
      <c r="D131" s="258"/>
      <c r="E131" s="258"/>
      <c r="F131" s="254">
        <f>12*2880000</f>
        <v>34560000</v>
      </c>
      <c r="G131" s="255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08">
        <v>8</v>
      </c>
      <c r="B132" s="253" t="s">
        <v>1159</v>
      </c>
      <c r="C132" s="309"/>
      <c r="D132" s="255"/>
      <c r="E132" s="255"/>
      <c r="F132" s="254">
        <f>105560*48500</f>
        <v>5119660000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08">
        <v>9</v>
      </c>
      <c r="B133" s="253" t="s">
        <v>1176</v>
      </c>
      <c r="C133" s="309"/>
      <c r="D133" s="255"/>
      <c r="E133" s="255"/>
      <c r="F133" s="254">
        <f>52780*48500</f>
        <v>2559830000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08">
        <v>10</v>
      </c>
      <c r="B134" s="256" t="s">
        <v>1158</v>
      </c>
      <c r="C134" s="310"/>
      <c r="D134" s="255"/>
      <c r="E134" s="255"/>
      <c r="F134" s="254">
        <v>550000</v>
      </c>
      <c r="G134" s="255">
        <v>1000000000</v>
      </c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08">
        <v>11</v>
      </c>
      <c r="B135" s="256" t="s">
        <v>1177</v>
      </c>
      <c r="C135" s="310"/>
      <c r="D135" s="255"/>
      <c r="E135" s="255"/>
      <c r="F135" s="254">
        <v>770000</v>
      </c>
      <c r="G135" s="255">
        <v>1000000000</v>
      </c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08">
        <v>12</v>
      </c>
      <c r="B136" s="256" t="s">
        <v>1178</v>
      </c>
      <c r="C136" s="310"/>
      <c r="D136" s="255"/>
      <c r="E136" s="255"/>
      <c r="F136" s="254">
        <v>1100000</v>
      </c>
      <c r="G136" s="255">
        <v>1966587000</v>
      </c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08">
        <v>13</v>
      </c>
      <c r="B137" s="256" t="s">
        <v>1181</v>
      </c>
      <c r="C137" s="310"/>
      <c r="D137" s="255"/>
      <c r="E137" s="255"/>
      <c r="F137" s="254">
        <v>2200000</v>
      </c>
      <c r="G137" s="255">
        <v>3000000000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08">
        <v>14</v>
      </c>
      <c r="B138" s="256"/>
      <c r="C138" s="310"/>
      <c r="D138" s="255"/>
      <c r="E138" s="255"/>
      <c r="F138" s="254"/>
      <c r="G138" s="255"/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684"/>
      <c r="B139" s="256"/>
      <c r="C139" s="310"/>
      <c r="D139" s="255"/>
      <c r="E139" s="255"/>
      <c r="F139" s="254"/>
      <c r="G139" s="255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376"/>
      <c r="B140" s="376" t="s">
        <v>57</v>
      </c>
      <c r="C140" s="262">
        <f>SUM(C125:C139)</f>
        <v>703117</v>
      </c>
      <c r="D140" s="262"/>
      <c r="E140" s="261">
        <f>SUM(E125:E139)</f>
        <v>15953724730</v>
      </c>
      <c r="F140" s="261">
        <f>SUM(F125:F139)</f>
        <v>8539797940</v>
      </c>
      <c r="G140" s="261">
        <f>SUM(G125:G139)</f>
        <v>6966587000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534"/>
      <c r="B141" s="534"/>
      <c r="C141" s="535"/>
      <c r="D141" s="536"/>
      <c r="E141" s="536"/>
      <c r="F141" s="534"/>
      <c r="G141" s="581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534"/>
      <c r="B142" s="582"/>
      <c r="C142" s="535"/>
      <c r="D142" s="536"/>
      <c r="E142" s="536"/>
      <c r="F142" s="534"/>
      <c r="G142" s="581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534"/>
      <c r="B143" s="534" t="s">
        <v>929</v>
      </c>
      <c r="C143" s="535">
        <f>C140</f>
        <v>703117</v>
      </c>
      <c r="D143" s="536"/>
      <c r="E143" s="536"/>
      <c r="F143" s="901">
        <f>E140</f>
        <v>15953724730</v>
      </c>
      <c r="G143" s="901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83"/>
      <c r="B145" s="583" t="s">
        <v>961</v>
      </c>
      <c r="C145" s="583"/>
      <c r="D145" s="583"/>
      <c r="E145" s="583"/>
      <c r="F145" s="901">
        <f>F140</f>
        <v>8539797940</v>
      </c>
      <c r="G145" s="901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83"/>
      <c r="B146" s="583"/>
      <c r="C146" s="583"/>
      <c r="D146" s="583"/>
      <c r="E146" s="583"/>
      <c r="F146" s="583"/>
      <c r="G146" s="583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83"/>
      <c r="B147" s="583" t="s">
        <v>960</v>
      </c>
      <c r="C147" s="583"/>
      <c r="D147" s="583"/>
      <c r="E147" s="583"/>
      <c r="F147" s="901">
        <f>G140</f>
        <v>6966587000</v>
      </c>
      <c r="G147" s="901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60"/>
      <c r="B148" s="560"/>
      <c r="C148" s="560"/>
      <c r="D148" s="560"/>
      <c r="E148" s="560"/>
      <c r="F148" s="903"/>
      <c r="G148" s="903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60"/>
      <c r="B149" s="560"/>
      <c r="C149" s="560"/>
      <c r="D149" s="560"/>
      <c r="E149" s="560"/>
      <c r="F149" s="901"/>
      <c r="G149" s="901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59"/>
      <c r="B150" s="560" t="s">
        <v>930</v>
      </c>
      <c r="C150" s="559"/>
      <c r="D150" s="559"/>
      <c r="E150" s="559"/>
      <c r="F150" s="901">
        <f>F143-F145-F147</f>
        <v>447339790</v>
      </c>
      <c r="G150" s="901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849" t="s">
        <v>0</v>
      </c>
      <c r="B152" s="849" t="s">
        <v>21</v>
      </c>
      <c r="C152" s="908" t="s">
        <v>50</v>
      </c>
      <c r="D152" s="852" t="s">
        <v>51</v>
      </c>
      <c r="E152" s="852" t="s">
        <v>9</v>
      </c>
      <c r="F152" s="852" t="s">
        <v>117</v>
      </c>
      <c r="G152" s="852" t="s">
        <v>52</v>
      </c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849"/>
      <c r="B153" s="849"/>
      <c r="C153" s="908"/>
      <c r="D153" s="852"/>
      <c r="E153" s="852"/>
      <c r="F153" s="852"/>
      <c r="G153" s="852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708">
        <v>1</v>
      </c>
      <c r="B154" s="264" t="s">
        <v>1182</v>
      </c>
      <c r="C154" s="510">
        <v>158340</v>
      </c>
      <c r="D154" s="511">
        <v>22685</v>
      </c>
      <c r="E154" s="511">
        <f>C154*D154</f>
        <v>3591942900</v>
      </c>
      <c r="F154" s="512"/>
      <c r="G154" s="511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708">
        <v>2</v>
      </c>
      <c r="B155" s="253" t="s">
        <v>959</v>
      </c>
      <c r="C155" s="309"/>
      <c r="D155" s="255"/>
      <c r="E155" s="255"/>
      <c r="F155" s="254">
        <f>56.5*D154</f>
        <v>1281702.5</v>
      </c>
      <c r="G155" s="255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708">
        <v>3</v>
      </c>
      <c r="B156" s="256" t="s">
        <v>1183</v>
      </c>
      <c r="C156" s="310"/>
      <c r="D156" s="255"/>
      <c r="E156" s="255"/>
      <c r="F156" s="254">
        <v>1100000</v>
      </c>
      <c r="G156" s="255">
        <v>1370000000</v>
      </c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708">
        <v>4</v>
      </c>
      <c r="B157" s="256" t="s">
        <v>1122</v>
      </c>
      <c r="C157" s="310"/>
      <c r="D157" s="255"/>
      <c r="E157" s="255"/>
      <c r="F157" s="254">
        <v>1100000</v>
      </c>
      <c r="G157" s="255">
        <v>2218461000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708"/>
      <c r="B158" s="256"/>
      <c r="C158" s="310"/>
      <c r="D158" s="255"/>
      <c r="E158" s="255"/>
      <c r="F158" s="254"/>
      <c r="G158" s="255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376"/>
      <c r="B159" s="376" t="s">
        <v>57</v>
      </c>
      <c r="C159" s="262">
        <f>SUM(C154:C158)</f>
        <v>158340</v>
      </c>
      <c r="D159" s="262"/>
      <c r="E159" s="261">
        <f>SUM(E154:E158)</f>
        <v>3591942900</v>
      </c>
      <c r="F159" s="261">
        <f>SUM(F154:F158)</f>
        <v>3481702.5</v>
      </c>
      <c r="G159" s="261">
        <f>SUM(G154:G158)</f>
        <v>3588461000</v>
      </c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534"/>
      <c r="B160" s="534"/>
      <c r="C160" s="535"/>
      <c r="D160" s="536"/>
      <c r="E160" s="536"/>
      <c r="F160" s="534"/>
      <c r="G160" s="581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534"/>
      <c r="B161" s="582"/>
      <c r="C161" s="535"/>
      <c r="D161" s="536"/>
      <c r="E161" s="536"/>
      <c r="F161" s="534"/>
      <c r="G161" s="581"/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534"/>
      <c r="B162" s="534" t="s">
        <v>929</v>
      </c>
      <c r="C162" s="535">
        <f>C159</f>
        <v>158340</v>
      </c>
      <c r="D162" s="536"/>
      <c r="E162" s="536"/>
      <c r="F162" s="901">
        <f>E159</f>
        <v>3591942900</v>
      </c>
      <c r="G162" s="901"/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534"/>
      <c r="B163" s="534"/>
      <c r="C163" s="535"/>
      <c r="D163" s="536"/>
      <c r="E163" s="536"/>
      <c r="F163" s="534"/>
      <c r="G163" s="581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583"/>
      <c r="B164" s="583" t="s">
        <v>961</v>
      </c>
      <c r="C164" s="583"/>
      <c r="D164" s="583"/>
      <c r="E164" s="583"/>
      <c r="F164" s="901">
        <f>F159</f>
        <v>3481702.5</v>
      </c>
      <c r="G164" s="901"/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83"/>
      <c r="B165" s="583"/>
      <c r="C165" s="583"/>
      <c r="D165" s="583"/>
      <c r="E165" s="583"/>
      <c r="F165" s="583"/>
      <c r="G165" s="583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83"/>
      <c r="B166" s="583" t="s">
        <v>960</v>
      </c>
      <c r="C166" s="583"/>
      <c r="D166" s="583"/>
      <c r="E166" s="583"/>
      <c r="F166" s="901">
        <f>G159</f>
        <v>3588461000</v>
      </c>
      <c r="G166" s="901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60"/>
      <c r="B167" s="560"/>
      <c r="C167" s="560"/>
      <c r="D167" s="560"/>
      <c r="E167" s="560"/>
      <c r="F167" s="903"/>
      <c r="G167" s="903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60"/>
      <c r="B168" s="560"/>
      <c r="C168" s="560"/>
      <c r="D168" s="560"/>
      <c r="E168" s="560"/>
      <c r="F168" s="901"/>
      <c r="G168" s="901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59"/>
      <c r="B169" s="560" t="s">
        <v>930</v>
      </c>
      <c r="C169" s="559"/>
      <c r="D169" s="559"/>
      <c r="E169" s="559"/>
      <c r="F169" s="901">
        <f>F162-F164-F166</f>
        <v>197.5</v>
      </c>
      <c r="G169" s="901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849" t="s">
        <v>0</v>
      </c>
      <c r="B171" s="849" t="s">
        <v>21</v>
      </c>
      <c r="C171" s="908" t="s">
        <v>50</v>
      </c>
      <c r="D171" s="852" t="s">
        <v>51</v>
      </c>
      <c r="E171" s="852" t="s">
        <v>9</v>
      </c>
      <c r="F171" s="852" t="s">
        <v>117</v>
      </c>
      <c r="G171" s="852" t="s">
        <v>52</v>
      </c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849"/>
      <c r="B172" s="849"/>
      <c r="C172" s="908"/>
      <c r="D172" s="852"/>
      <c r="E172" s="852"/>
      <c r="F172" s="852"/>
      <c r="G172" s="852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708">
        <v>1</v>
      </c>
      <c r="B173" s="264" t="s">
        <v>1185</v>
      </c>
      <c r="C173" s="510">
        <v>142506</v>
      </c>
      <c r="D173" s="511">
        <v>22675</v>
      </c>
      <c r="E173" s="511">
        <f>C173*D173</f>
        <v>3231323550</v>
      </c>
      <c r="F173" s="512"/>
      <c r="G173" s="511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708">
        <v>2</v>
      </c>
      <c r="B174" s="264" t="s">
        <v>1200</v>
      </c>
      <c r="C174" s="510">
        <v>142506</v>
      </c>
      <c r="D174" s="511"/>
      <c r="E174" s="511">
        <f>C174*D173</f>
        <v>3231323550</v>
      </c>
      <c r="F174" s="512"/>
      <c r="G174" s="511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708">
        <v>3</v>
      </c>
      <c r="B175" s="264" t="s">
        <v>1208</v>
      </c>
      <c r="C175" s="510">
        <v>202832</v>
      </c>
      <c r="D175" s="511"/>
      <c r="E175" s="511">
        <f>C175*D173</f>
        <v>4599215600</v>
      </c>
      <c r="F175" s="512"/>
      <c r="G175" s="511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708">
        <v>4</v>
      </c>
      <c r="B176" s="253" t="s">
        <v>959</v>
      </c>
      <c r="C176" s="309"/>
      <c r="D176" s="255"/>
      <c r="E176" s="255"/>
      <c r="F176" s="254">
        <f>56.5*D173*3</f>
        <v>3843412.5</v>
      </c>
      <c r="G176" s="255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708">
        <v>5</v>
      </c>
      <c r="B177" s="253" t="s">
        <v>1220</v>
      </c>
      <c r="C177" s="309"/>
      <c r="D177" s="255"/>
      <c r="E177" s="255"/>
      <c r="F177" s="254">
        <f>68000000*14</f>
        <v>952000000</v>
      </c>
      <c r="G177" s="255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708">
        <v>6</v>
      </c>
      <c r="B178" s="256" t="s">
        <v>1223</v>
      </c>
      <c r="C178" s="263"/>
      <c r="D178" s="258"/>
      <c r="E178" s="258"/>
      <c r="F178" s="254">
        <f>9*2880000</f>
        <v>25920000</v>
      </c>
      <c r="G178" s="255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708">
        <v>7</v>
      </c>
      <c r="B179" s="253" t="s">
        <v>1202</v>
      </c>
      <c r="C179" s="309"/>
      <c r="D179" s="255"/>
      <c r="E179" s="255"/>
      <c r="F179" s="254">
        <f>26390*48500</f>
        <v>1279915000</v>
      </c>
      <c r="G179" s="255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08">
        <v>8</v>
      </c>
      <c r="B180" s="253" t="s">
        <v>1203</v>
      </c>
      <c r="C180" s="309"/>
      <c r="D180" s="255"/>
      <c r="E180" s="255"/>
      <c r="F180" s="254">
        <f>26390*49000</f>
        <v>1293110000</v>
      </c>
      <c r="G180" s="255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08">
        <v>9</v>
      </c>
      <c r="B181" s="253" t="s">
        <v>1206</v>
      </c>
      <c r="C181" s="309"/>
      <c r="D181" s="255"/>
      <c r="E181" s="255"/>
      <c r="F181" s="254">
        <f>52780*49500</f>
        <v>2612610000</v>
      </c>
      <c r="G181" s="255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08">
        <v>10</v>
      </c>
      <c r="B182" s="253" t="s">
        <v>1222</v>
      </c>
      <c r="C182" s="309"/>
      <c r="D182" s="255"/>
      <c r="E182" s="255"/>
      <c r="F182" s="254">
        <f>464*13*43000</f>
        <v>259376000</v>
      </c>
      <c r="G182" s="255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08">
        <v>10</v>
      </c>
      <c r="B183" s="253" t="s">
        <v>1221</v>
      </c>
      <c r="C183" s="309"/>
      <c r="D183" s="255"/>
      <c r="E183" s="255"/>
      <c r="F183" s="254">
        <f>1566*13*49500</f>
        <v>1007721000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08">
        <v>11</v>
      </c>
      <c r="B184" s="256" t="s">
        <v>1211</v>
      </c>
      <c r="C184" s="310"/>
      <c r="D184" s="255"/>
      <c r="E184" s="255"/>
      <c r="F184" s="254">
        <v>1100000</v>
      </c>
      <c r="G184" s="255">
        <v>1900000000</v>
      </c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08">
        <v>12</v>
      </c>
      <c r="B185" s="256" t="s">
        <v>1210</v>
      </c>
      <c r="C185" s="310"/>
      <c r="D185" s="255"/>
      <c r="E185" s="255"/>
      <c r="F185" s="254">
        <v>1100000</v>
      </c>
      <c r="G185" s="255">
        <v>900000000</v>
      </c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08">
        <v>13</v>
      </c>
      <c r="B186" s="256" t="s">
        <v>1212</v>
      </c>
      <c r="C186" s="310"/>
      <c r="D186" s="255"/>
      <c r="E186" s="255"/>
      <c r="F186" s="254">
        <v>1100000</v>
      </c>
      <c r="G186" s="255">
        <v>1000000000</v>
      </c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08"/>
      <c r="B187" s="256"/>
      <c r="C187" s="310"/>
      <c r="D187" s="255"/>
      <c r="E187" s="255"/>
      <c r="F187" s="254"/>
      <c r="G187" s="255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376"/>
      <c r="B188" s="376" t="s">
        <v>57</v>
      </c>
      <c r="C188" s="262">
        <f>SUM(C173:C187)</f>
        <v>487844</v>
      </c>
      <c r="D188" s="262"/>
      <c r="E188" s="261">
        <f>SUM(E173:E187)</f>
        <v>11061862700</v>
      </c>
      <c r="F188" s="261">
        <f>SUM(F173:F187)</f>
        <v>7437795412.5</v>
      </c>
      <c r="G188" s="261">
        <f>SUM(G173:G187)</f>
        <v>3800000000</v>
      </c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534"/>
      <c r="B189" s="534"/>
      <c r="C189" s="535"/>
      <c r="D189" s="536"/>
      <c r="E189" s="536"/>
      <c r="F189" s="534"/>
      <c r="G189" s="581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534"/>
      <c r="B190" s="582"/>
      <c r="C190" s="535"/>
      <c r="D190" s="536"/>
      <c r="E190" s="536"/>
      <c r="F190" s="534"/>
      <c r="G190" s="581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534"/>
      <c r="B191" s="534" t="s">
        <v>929</v>
      </c>
      <c r="C191" s="535">
        <f>C188</f>
        <v>487844</v>
      </c>
      <c r="D191" s="536"/>
      <c r="E191" s="536"/>
      <c r="F191" s="901">
        <f>E188</f>
        <v>11061862700</v>
      </c>
      <c r="G191" s="901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534"/>
      <c r="B192" s="534"/>
      <c r="C192" s="535"/>
      <c r="D192" s="536"/>
      <c r="E192" s="536"/>
      <c r="F192" s="534"/>
      <c r="G192" s="581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583"/>
      <c r="B193" s="583" t="s">
        <v>1190</v>
      </c>
      <c r="C193" s="583"/>
      <c r="D193" s="583"/>
      <c r="E193" s="583"/>
      <c r="F193" s="901">
        <f>F188</f>
        <v>7437795412.5</v>
      </c>
      <c r="G193" s="901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83"/>
      <c r="B194" s="583"/>
      <c r="C194" s="583"/>
      <c r="D194" s="583"/>
      <c r="E194" s="583"/>
      <c r="F194" s="583"/>
      <c r="G194" s="583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83"/>
      <c r="B195" s="583" t="s">
        <v>960</v>
      </c>
      <c r="C195" s="583"/>
      <c r="D195" s="583"/>
      <c r="E195" s="583"/>
      <c r="F195" s="901">
        <f>G188</f>
        <v>3800000000</v>
      </c>
      <c r="G195" s="901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60"/>
      <c r="B196" s="560"/>
      <c r="C196" s="560"/>
      <c r="D196" s="560"/>
      <c r="E196" s="560"/>
      <c r="F196" s="903"/>
      <c r="G196" s="903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60"/>
      <c r="B197" s="560"/>
      <c r="C197" s="560"/>
      <c r="D197" s="560"/>
      <c r="E197" s="560"/>
      <c r="F197" s="901"/>
      <c r="G197" s="901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59"/>
      <c r="B198" s="560" t="s">
        <v>1209</v>
      </c>
      <c r="C198" s="559"/>
      <c r="D198" s="559"/>
      <c r="E198" s="559"/>
      <c r="F198" s="901">
        <f>F191-F193-F195</f>
        <v>-175932712.5</v>
      </c>
      <c r="G198" s="901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 s="534" customFormat="1" ht="14.25">
      <c r="A201" s="560"/>
      <c r="B201" s="560" t="s">
        <v>1204</v>
      </c>
      <c r="C201" s="741">
        <v>544481.5</v>
      </c>
      <c r="D201" s="560" t="s">
        <v>1205</v>
      </c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</row>
    <row r="202" spans="1:19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352" t="s">
        <v>1266</v>
      </c>
      <c r="B204" s="559"/>
      <c r="C204" s="559"/>
      <c r="D204" s="559"/>
      <c r="E204" s="559"/>
      <c r="F204" s="559"/>
      <c r="G204" s="559"/>
      <c r="H204" s="559"/>
      <c r="J204" s="352" t="s">
        <v>1277</v>
      </c>
      <c r="K204" s="353"/>
      <c r="L204" s="354"/>
      <c r="M204" s="353"/>
      <c r="N204" s="353"/>
      <c r="O204" s="353"/>
      <c r="P204" s="353"/>
      <c r="Q204" s="353"/>
      <c r="R204" s="353"/>
      <c r="S204" s="559"/>
    </row>
    <row r="205" spans="1:19">
      <c r="A205" s="849" t="s">
        <v>0</v>
      </c>
      <c r="B205" s="849" t="s">
        <v>21</v>
      </c>
      <c r="C205" s="908" t="s">
        <v>50</v>
      </c>
      <c r="D205" s="852" t="s">
        <v>51</v>
      </c>
      <c r="E205" s="852" t="s">
        <v>9</v>
      </c>
      <c r="F205" s="852" t="s">
        <v>117</v>
      </c>
      <c r="G205" s="852" t="s">
        <v>52</v>
      </c>
      <c r="H205" s="559"/>
      <c r="I205" s="849" t="s">
        <v>0</v>
      </c>
      <c r="J205" s="849" t="s">
        <v>30</v>
      </c>
      <c r="K205" s="849" t="s">
        <v>31</v>
      </c>
      <c r="L205" s="849" t="s">
        <v>103</v>
      </c>
      <c r="M205" s="849" t="s">
        <v>32</v>
      </c>
      <c r="N205" s="853" t="s">
        <v>83</v>
      </c>
      <c r="O205" s="854"/>
      <c r="P205" s="850" t="s">
        <v>33</v>
      </c>
      <c r="Q205" s="852" t="s">
        <v>106</v>
      </c>
      <c r="R205" s="852" t="s">
        <v>9</v>
      </c>
      <c r="S205" s="559"/>
    </row>
    <row r="206" spans="1:19">
      <c r="A206" s="849"/>
      <c r="B206" s="849"/>
      <c r="C206" s="908"/>
      <c r="D206" s="852"/>
      <c r="E206" s="852"/>
      <c r="F206" s="852"/>
      <c r="G206" s="852"/>
      <c r="H206" s="559"/>
      <c r="I206" s="849"/>
      <c r="J206" s="849"/>
      <c r="K206" s="849"/>
      <c r="L206" s="849"/>
      <c r="M206" s="849"/>
      <c r="N206" s="855"/>
      <c r="O206" s="856"/>
      <c r="P206" s="851"/>
      <c r="Q206" s="852"/>
      <c r="R206" s="852"/>
      <c r="S206" s="559"/>
    </row>
    <row r="207" spans="1:19">
      <c r="A207" s="708">
        <v>1</v>
      </c>
      <c r="B207" s="264" t="s">
        <v>1232</v>
      </c>
      <c r="C207" s="510">
        <v>306124</v>
      </c>
      <c r="D207" s="511">
        <v>22685</v>
      </c>
      <c r="E207" s="511">
        <f>C207*D207</f>
        <v>6944422940</v>
      </c>
      <c r="F207" s="512"/>
      <c r="G207" s="511"/>
      <c r="H207" s="559"/>
      <c r="I207" s="489">
        <v>1</v>
      </c>
      <c r="J207" s="355">
        <v>43158</v>
      </c>
      <c r="K207" s="355">
        <v>43161</v>
      </c>
      <c r="L207" s="791" t="s">
        <v>838</v>
      </c>
      <c r="M207" s="792">
        <f t="shared" ref="M207:M208" si="34">IF(K207&lt;&gt;"",K207-J207+1,"")</f>
        <v>4</v>
      </c>
      <c r="N207" s="792">
        <v>2030</v>
      </c>
      <c r="O207" s="792">
        <f t="shared" ref="O207:O208" si="35">IF(K207&lt;&gt;"",N207,0)</f>
        <v>2030</v>
      </c>
      <c r="P207" s="793">
        <f t="shared" ref="P207:P208" si="36">N207*13</f>
        <v>26390</v>
      </c>
      <c r="Q207" s="357">
        <f>IF(OR(M207="",M207=1),0,20000)</f>
        <v>20000</v>
      </c>
      <c r="R207" s="357">
        <f t="shared" ref="R207:R208" si="37">IF(M207&lt;&gt;"",Q207*P207*M207/1000,"")</f>
        <v>2111200</v>
      </c>
      <c r="S207" s="559"/>
    </row>
    <row r="208" spans="1:19">
      <c r="A208" s="708">
        <v>2</v>
      </c>
      <c r="B208" s="264" t="s">
        <v>1233</v>
      </c>
      <c r="C208" s="510">
        <v>153062</v>
      </c>
      <c r="D208" s="511"/>
      <c r="E208" s="511">
        <f>C208*D207</f>
        <v>3472211470</v>
      </c>
      <c r="F208" s="512"/>
      <c r="G208" s="511"/>
      <c r="H208" s="559"/>
      <c r="I208" s="489">
        <v>2</v>
      </c>
      <c r="J208" s="355">
        <v>43161</v>
      </c>
      <c r="K208" s="355">
        <v>43162</v>
      </c>
      <c r="L208" s="791" t="s">
        <v>1282</v>
      </c>
      <c r="M208" s="792">
        <f t="shared" si="34"/>
        <v>2</v>
      </c>
      <c r="N208" s="792">
        <v>2030</v>
      </c>
      <c r="O208" s="792">
        <f t="shared" si="35"/>
        <v>2030</v>
      </c>
      <c r="P208" s="793">
        <f t="shared" si="36"/>
        <v>26390</v>
      </c>
      <c r="Q208" s="357">
        <f t="shared" ref="Q208:Q212" si="38">IF(OR(M208="",M208=1),0,20000)</f>
        <v>20000</v>
      </c>
      <c r="R208" s="357">
        <f t="shared" si="37"/>
        <v>1055600</v>
      </c>
      <c r="S208" s="559"/>
    </row>
    <row r="209" spans="1:19">
      <c r="A209" s="791">
        <v>3</v>
      </c>
      <c r="B209" s="264" t="s">
        <v>1245</v>
      </c>
      <c r="C209" s="510">
        <v>237510</v>
      </c>
      <c r="D209" s="511"/>
      <c r="E209" s="511">
        <f>C209*D207</f>
        <v>5387914350</v>
      </c>
      <c r="F209" s="512"/>
      <c r="G209" s="511"/>
      <c r="H209" s="559"/>
      <c r="I209" s="489">
        <v>3</v>
      </c>
      <c r="J209" s="355">
        <v>43164</v>
      </c>
      <c r="K209" s="355">
        <v>43167</v>
      </c>
      <c r="L209" s="791" t="s">
        <v>1283</v>
      </c>
      <c r="M209" s="792">
        <f t="shared" ref="M209:M212" si="39">IF(K209&lt;&gt;"",K209-J209+1,"")</f>
        <v>4</v>
      </c>
      <c r="N209" s="792">
        <v>2030</v>
      </c>
      <c r="O209" s="792">
        <f t="shared" ref="O209:O212" si="40">IF(K209&lt;&gt;"",N209,0)</f>
        <v>2030</v>
      </c>
      <c r="P209" s="793">
        <f t="shared" ref="P209:P212" si="41">N209*13</f>
        <v>26390</v>
      </c>
      <c r="Q209" s="357">
        <f t="shared" si="38"/>
        <v>20000</v>
      </c>
      <c r="R209" s="357">
        <f t="shared" ref="R209:R212" si="42">IF(M209&lt;&gt;"",Q209*P209*M209/1000,"")</f>
        <v>2111200</v>
      </c>
      <c r="S209" s="559"/>
    </row>
    <row r="210" spans="1:19">
      <c r="A210" s="791">
        <v>4</v>
      </c>
      <c r="B210" s="253" t="s">
        <v>959</v>
      </c>
      <c r="C210" s="309"/>
      <c r="D210" s="255"/>
      <c r="E210" s="255"/>
      <c r="F210" s="254">
        <f>56.5*D207*3</f>
        <v>3845107.5</v>
      </c>
      <c r="G210" s="255"/>
      <c r="H210" s="559"/>
      <c r="I210" s="489">
        <v>4</v>
      </c>
      <c r="J210" s="355">
        <v>43168</v>
      </c>
      <c r="K210" s="355">
        <v>43179</v>
      </c>
      <c r="L210" s="791" t="s">
        <v>1284</v>
      </c>
      <c r="M210" s="792">
        <f t="shared" si="39"/>
        <v>12</v>
      </c>
      <c r="N210" s="792">
        <v>2030</v>
      </c>
      <c r="O210" s="792">
        <f t="shared" si="40"/>
        <v>2030</v>
      </c>
      <c r="P210" s="793">
        <f t="shared" si="41"/>
        <v>26390</v>
      </c>
      <c r="Q210" s="357">
        <f t="shared" si="38"/>
        <v>20000</v>
      </c>
      <c r="R210" s="357">
        <f t="shared" si="42"/>
        <v>6333600</v>
      </c>
      <c r="S210" s="559"/>
    </row>
    <row r="211" spans="1:19">
      <c r="A211" s="791">
        <v>5</v>
      </c>
      <c r="B211" s="264" t="s">
        <v>1272</v>
      </c>
      <c r="C211" s="510">
        <v>469503</v>
      </c>
      <c r="D211" s="511"/>
      <c r="E211" s="511">
        <f>C211*D207</f>
        <v>10650675555</v>
      </c>
      <c r="F211" s="512"/>
      <c r="G211" s="511"/>
      <c r="H211" s="559"/>
      <c r="I211" s="489">
        <v>5</v>
      </c>
      <c r="J211" s="355">
        <v>43169</v>
      </c>
      <c r="K211" s="355">
        <v>43180</v>
      </c>
      <c r="L211" s="791" t="s">
        <v>1285</v>
      </c>
      <c r="M211" s="792">
        <f t="shared" si="39"/>
        <v>12</v>
      </c>
      <c r="N211" s="792">
        <v>2030</v>
      </c>
      <c r="O211" s="792">
        <f t="shared" si="40"/>
        <v>2030</v>
      </c>
      <c r="P211" s="793">
        <f t="shared" si="41"/>
        <v>26390</v>
      </c>
      <c r="Q211" s="357">
        <f t="shared" si="38"/>
        <v>20000</v>
      </c>
      <c r="R211" s="357">
        <f t="shared" si="42"/>
        <v>6333600</v>
      </c>
      <c r="S211" s="559"/>
    </row>
    <row r="212" spans="1:19">
      <c r="A212" s="791">
        <v>6</v>
      </c>
      <c r="B212" s="253" t="s">
        <v>1254</v>
      </c>
      <c r="C212" s="309"/>
      <c r="D212" s="255"/>
      <c r="E212" s="255"/>
      <c r="F212" s="254">
        <f>-F198</f>
        <v>175932712.5</v>
      </c>
      <c r="G212" s="255"/>
      <c r="H212" s="559"/>
      <c r="I212" s="489">
        <v>6</v>
      </c>
      <c r="J212" s="355">
        <v>43171</v>
      </c>
      <c r="K212" s="355"/>
      <c r="L212" s="791" t="s">
        <v>1286</v>
      </c>
      <c r="M212" s="792" t="str">
        <f t="shared" si="39"/>
        <v/>
      </c>
      <c r="N212" s="792">
        <v>262</v>
      </c>
      <c r="O212" s="792">
        <f t="shared" si="40"/>
        <v>0</v>
      </c>
      <c r="P212" s="793">
        <f t="shared" si="41"/>
        <v>3406</v>
      </c>
      <c r="Q212" s="357">
        <f t="shared" si="38"/>
        <v>0</v>
      </c>
      <c r="R212" s="357" t="str">
        <f t="shared" si="42"/>
        <v/>
      </c>
      <c r="S212" s="559"/>
    </row>
    <row r="213" spans="1:19">
      <c r="A213" s="791">
        <v>7</v>
      </c>
      <c r="B213" s="253" t="s">
        <v>1276</v>
      </c>
      <c r="C213" s="263"/>
      <c r="D213" s="258"/>
      <c r="E213" s="258"/>
      <c r="F213" s="254">
        <f>43000000*20</f>
        <v>860000000</v>
      </c>
      <c r="G213" s="255"/>
      <c r="H213" s="559"/>
      <c r="I213" s="489"/>
      <c r="J213" s="355"/>
      <c r="K213" s="355"/>
      <c r="L213" s="791"/>
      <c r="M213" s="792"/>
      <c r="N213" s="792"/>
      <c r="O213" s="792"/>
      <c r="P213" s="793"/>
      <c r="Q213" s="357"/>
      <c r="R213" s="357"/>
      <c r="S213" s="559"/>
    </row>
    <row r="214" spans="1:19">
      <c r="A214" s="791">
        <v>8</v>
      </c>
      <c r="B214" s="253" t="s">
        <v>1280</v>
      </c>
      <c r="C214" s="263"/>
      <c r="D214" s="258"/>
      <c r="E214" s="258"/>
      <c r="F214" s="254">
        <f>R214</f>
        <v>17945200</v>
      </c>
      <c r="G214" s="255"/>
      <c r="H214" s="559"/>
      <c r="I214" s="414"/>
      <c r="J214" s="414"/>
      <c r="K214" s="414"/>
      <c r="L214" s="414" t="s">
        <v>19</v>
      </c>
      <c r="M214" s="414"/>
      <c r="N214" s="415">
        <f>SUM(N207:N213)</f>
        <v>10412</v>
      </c>
      <c r="O214" s="415">
        <f>SUM(O207:O213)</f>
        <v>10150</v>
      </c>
      <c r="P214" s="415">
        <f>SUM(P207:P213)</f>
        <v>135356</v>
      </c>
      <c r="Q214" s="415"/>
      <c r="R214" s="415">
        <f>SUM(R207:R213)</f>
        <v>17945200</v>
      </c>
      <c r="S214" s="559"/>
    </row>
    <row r="215" spans="1:19">
      <c r="A215" s="791">
        <v>9</v>
      </c>
      <c r="B215" s="253" t="s">
        <v>1288</v>
      </c>
      <c r="C215" s="263"/>
      <c r="D215" s="258"/>
      <c r="E215" s="258"/>
      <c r="F215" s="254">
        <f>P214/1000*2*15000</f>
        <v>4060680</v>
      </c>
      <c r="G215" s="255"/>
      <c r="H215" s="559"/>
      <c r="L215" s="352" t="s">
        <v>845</v>
      </c>
      <c r="M215" s="902">
        <f>N214-O214</f>
        <v>262</v>
      </c>
      <c r="N215" s="902"/>
      <c r="O215" s="902"/>
      <c r="S215" s="559"/>
    </row>
    <row r="216" spans="1:19">
      <c r="A216" s="796">
        <v>8</v>
      </c>
      <c r="B216" s="253" t="s">
        <v>1290</v>
      </c>
      <c r="C216" s="263"/>
      <c r="D216" s="258"/>
      <c r="E216" s="258"/>
      <c r="F216" s="254">
        <f>5*7000000</f>
        <v>35000000</v>
      </c>
      <c r="G216" s="255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791">
        <v>8</v>
      </c>
      <c r="B217" s="253" t="s">
        <v>1281</v>
      </c>
      <c r="C217" s="263"/>
      <c r="D217" s="258"/>
      <c r="E217" s="258"/>
      <c r="F217" s="254">
        <f>R236-33000000</f>
        <v>16181600</v>
      </c>
      <c r="G217" s="255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791">
        <v>9</v>
      </c>
      <c r="B218" s="253" t="s">
        <v>1289</v>
      </c>
      <c r="C218" s="263"/>
      <c r="D218" s="258"/>
      <c r="E218" s="258"/>
      <c r="F218" s="254">
        <f>P236/1000*2*15000</f>
        <v>9321000</v>
      </c>
      <c r="G218" s="255"/>
      <c r="H218" s="559"/>
      <c r="J218" s="352" t="s">
        <v>1287</v>
      </c>
      <c r="K218" s="353"/>
      <c r="L218" s="354"/>
      <c r="M218" s="353"/>
      <c r="N218" s="353"/>
      <c r="O218" s="353"/>
      <c r="P218" s="353"/>
      <c r="Q218" s="353"/>
      <c r="R218" s="353"/>
      <c r="S218" s="559"/>
    </row>
    <row r="219" spans="1:19">
      <c r="A219" s="791">
        <v>10</v>
      </c>
      <c r="B219" s="253" t="s">
        <v>1255</v>
      </c>
      <c r="C219" s="309"/>
      <c r="D219" s="255"/>
      <c r="E219" s="255"/>
      <c r="F219" s="254">
        <f>2030*13*49500</f>
        <v>1306305000</v>
      </c>
      <c r="G219" s="255"/>
      <c r="H219" s="559"/>
      <c r="I219" s="849" t="s">
        <v>0</v>
      </c>
      <c r="J219" s="849" t="s">
        <v>30</v>
      </c>
      <c r="K219" s="849" t="s">
        <v>31</v>
      </c>
      <c r="L219" s="849" t="s">
        <v>103</v>
      </c>
      <c r="M219" s="849" t="s">
        <v>32</v>
      </c>
      <c r="N219" s="853" t="s">
        <v>83</v>
      </c>
      <c r="O219" s="854"/>
      <c r="P219" s="850" t="s">
        <v>33</v>
      </c>
      <c r="Q219" s="852" t="s">
        <v>106</v>
      </c>
      <c r="R219" s="852" t="s">
        <v>9</v>
      </c>
      <c r="S219" s="559"/>
    </row>
    <row r="220" spans="1:19">
      <c r="A220" s="791">
        <v>11</v>
      </c>
      <c r="B220" s="253" t="s">
        <v>1256</v>
      </c>
      <c r="C220" s="309"/>
      <c r="D220" s="255"/>
      <c r="E220" s="255"/>
      <c r="F220" s="254">
        <f>2030*13*49500</f>
        <v>1306305000</v>
      </c>
      <c r="G220" s="255"/>
      <c r="H220" s="559"/>
      <c r="I220" s="849"/>
      <c r="J220" s="849"/>
      <c r="K220" s="849"/>
      <c r="L220" s="849"/>
      <c r="M220" s="849"/>
      <c r="N220" s="855"/>
      <c r="O220" s="856"/>
      <c r="P220" s="851"/>
      <c r="Q220" s="852"/>
      <c r="R220" s="852"/>
      <c r="S220" s="559"/>
    </row>
    <row r="221" spans="1:19">
      <c r="A221" s="791">
        <v>12</v>
      </c>
      <c r="B221" s="253" t="s">
        <v>1257</v>
      </c>
      <c r="C221" s="309"/>
      <c r="D221" s="255"/>
      <c r="E221" s="255"/>
      <c r="F221" s="254">
        <f>10150*13*49500</f>
        <v>6531525000</v>
      </c>
      <c r="G221" s="255"/>
      <c r="H221" s="559"/>
      <c r="I221" s="489">
        <v>1</v>
      </c>
      <c r="J221" s="355">
        <v>43140</v>
      </c>
      <c r="K221" s="355">
        <v>43140</v>
      </c>
      <c r="L221" s="791"/>
      <c r="M221" s="792">
        <f t="shared" ref="M221:M225" si="43">IF(K221&lt;&gt;"",K221-J221+1,"")</f>
        <v>1</v>
      </c>
      <c r="N221" s="792">
        <v>1570</v>
      </c>
      <c r="O221" s="792">
        <f t="shared" ref="O221:O225" si="44">IF(K221&lt;&gt;"",N221,0)</f>
        <v>1570</v>
      </c>
      <c r="P221" s="793">
        <f t="shared" ref="P221:P225" si="45">N221*13</f>
        <v>20410</v>
      </c>
      <c r="Q221" s="357">
        <f>IF(OR(M221="",M221=1),0,20000)</f>
        <v>0</v>
      </c>
      <c r="R221" s="357">
        <f t="shared" ref="R221:R225" si="46">IF(M221&lt;&gt;"",Q221*P221*M221/1000,"")</f>
        <v>0</v>
      </c>
      <c r="S221" s="559"/>
    </row>
    <row r="222" spans="1:19">
      <c r="A222" s="791">
        <v>13</v>
      </c>
      <c r="B222" s="253" t="s">
        <v>1278</v>
      </c>
      <c r="C222" s="309"/>
      <c r="D222" s="255"/>
      <c r="E222" s="255"/>
      <c r="F222" s="254">
        <f>8120*13*49000</f>
        <v>5172440000</v>
      </c>
      <c r="G222" s="255"/>
      <c r="H222" s="559"/>
      <c r="I222" s="489">
        <v>2</v>
      </c>
      <c r="J222" s="355">
        <v>43155</v>
      </c>
      <c r="K222" s="355">
        <v>43161</v>
      </c>
      <c r="L222" s="791"/>
      <c r="M222" s="792">
        <f t="shared" si="43"/>
        <v>7</v>
      </c>
      <c r="N222" s="792">
        <v>2030</v>
      </c>
      <c r="O222" s="792">
        <f t="shared" si="44"/>
        <v>2030</v>
      </c>
      <c r="P222" s="793">
        <f t="shared" si="45"/>
        <v>26390</v>
      </c>
      <c r="Q222" s="357">
        <f t="shared" ref="Q222:Q225" si="47">IF(OR(M222="",M222=1),0,20000)</f>
        <v>20000</v>
      </c>
      <c r="R222" s="357">
        <f t="shared" si="46"/>
        <v>3694600</v>
      </c>
      <c r="S222" s="559"/>
    </row>
    <row r="223" spans="1:19">
      <c r="A223" s="791">
        <v>14</v>
      </c>
      <c r="B223" s="253" t="s">
        <v>1270</v>
      </c>
      <c r="C223" s="309"/>
      <c r="D223" s="255"/>
      <c r="E223" s="255"/>
      <c r="F223" s="254">
        <f>1550*15*72000</f>
        <v>1674000000</v>
      </c>
      <c r="G223" s="255"/>
      <c r="H223" s="559"/>
      <c r="I223" s="489">
        <v>3</v>
      </c>
      <c r="J223" s="355">
        <v>43155</v>
      </c>
      <c r="K223" s="355">
        <v>43162</v>
      </c>
      <c r="L223" s="791"/>
      <c r="M223" s="792">
        <f t="shared" si="43"/>
        <v>8</v>
      </c>
      <c r="N223" s="792">
        <v>2030</v>
      </c>
      <c r="O223" s="792">
        <f t="shared" si="44"/>
        <v>2030</v>
      </c>
      <c r="P223" s="793">
        <f t="shared" si="45"/>
        <v>26390</v>
      </c>
      <c r="Q223" s="357">
        <f t="shared" si="47"/>
        <v>20000</v>
      </c>
      <c r="R223" s="357">
        <f t="shared" si="46"/>
        <v>4222400</v>
      </c>
      <c r="S223" s="559"/>
    </row>
    <row r="224" spans="1:19">
      <c r="A224" s="791">
        <v>15</v>
      </c>
      <c r="B224" s="253" t="s">
        <v>1271</v>
      </c>
      <c r="C224" s="309"/>
      <c r="D224" s="255"/>
      <c r="E224" s="255"/>
      <c r="F224" s="254">
        <f>1600*15*56000</f>
        <v>1344000000</v>
      </c>
      <c r="G224" s="255"/>
      <c r="H224" s="559"/>
      <c r="I224" s="489">
        <v>4</v>
      </c>
      <c r="J224" s="355">
        <v>43156</v>
      </c>
      <c r="K224" s="355">
        <v>43167</v>
      </c>
      <c r="L224" s="791"/>
      <c r="M224" s="792">
        <f t="shared" si="43"/>
        <v>12</v>
      </c>
      <c r="N224" s="792">
        <v>2020</v>
      </c>
      <c r="O224" s="792">
        <f t="shared" si="44"/>
        <v>2020</v>
      </c>
      <c r="P224" s="793">
        <f t="shared" si="45"/>
        <v>26260</v>
      </c>
      <c r="Q224" s="357">
        <f t="shared" si="47"/>
        <v>20000</v>
      </c>
      <c r="R224" s="357">
        <f t="shared" si="46"/>
        <v>6302400</v>
      </c>
      <c r="S224" s="559"/>
    </row>
    <row r="225" spans="1:19">
      <c r="A225" s="791">
        <v>16</v>
      </c>
      <c r="B225" s="253" t="s">
        <v>1279</v>
      </c>
      <c r="C225" s="309"/>
      <c r="D225" s="255"/>
      <c r="E225" s="255"/>
      <c r="F225" s="254">
        <f>4060*13*49000</f>
        <v>2586220000</v>
      </c>
      <c r="G225" s="255"/>
      <c r="H225" s="559"/>
      <c r="I225" s="489">
        <v>5</v>
      </c>
      <c r="J225" s="355">
        <v>43156</v>
      </c>
      <c r="K225" s="355">
        <v>43167</v>
      </c>
      <c r="L225" s="791"/>
      <c r="M225" s="792">
        <f t="shared" si="43"/>
        <v>12</v>
      </c>
      <c r="N225" s="792">
        <v>2030</v>
      </c>
      <c r="O225" s="792">
        <f t="shared" si="44"/>
        <v>2030</v>
      </c>
      <c r="P225" s="793">
        <f t="shared" si="45"/>
        <v>26390</v>
      </c>
      <c r="Q225" s="357">
        <f t="shared" si="47"/>
        <v>20000</v>
      </c>
      <c r="R225" s="357">
        <f t="shared" si="46"/>
        <v>6333600</v>
      </c>
      <c r="S225" s="559"/>
    </row>
    <row r="226" spans="1:19">
      <c r="A226" s="791">
        <v>17</v>
      </c>
      <c r="B226" s="253" t="s">
        <v>1258</v>
      </c>
      <c r="C226" s="309"/>
      <c r="D226" s="255"/>
      <c r="E226" s="255"/>
      <c r="F226" s="254">
        <v>1100000</v>
      </c>
      <c r="G226" s="255">
        <v>1253000000</v>
      </c>
      <c r="H226" s="559"/>
      <c r="I226" s="489">
        <v>6</v>
      </c>
      <c r="J226" s="355">
        <v>43157</v>
      </c>
      <c r="K226" s="355">
        <v>43167</v>
      </c>
      <c r="L226" s="791"/>
      <c r="M226" s="792">
        <f t="shared" ref="M226:M234" si="48">IF(K226&lt;&gt;"",K226-J226+1,"")</f>
        <v>11</v>
      </c>
      <c r="N226" s="792">
        <v>2040</v>
      </c>
      <c r="O226" s="792">
        <f t="shared" ref="O226:O234" si="49">IF(K226&lt;&gt;"",N226,0)</f>
        <v>2040</v>
      </c>
      <c r="P226" s="793">
        <f t="shared" ref="P226:P234" si="50">N226*13</f>
        <v>26520</v>
      </c>
      <c r="Q226" s="357">
        <f t="shared" ref="Q226:Q234" si="51">IF(OR(M226="",M226=1),0,20000)</f>
        <v>20000</v>
      </c>
      <c r="R226" s="357">
        <f t="shared" ref="R226:R234" si="52">IF(M226&lt;&gt;"",Q226*P226*M226/1000,"")</f>
        <v>5834400</v>
      </c>
      <c r="S226" s="559"/>
    </row>
    <row r="227" spans="1:19">
      <c r="A227" s="791">
        <v>18</v>
      </c>
      <c r="B227" s="253" t="s">
        <v>1261</v>
      </c>
      <c r="C227" s="309"/>
      <c r="D227" s="255"/>
      <c r="E227" s="255"/>
      <c r="F227" s="254">
        <v>1100000</v>
      </c>
      <c r="G227" s="255">
        <v>1253000000</v>
      </c>
      <c r="H227" s="559"/>
      <c r="I227" s="489">
        <v>7</v>
      </c>
      <c r="J227" s="355">
        <v>43157</v>
      </c>
      <c r="K227" s="355">
        <v>43181</v>
      </c>
      <c r="L227" s="791"/>
      <c r="M227" s="792">
        <f t="shared" si="48"/>
        <v>25</v>
      </c>
      <c r="N227" s="792">
        <v>1100</v>
      </c>
      <c r="O227" s="792">
        <f t="shared" si="49"/>
        <v>1100</v>
      </c>
      <c r="P227" s="793">
        <f t="shared" si="50"/>
        <v>14300</v>
      </c>
      <c r="Q227" s="357">
        <f t="shared" si="51"/>
        <v>20000</v>
      </c>
      <c r="R227" s="357">
        <f t="shared" si="52"/>
        <v>7150000</v>
      </c>
      <c r="S227" s="559"/>
    </row>
    <row r="228" spans="1:19">
      <c r="A228" s="791">
        <v>19</v>
      </c>
      <c r="B228" s="256" t="s">
        <v>1259</v>
      </c>
      <c r="C228" s="310"/>
      <c r="D228" s="255"/>
      <c r="E228" s="255"/>
      <c r="F228" s="254">
        <v>550000</v>
      </c>
      <c r="G228" s="255">
        <v>754000000</v>
      </c>
      <c r="H228" s="559"/>
      <c r="I228" s="489">
        <v>8</v>
      </c>
      <c r="J228" s="355">
        <v>43168</v>
      </c>
      <c r="K228" s="355">
        <v>43172</v>
      </c>
      <c r="L228" s="791"/>
      <c r="M228" s="792">
        <f t="shared" si="48"/>
        <v>5</v>
      </c>
      <c r="N228" s="792">
        <v>2030</v>
      </c>
      <c r="O228" s="792">
        <f t="shared" si="49"/>
        <v>2030</v>
      </c>
      <c r="P228" s="793">
        <f t="shared" si="50"/>
        <v>26390</v>
      </c>
      <c r="Q228" s="357">
        <f t="shared" si="51"/>
        <v>20000</v>
      </c>
      <c r="R228" s="357">
        <f t="shared" si="52"/>
        <v>2639000</v>
      </c>
      <c r="S228" s="559"/>
    </row>
    <row r="229" spans="1:19">
      <c r="A229" s="791">
        <v>20</v>
      </c>
      <c r="B229" s="256" t="s">
        <v>1260</v>
      </c>
      <c r="C229" s="310"/>
      <c r="D229" s="255"/>
      <c r="E229" s="255"/>
      <c r="F229" s="254">
        <v>550000</v>
      </c>
      <c r="G229" s="255">
        <v>512000000</v>
      </c>
      <c r="H229" s="559"/>
      <c r="I229" s="489">
        <v>9</v>
      </c>
      <c r="J229" s="355">
        <v>43169</v>
      </c>
      <c r="K229" s="355">
        <v>43172</v>
      </c>
      <c r="L229" s="791"/>
      <c r="M229" s="792">
        <f t="shared" si="48"/>
        <v>4</v>
      </c>
      <c r="N229" s="792">
        <v>2030</v>
      </c>
      <c r="O229" s="792">
        <f t="shared" si="49"/>
        <v>2030</v>
      </c>
      <c r="P229" s="793">
        <f t="shared" si="50"/>
        <v>26390</v>
      </c>
      <c r="Q229" s="357">
        <f t="shared" si="51"/>
        <v>20000</v>
      </c>
      <c r="R229" s="357">
        <f t="shared" si="52"/>
        <v>2111200</v>
      </c>
      <c r="S229" s="559"/>
    </row>
    <row r="230" spans="1:19">
      <c r="A230" s="791">
        <v>21</v>
      </c>
      <c r="B230" s="256" t="s">
        <v>1273</v>
      </c>
      <c r="C230" s="310"/>
      <c r="D230" s="255"/>
      <c r="E230" s="255"/>
      <c r="F230" s="254">
        <v>550000</v>
      </c>
      <c r="G230" s="255">
        <v>976000000</v>
      </c>
      <c r="H230" s="559"/>
      <c r="I230" s="489">
        <v>10</v>
      </c>
      <c r="J230" s="355">
        <v>43170</v>
      </c>
      <c r="K230" s="355">
        <v>43173</v>
      </c>
      <c r="L230" s="791"/>
      <c r="M230" s="792">
        <f t="shared" si="48"/>
        <v>4</v>
      </c>
      <c r="N230" s="792">
        <v>2030</v>
      </c>
      <c r="O230" s="792">
        <f t="shared" si="49"/>
        <v>2030</v>
      </c>
      <c r="P230" s="793">
        <f t="shared" si="50"/>
        <v>26390</v>
      </c>
      <c r="Q230" s="357">
        <f t="shared" si="51"/>
        <v>20000</v>
      </c>
      <c r="R230" s="357">
        <f t="shared" si="52"/>
        <v>2111200</v>
      </c>
      <c r="S230" s="559"/>
    </row>
    <row r="231" spans="1:19">
      <c r="A231" s="708"/>
      <c r="B231" s="256"/>
      <c r="C231" s="310"/>
      <c r="D231" s="255"/>
      <c r="E231" s="255"/>
      <c r="F231" s="254"/>
      <c r="G231" s="255"/>
      <c r="H231" s="559"/>
      <c r="I231" s="489">
        <v>11</v>
      </c>
      <c r="J231" s="355">
        <v>43170</v>
      </c>
      <c r="K231" s="355">
        <v>43173</v>
      </c>
      <c r="L231" s="791"/>
      <c r="M231" s="792">
        <f t="shared" si="48"/>
        <v>4</v>
      </c>
      <c r="N231" s="792">
        <v>2030</v>
      </c>
      <c r="O231" s="792">
        <f t="shared" si="49"/>
        <v>2030</v>
      </c>
      <c r="P231" s="793">
        <f t="shared" si="50"/>
        <v>26390</v>
      </c>
      <c r="Q231" s="357">
        <f t="shared" si="51"/>
        <v>20000</v>
      </c>
      <c r="R231" s="357">
        <f t="shared" si="52"/>
        <v>2111200</v>
      </c>
      <c r="S231" s="559"/>
    </row>
    <row r="232" spans="1:19">
      <c r="A232" s="376"/>
      <c r="B232" s="376" t="s">
        <v>57</v>
      </c>
      <c r="C232" s="262">
        <f>SUM(C207:C231)</f>
        <v>1166199</v>
      </c>
      <c r="D232" s="262"/>
      <c r="E232" s="261">
        <f>SUM(E207:E231)</f>
        <v>26455224315</v>
      </c>
      <c r="F232" s="261">
        <f>SUM(F207:F231)</f>
        <v>21046931300</v>
      </c>
      <c r="G232" s="261">
        <f>SUM(G207:G231)</f>
        <v>4748000000</v>
      </c>
      <c r="H232" s="559"/>
      <c r="I232" s="489">
        <v>12</v>
      </c>
      <c r="J232" s="355">
        <v>43171</v>
      </c>
      <c r="K232" s="355">
        <v>43180</v>
      </c>
      <c r="L232" s="791"/>
      <c r="M232" s="792">
        <f t="shared" si="48"/>
        <v>10</v>
      </c>
      <c r="N232" s="792">
        <v>2030</v>
      </c>
      <c r="O232" s="792">
        <f t="shared" si="49"/>
        <v>2030</v>
      </c>
      <c r="P232" s="793">
        <f t="shared" si="50"/>
        <v>26390</v>
      </c>
      <c r="Q232" s="357">
        <f t="shared" si="51"/>
        <v>20000</v>
      </c>
      <c r="R232" s="357">
        <f t="shared" si="52"/>
        <v>5278000</v>
      </c>
      <c r="S232" s="559"/>
    </row>
    <row r="233" spans="1:19">
      <c r="A233" s="534"/>
      <c r="B233" s="534"/>
      <c r="C233" s="535"/>
      <c r="D233" s="536"/>
      <c r="E233" s="536"/>
      <c r="F233" s="534"/>
      <c r="G233" s="581"/>
      <c r="H233" s="559"/>
      <c r="I233" s="489">
        <v>13</v>
      </c>
      <c r="J233" s="355">
        <v>43173</v>
      </c>
      <c r="K233" s="355">
        <v>43181</v>
      </c>
      <c r="L233" s="791"/>
      <c r="M233" s="792">
        <f t="shared" si="48"/>
        <v>9</v>
      </c>
      <c r="N233" s="792">
        <v>500</v>
      </c>
      <c r="O233" s="792">
        <f t="shared" si="49"/>
        <v>500</v>
      </c>
      <c r="P233" s="793">
        <f t="shared" si="50"/>
        <v>6500</v>
      </c>
      <c r="Q233" s="357">
        <f t="shared" si="51"/>
        <v>20000</v>
      </c>
      <c r="R233" s="357">
        <f t="shared" si="52"/>
        <v>1170000</v>
      </c>
      <c r="S233" s="559"/>
    </row>
    <row r="234" spans="1:19">
      <c r="A234" s="534"/>
      <c r="B234" s="582"/>
      <c r="C234" s="535"/>
      <c r="D234" s="536"/>
      <c r="E234" s="536"/>
      <c r="F234" s="534"/>
      <c r="G234" s="581"/>
      <c r="H234" s="559"/>
      <c r="I234" s="489">
        <v>14</v>
      </c>
      <c r="J234" s="355">
        <v>43180</v>
      </c>
      <c r="K234" s="355">
        <v>43181</v>
      </c>
      <c r="L234" s="791"/>
      <c r="M234" s="792">
        <f t="shared" si="48"/>
        <v>2</v>
      </c>
      <c r="N234" s="792">
        <v>430</v>
      </c>
      <c r="O234" s="792">
        <f t="shared" si="49"/>
        <v>430</v>
      </c>
      <c r="P234" s="793">
        <f t="shared" si="50"/>
        <v>5590</v>
      </c>
      <c r="Q234" s="357">
        <f t="shared" si="51"/>
        <v>20000</v>
      </c>
      <c r="R234" s="357">
        <f t="shared" si="52"/>
        <v>223600</v>
      </c>
      <c r="S234" s="559"/>
    </row>
    <row r="235" spans="1:19">
      <c r="A235" s="534"/>
      <c r="B235" s="534" t="s">
        <v>929</v>
      </c>
      <c r="C235" s="535">
        <f>C232</f>
        <v>1166199</v>
      </c>
      <c r="D235" s="536"/>
      <c r="E235" s="536"/>
      <c r="F235" s="901">
        <f>E232</f>
        <v>26455224315</v>
      </c>
      <c r="G235" s="901"/>
      <c r="H235" s="559"/>
      <c r="I235" s="489"/>
      <c r="J235" s="355"/>
      <c r="K235" s="355"/>
      <c r="L235" s="791"/>
      <c r="M235" s="792"/>
      <c r="N235" s="792"/>
      <c r="O235" s="792"/>
      <c r="P235" s="793"/>
      <c r="Q235" s="357"/>
      <c r="R235" s="357"/>
      <c r="S235" s="559"/>
    </row>
    <row r="236" spans="1:19">
      <c r="A236" s="534"/>
      <c r="B236" s="534"/>
      <c r="C236" s="535"/>
      <c r="D236" s="536"/>
      <c r="E236" s="536"/>
      <c r="F236" s="534"/>
      <c r="G236" s="581"/>
      <c r="H236" s="559"/>
      <c r="I236" s="414"/>
      <c r="J236" s="414"/>
      <c r="K236" s="414"/>
      <c r="L236" s="414" t="s">
        <v>19</v>
      </c>
      <c r="M236" s="414"/>
      <c r="N236" s="415">
        <f>SUM(N221:N235)</f>
        <v>23900</v>
      </c>
      <c r="O236" s="415">
        <f>SUM(O221:O235)</f>
        <v>23900</v>
      </c>
      <c r="P236" s="415">
        <f>SUM(P221:P235)</f>
        <v>310700</v>
      </c>
      <c r="Q236" s="415"/>
      <c r="R236" s="415">
        <f>SUM(R221:R235)</f>
        <v>49181600</v>
      </c>
      <c r="S236" s="559"/>
    </row>
    <row r="237" spans="1:19">
      <c r="A237" s="583"/>
      <c r="B237" s="583" t="s">
        <v>1190</v>
      </c>
      <c r="C237" s="583"/>
      <c r="D237" s="583"/>
      <c r="E237" s="583"/>
      <c r="F237" s="901">
        <f>F232</f>
        <v>21046931300</v>
      </c>
      <c r="G237" s="901"/>
      <c r="H237" s="559"/>
      <c r="L237" s="352" t="s">
        <v>845</v>
      </c>
      <c r="M237" s="902">
        <f>N236-O236</f>
        <v>0</v>
      </c>
      <c r="N237" s="902"/>
      <c r="O237" s="902"/>
      <c r="S237" s="559"/>
    </row>
    <row r="238" spans="1:19">
      <c r="A238" s="583"/>
      <c r="B238" s="583"/>
      <c r="C238" s="583"/>
      <c r="D238" s="583"/>
      <c r="E238" s="583"/>
      <c r="F238" s="583"/>
      <c r="G238" s="583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83"/>
      <c r="B239" s="583" t="s">
        <v>960</v>
      </c>
      <c r="C239" s="583"/>
      <c r="D239" s="583"/>
      <c r="E239" s="583"/>
      <c r="F239" s="901">
        <f>G232</f>
        <v>4748000000</v>
      </c>
      <c r="G239" s="901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60"/>
      <c r="B240" s="560"/>
      <c r="C240" s="560"/>
      <c r="D240" s="560"/>
      <c r="E240" s="560"/>
      <c r="F240" s="903"/>
      <c r="G240" s="903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60"/>
      <c r="B241" s="560"/>
      <c r="C241" s="560"/>
      <c r="D241" s="560"/>
      <c r="E241" s="560"/>
      <c r="F241" s="901"/>
      <c r="G241" s="901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60" t="s">
        <v>1209</v>
      </c>
      <c r="C242" s="559"/>
      <c r="D242" s="559"/>
      <c r="E242" s="559"/>
      <c r="F242" s="901">
        <f>F235-F237-F239</f>
        <v>660293015</v>
      </c>
      <c r="G242" s="901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 s="534" customFormat="1" ht="14.25">
      <c r="A243" s="559"/>
      <c r="B243" s="559"/>
      <c r="C243" s="559"/>
      <c r="D243" s="559"/>
      <c r="E243" s="559"/>
      <c r="F243" s="559"/>
      <c r="G243" s="559"/>
      <c r="H243" s="560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60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60"/>
      <c r="B245" s="560" t="s">
        <v>1204</v>
      </c>
      <c r="C245" s="741">
        <f>'HUNAM - 2017'!N94</f>
        <v>316680.00000000012</v>
      </c>
      <c r="D245" s="560" t="s">
        <v>1205</v>
      </c>
      <c r="E245" s="560"/>
      <c r="F245" s="560"/>
      <c r="G245" s="560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352" t="s">
        <v>1266</v>
      </c>
      <c r="B249" s="559"/>
      <c r="C249" s="559"/>
      <c r="D249" s="559"/>
      <c r="E249" s="559"/>
      <c r="F249" s="559"/>
      <c r="G249" s="559"/>
      <c r="H249" s="559"/>
      <c r="J249" s="352" t="s">
        <v>1277</v>
      </c>
      <c r="K249" s="353"/>
      <c r="L249" s="354"/>
      <c r="M249" s="353"/>
      <c r="N249" s="353"/>
      <c r="O249" s="353"/>
      <c r="P249" s="353"/>
      <c r="Q249" s="353"/>
      <c r="R249" s="353"/>
      <c r="S249" s="559"/>
    </row>
    <row r="250" spans="1:19" ht="15" customHeight="1">
      <c r="A250" s="849" t="s">
        <v>0</v>
      </c>
      <c r="B250" s="849" t="s">
        <v>21</v>
      </c>
      <c r="C250" s="908" t="s">
        <v>50</v>
      </c>
      <c r="D250" s="852" t="s">
        <v>51</v>
      </c>
      <c r="E250" s="852" t="s">
        <v>9</v>
      </c>
      <c r="F250" s="852" t="s">
        <v>117</v>
      </c>
      <c r="G250" s="852" t="s">
        <v>52</v>
      </c>
      <c r="H250" s="559"/>
      <c r="I250" s="904" t="s">
        <v>0</v>
      </c>
      <c r="J250" s="904" t="s">
        <v>30</v>
      </c>
      <c r="K250" s="904" t="s">
        <v>31</v>
      </c>
      <c r="L250" s="904" t="s">
        <v>103</v>
      </c>
      <c r="M250" s="904" t="s">
        <v>1324</v>
      </c>
      <c r="N250" s="853" t="s">
        <v>83</v>
      </c>
      <c r="O250" s="854"/>
      <c r="P250" s="850" t="s">
        <v>33</v>
      </c>
      <c r="Q250" s="906" t="s">
        <v>106</v>
      </c>
      <c r="R250" s="906" t="s">
        <v>9</v>
      </c>
      <c r="S250" s="559"/>
    </row>
    <row r="251" spans="1:19" ht="15" customHeight="1">
      <c r="A251" s="849"/>
      <c r="B251" s="849"/>
      <c r="C251" s="908"/>
      <c r="D251" s="852"/>
      <c r="E251" s="852"/>
      <c r="F251" s="852"/>
      <c r="G251" s="852"/>
      <c r="H251" s="559"/>
      <c r="I251" s="905"/>
      <c r="J251" s="905"/>
      <c r="K251" s="905"/>
      <c r="L251" s="905"/>
      <c r="M251" s="905"/>
      <c r="N251" s="855"/>
      <c r="O251" s="856"/>
      <c r="P251" s="851"/>
      <c r="Q251" s="907"/>
      <c r="R251" s="907"/>
      <c r="S251" s="559"/>
    </row>
    <row r="252" spans="1:19">
      <c r="A252" s="803">
        <v>1</v>
      </c>
      <c r="B252" s="264" t="s">
        <v>1302</v>
      </c>
      <c r="C252" s="510">
        <v>258460.77</v>
      </c>
      <c r="D252" s="511">
        <v>22740</v>
      </c>
      <c r="E252" s="511">
        <f>C252*D252</f>
        <v>5877397909.8000002</v>
      </c>
      <c r="F252" s="512"/>
      <c r="G252" s="511"/>
      <c r="H252" s="559"/>
      <c r="I252" s="489">
        <v>1</v>
      </c>
      <c r="J252" s="355">
        <v>43185</v>
      </c>
      <c r="K252" s="355">
        <v>43193</v>
      </c>
      <c r="L252" s="807" t="s">
        <v>1308</v>
      </c>
      <c r="M252" s="809">
        <f t="shared" ref="M252:M255" si="53">IF(K252&lt;&gt;"",K252-J252+1,"")</f>
        <v>9</v>
      </c>
      <c r="N252" s="809">
        <v>470</v>
      </c>
      <c r="O252" s="809">
        <f t="shared" ref="O252:O255" si="54">IF(K252&lt;&gt;"",N252,0)</f>
        <v>470</v>
      </c>
      <c r="P252" s="810">
        <f>N252*14</f>
        <v>6580</v>
      </c>
      <c r="Q252" s="357">
        <f>IF(OR(M252="",M252=1),0,20000)</f>
        <v>20000</v>
      </c>
      <c r="R252" s="357">
        <f t="shared" ref="R252:R255" si="55">IF(M252&lt;&gt;"",Q252*P252*M252/1000,"")</f>
        <v>1184400</v>
      </c>
      <c r="S252" s="559"/>
    </row>
    <row r="253" spans="1:19">
      <c r="A253" s="803">
        <v>2</v>
      </c>
      <c r="B253" s="264" t="s">
        <v>1303</v>
      </c>
      <c r="C253" s="510">
        <v>195159.61</v>
      </c>
      <c r="D253" s="511"/>
      <c r="E253" s="511">
        <f>C253*D252</f>
        <v>4437929531.3999996</v>
      </c>
      <c r="F253" s="512"/>
      <c r="G253" s="511"/>
      <c r="H253" s="559"/>
      <c r="I253" s="489">
        <v>2</v>
      </c>
      <c r="J253" s="355">
        <v>43186</v>
      </c>
      <c r="K253" s="355">
        <v>43193</v>
      </c>
      <c r="L253" s="807" t="s">
        <v>1314</v>
      </c>
      <c r="M253" s="809">
        <f t="shared" si="53"/>
        <v>8</v>
      </c>
      <c r="N253" s="809">
        <v>2030</v>
      </c>
      <c r="O253" s="809">
        <f t="shared" si="54"/>
        <v>2030</v>
      </c>
      <c r="P253" s="810">
        <f t="shared" ref="P253:P255" si="56">N253*13</f>
        <v>26390</v>
      </c>
      <c r="Q253" s="357">
        <f t="shared" ref="Q253:Q255" si="57">IF(OR(M253="",M253=1),0,20000)</f>
        <v>20000</v>
      </c>
      <c r="R253" s="357">
        <f t="shared" si="55"/>
        <v>4222400</v>
      </c>
      <c r="S253" s="559"/>
    </row>
    <row r="254" spans="1:19">
      <c r="A254" s="807">
        <v>3</v>
      </c>
      <c r="B254" s="264" t="s">
        <v>1329</v>
      </c>
      <c r="C254" s="510">
        <v>305563.5</v>
      </c>
      <c r="D254" s="511"/>
      <c r="E254" s="511">
        <f>C254*D252</f>
        <v>6948513990</v>
      </c>
      <c r="F254" s="512"/>
      <c r="G254" s="511"/>
      <c r="H254" s="559"/>
      <c r="I254" s="489">
        <v>3</v>
      </c>
      <c r="J254" s="355">
        <v>43186</v>
      </c>
      <c r="K254" s="355">
        <v>43193</v>
      </c>
      <c r="L254" s="807" t="s">
        <v>1315</v>
      </c>
      <c r="M254" s="809">
        <f t="shared" si="53"/>
        <v>8</v>
      </c>
      <c r="N254" s="809">
        <v>2030</v>
      </c>
      <c r="O254" s="809">
        <f t="shared" si="54"/>
        <v>2030</v>
      </c>
      <c r="P254" s="810">
        <f t="shared" si="56"/>
        <v>26390</v>
      </c>
      <c r="Q254" s="357">
        <f t="shared" si="57"/>
        <v>20000</v>
      </c>
      <c r="R254" s="357">
        <f t="shared" si="55"/>
        <v>4222400</v>
      </c>
      <c r="S254" s="559"/>
    </row>
    <row r="255" spans="1:19">
      <c r="A255" s="814">
        <v>4</v>
      </c>
      <c r="B255" s="253" t="s">
        <v>1254</v>
      </c>
      <c r="C255" s="309"/>
      <c r="D255" s="255"/>
      <c r="E255" s="255">
        <f>F242</f>
        <v>660293015</v>
      </c>
      <c r="F255" s="254"/>
      <c r="G255" s="255"/>
      <c r="H255" s="559"/>
      <c r="I255" s="489">
        <v>4</v>
      </c>
      <c r="J255" s="355">
        <v>43186</v>
      </c>
      <c r="K255" s="355">
        <v>43193</v>
      </c>
      <c r="L255" s="807" t="s">
        <v>1316</v>
      </c>
      <c r="M255" s="809">
        <f t="shared" si="53"/>
        <v>8</v>
      </c>
      <c r="N255" s="809">
        <v>2030</v>
      </c>
      <c r="O255" s="809">
        <f t="shared" si="54"/>
        <v>2030</v>
      </c>
      <c r="P255" s="810">
        <f t="shared" si="56"/>
        <v>26390</v>
      </c>
      <c r="Q255" s="357">
        <f t="shared" si="57"/>
        <v>20000</v>
      </c>
      <c r="R255" s="357">
        <f t="shared" si="55"/>
        <v>4222400</v>
      </c>
      <c r="S255" s="559"/>
    </row>
    <row r="256" spans="1:19">
      <c r="A256" s="814">
        <v>5</v>
      </c>
      <c r="B256" s="253" t="s">
        <v>1330</v>
      </c>
      <c r="C256" s="263"/>
      <c r="D256" s="258"/>
      <c r="E256" s="258"/>
      <c r="F256" s="254">
        <f>45000000*8</f>
        <v>360000000</v>
      </c>
      <c r="G256" s="255"/>
      <c r="H256" s="559"/>
      <c r="I256" s="489"/>
      <c r="J256" s="355"/>
      <c r="K256" s="355"/>
      <c r="L256" s="807"/>
      <c r="M256" s="809"/>
      <c r="N256" s="809"/>
      <c r="O256" s="809"/>
      <c r="P256" s="810"/>
      <c r="Q256" s="357"/>
      <c r="R256" s="357"/>
      <c r="S256" s="559"/>
    </row>
    <row r="257" spans="1:19">
      <c r="A257" s="814">
        <v>6</v>
      </c>
      <c r="B257" s="253" t="s">
        <v>1280</v>
      </c>
      <c r="C257" s="263"/>
      <c r="D257" s="258"/>
      <c r="E257" s="258"/>
      <c r="F257" s="254">
        <f>R257</f>
        <v>13851600</v>
      </c>
      <c r="G257" s="255"/>
      <c r="H257" s="559"/>
      <c r="I257" s="414"/>
      <c r="J257" s="414"/>
      <c r="K257" s="414"/>
      <c r="L257" s="414" t="s">
        <v>19</v>
      </c>
      <c r="M257" s="414"/>
      <c r="N257" s="415">
        <f>SUM(N252:N256)</f>
        <v>6560</v>
      </c>
      <c r="O257" s="415">
        <f>SUM(O252:O256)</f>
        <v>6560</v>
      </c>
      <c r="P257" s="415">
        <f>SUM(P252:P256)</f>
        <v>85750</v>
      </c>
      <c r="Q257" s="415"/>
      <c r="R257" s="415">
        <f>SUM(R252:R256)</f>
        <v>13851600</v>
      </c>
      <c r="S257" s="559"/>
    </row>
    <row r="258" spans="1:19">
      <c r="A258" s="814">
        <v>7</v>
      </c>
      <c r="B258" s="253" t="s">
        <v>1288</v>
      </c>
      <c r="C258" s="263"/>
      <c r="D258" s="258"/>
      <c r="E258" s="258"/>
      <c r="F258" s="254">
        <f>P257/1000*15000</f>
        <v>1286250</v>
      </c>
      <c r="G258" s="255"/>
      <c r="H258" s="559"/>
      <c r="L258" s="352" t="s">
        <v>845</v>
      </c>
      <c r="M258" s="902">
        <f>N257-O257</f>
        <v>0</v>
      </c>
      <c r="N258" s="902"/>
      <c r="O258" s="902"/>
      <c r="S258" s="559"/>
    </row>
    <row r="259" spans="1:19">
      <c r="A259" s="814">
        <v>8</v>
      </c>
      <c r="B259" s="253" t="s">
        <v>1281</v>
      </c>
      <c r="C259" s="263"/>
      <c r="D259" s="258"/>
      <c r="E259" s="258"/>
      <c r="F259" s="254">
        <f>R274</f>
        <v>15209480</v>
      </c>
      <c r="G259" s="255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814">
        <v>9</v>
      </c>
      <c r="B260" s="253" t="s">
        <v>1289</v>
      </c>
      <c r="C260" s="263"/>
      <c r="D260" s="258"/>
      <c r="E260" s="258"/>
      <c r="F260" s="254">
        <f>P274/1000*15000</f>
        <v>2432430</v>
      </c>
      <c r="G260" s="255"/>
      <c r="H260" s="559"/>
      <c r="J260" s="352" t="s">
        <v>1287</v>
      </c>
      <c r="K260" s="353"/>
      <c r="L260" s="354"/>
      <c r="M260" s="353"/>
      <c r="N260" s="353"/>
      <c r="O260" s="353"/>
      <c r="P260" s="353"/>
      <c r="Q260" s="353"/>
      <c r="R260" s="353"/>
      <c r="S260" s="559"/>
    </row>
    <row r="261" spans="1:19" ht="15" customHeight="1">
      <c r="A261" s="814">
        <v>10</v>
      </c>
      <c r="B261" s="253" t="s">
        <v>1327</v>
      </c>
      <c r="C261" s="263"/>
      <c r="D261" s="258"/>
      <c r="E261" s="258"/>
      <c r="F261" s="254">
        <f>2030*13*49500</f>
        <v>1306305000</v>
      </c>
      <c r="G261" s="255"/>
      <c r="H261" s="559"/>
      <c r="I261" s="849" t="s">
        <v>0</v>
      </c>
      <c r="J261" s="849" t="s">
        <v>30</v>
      </c>
      <c r="K261" s="849" t="s">
        <v>31</v>
      </c>
      <c r="L261" s="849" t="s">
        <v>103</v>
      </c>
      <c r="M261" s="904" t="s">
        <v>1324</v>
      </c>
      <c r="N261" s="853" t="s">
        <v>83</v>
      </c>
      <c r="O261" s="854"/>
      <c r="P261" s="850" t="s">
        <v>33</v>
      </c>
      <c r="Q261" s="852" t="s">
        <v>106</v>
      </c>
      <c r="R261" s="852" t="s">
        <v>9</v>
      </c>
      <c r="S261" s="559"/>
    </row>
    <row r="262" spans="1:19">
      <c r="A262" s="814">
        <v>11</v>
      </c>
      <c r="B262" s="253" t="s">
        <v>1328</v>
      </c>
      <c r="C262" s="263"/>
      <c r="D262" s="258"/>
      <c r="E262" s="258"/>
      <c r="F262" s="254">
        <f>6090*13*49500</f>
        <v>3918915000</v>
      </c>
      <c r="G262" s="255"/>
      <c r="H262" s="559"/>
      <c r="I262" s="849"/>
      <c r="J262" s="849"/>
      <c r="K262" s="849"/>
      <c r="L262" s="849"/>
      <c r="M262" s="905"/>
      <c r="N262" s="855"/>
      <c r="O262" s="856"/>
      <c r="P262" s="851"/>
      <c r="Q262" s="852"/>
      <c r="R262" s="852"/>
      <c r="S262" s="559"/>
    </row>
    <row r="263" spans="1:19">
      <c r="A263" s="814">
        <v>12</v>
      </c>
      <c r="B263" s="253" t="s">
        <v>1347</v>
      </c>
      <c r="C263" s="263"/>
      <c r="D263" s="258"/>
      <c r="E263" s="258"/>
      <c r="F263" s="254">
        <f>344*13*52000</f>
        <v>232544000</v>
      </c>
      <c r="G263" s="255"/>
      <c r="H263" s="559"/>
      <c r="I263" s="489">
        <v>1</v>
      </c>
      <c r="J263" s="355">
        <v>43183</v>
      </c>
      <c r="K263" s="355">
        <v>43187</v>
      </c>
      <c r="L263" s="814" t="s">
        <v>1310</v>
      </c>
      <c r="M263" s="809">
        <f t="shared" ref="M263:M273" si="58">IF(K263&lt;&gt;"",K263-J263+1,"")</f>
        <v>5</v>
      </c>
      <c r="N263" s="809">
        <v>818</v>
      </c>
      <c r="O263" s="809">
        <f t="shared" ref="O263:O273" si="59">IF(K263&lt;&gt;"",N263,0)</f>
        <v>818</v>
      </c>
      <c r="P263" s="810">
        <f t="shared" ref="P263:P273" si="60">N263*13</f>
        <v>10634</v>
      </c>
      <c r="Q263" s="357">
        <f>IF(OR(M263="",M263=1),0,20000)</f>
        <v>20000</v>
      </c>
      <c r="R263" s="357">
        <f t="shared" ref="R263:R273" si="61">IF(M263&lt;&gt;"",Q263*P263*M263/1000,"")</f>
        <v>1063400</v>
      </c>
      <c r="S263" s="559"/>
    </row>
    <row r="264" spans="1:19">
      <c r="A264" s="832">
        <v>12</v>
      </c>
      <c r="B264" s="253" t="s">
        <v>1348</v>
      </c>
      <c r="C264" s="263"/>
      <c r="D264" s="258"/>
      <c r="E264" s="258"/>
      <c r="F264" s="254">
        <f>1686*13*52000</f>
        <v>1139736000</v>
      </c>
      <c r="G264" s="255"/>
      <c r="H264" s="559"/>
      <c r="I264" s="489">
        <v>2</v>
      </c>
      <c r="J264" s="355">
        <v>43183</v>
      </c>
      <c r="K264" s="355"/>
      <c r="L264" s="807" t="s">
        <v>1307</v>
      </c>
      <c r="M264" s="809" t="str">
        <f t="shared" si="58"/>
        <v/>
      </c>
      <c r="N264" s="815">
        <f>2030-818-N265</f>
        <v>1166</v>
      </c>
      <c r="O264" s="809">
        <f t="shared" si="59"/>
        <v>0</v>
      </c>
      <c r="P264" s="810">
        <f t="shared" si="60"/>
        <v>15158</v>
      </c>
      <c r="Q264" s="357">
        <f t="shared" ref="Q264:Q273" si="62">IF(OR(M264="",M264=1),0,20000)</f>
        <v>0</v>
      </c>
      <c r="R264" s="357" t="str">
        <f t="shared" si="61"/>
        <v/>
      </c>
      <c r="S264" s="559"/>
    </row>
    <row r="265" spans="1:19">
      <c r="A265" s="814">
        <v>13</v>
      </c>
      <c r="B265" s="253" t="s">
        <v>1304</v>
      </c>
      <c r="C265" s="309"/>
      <c r="D265" s="255"/>
      <c r="E265" s="255"/>
      <c r="F265" s="254">
        <v>1056000</v>
      </c>
      <c r="G265" s="255">
        <v>1200000000</v>
      </c>
      <c r="H265" s="559"/>
      <c r="I265" s="489">
        <v>3</v>
      </c>
      <c r="J265" s="355">
        <v>43183</v>
      </c>
      <c r="K265" s="355">
        <v>43193</v>
      </c>
      <c r="L265" s="814" t="s">
        <v>1307</v>
      </c>
      <c r="M265" s="815">
        <f t="shared" ref="M265:M271" si="63">IF(K265&lt;&gt;"",K265-J265+1,"")</f>
        <v>11</v>
      </c>
      <c r="N265" s="815">
        <v>46</v>
      </c>
      <c r="O265" s="815">
        <f t="shared" ref="O265:O271" si="64">IF(K265&lt;&gt;"",N265,0)</f>
        <v>46</v>
      </c>
      <c r="P265" s="816">
        <f t="shared" ref="P265:P271" si="65">N265*13</f>
        <v>598</v>
      </c>
      <c r="Q265" s="357">
        <f t="shared" ref="Q265:Q271" si="66">IF(OR(M265="",M265=1),0,20000)</f>
        <v>20000</v>
      </c>
      <c r="R265" s="357">
        <f t="shared" ref="R265:R271" si="67">IF(M265&lt;&gt;"",Q265*P265*M265/1000,"")</f>
        <v>131560</v>
      </c>
      <c r="S265" s="559"/>
    </row>
    <row r="266" spans="1:19">
      <c r="A266" s="814">
        <v>14</v>
      </c>
      <c r="B266" s="253" t="s">
        <v>1306</v>
      </c>
      <c r="C266" s="309"/>
      <c r="D266" s="255"/>
      <c r="E266" s="255"/>
      <c r="F266" s="254">
        <v>1650000</v>
      </c>
      <c r="G266" s="255">
        <v>4600000000</v>
      </c>
      <c r="H266" s="559"/>
      <c r="I266" s="489">
        <v>4</v>
      </c>
      <c r="J266" s="355">
        <v>43185</v>
      </c>
      <c r="K266" s="355">
        <v>43193</v>
      </c>
      <c r="L266" s="814" t="s">
        <v>1309</v>
      </c>
      <c r="M266" s="815">
        <f t="shared" si="63"/>
        <v>9</v>
      </c>
      <c r="N266" s="815">
        <v>1478</v>
      </c>
      <c r="O266" s="815">
        <f t="shared" si="64"/>
        <v>1478</v>
      </c>
      <c r="P266" s="816">
        <f t="shared" si="65"/>
        <v>19214</v>
      </c>
      <c r="Q266" s="357">
        <f t="shared" si="66"/>
        <v>20000</v>
      </c>
      <c r="R266" s="357">
        <f t="shared" si="67"/>
        <v>3458520</v>
      </c>
      <c r="S266" s="559"/>
    </row>
    <row r="267" spans="1:19">
      <c r="A267" s="817">
        <v>15</v>
      </c>
      <c r="B267" s="253" t="s">
        <v>1305</v>
      </c>
      <c r="C267" s="310"/>
      <c r="D267" s="255"/>
      <c r="E267" s="255"/>
      <c r="F267" s="254">
        <v>1650000</v>
      </c>
      <c r="G267" s="255">
        <v>4400000000</v>
      </c>
      <c r="H267" s="559"/>
      <c r="I267" s="489">
        <v>5</v>
      </c>
      <c r="J267" s="355">
        <v>43210</v>
      </c>
      <c r="K267" s="355">
        <v>43216</v>
      </c>
      <c r="L267" s="814" t="s">
        <v>559</v>
      </c>
      <c r="M267" s="815">
        <f t="shared" si="63"/>
        <v>7</v>
      </c>
      <c r="N267" s="815">
        <v>2030</v>
      </c>
      <c r="O267" s="815">
        <f t="shared" si="64"/>
        <v>2030</v>
      </c>
      <c r="P267" s="816">
        <f t="shared" si="65"/>
        <v>26390</v>
      </c>
      <c r="Q267" s="357">
        <f t="shared" si="66"/>
        <v>20000</v>
      </c>
      <c r="R267" s="357">
        <f t="shared" si="67"/>
        <v>3694600</v>
      </c>
      <c r="S267" s="559"/>
    </row>
    <row r="268" spans="1:19">
      <c r="A268" s="817">
        <v>16</v>
      </c>
      <c r="B268" s="253" t="s">
        <v>1331</v>
      </c>
      <c r="C268" s="310"/>
      <c r="D268" s="255"/>
      <c r="E268" s="255"/>
      <c r="F268" s="254">
        <v>17000</v>
      </c>
      <c r="G268" s="255">
        <v>22000000</v>
      </c>
      <c r="H268" s="559"/>
      <c r="I268" s="489">
        <v>6</v>
      </c>
      <c r="J268" s="355">
        <v>43210</v>
      </c>
      <c r="K268" s="355">
        <v>43216</v>
      </c>
      <c r="L268" s="814" t="s">
        <v>1311</v>
      </c>
      <c r="M268" s="815">
        <f t="shared" si="63"/>
        <v>7</v>
      </c>
      <c r="N268" s="815">
        <v>2030</v>
      </c>
      <c r="O268" s="815">
        <f t="shared" si="64"/>
        <v>2030</v>
      </c>
      <c r="P268" s="816">
        <f t="shared" si="65"/>
        <v>26390</v>
      </c>
      <c r="Q268" s="357">
        <f t="shared" si="66"/>
        <v>20000</v>
      </c>
      <c r="R268" s="357">
        <f t="shared" si="67"/>
        <v>3694600</v>
      </c>
      <c r="S268" s="559"/>
    </row>
    <row r="269" spans="1:19" ht="15" customHeight="1">
      <c r="A269" s="803"/>
      <c r="B269" s="256"/>
      <c r="C269" s="310"/>
      <c r="D269" s="255"/>
      <c r="E269" s="255"/>
      <c r="F269" s="254"/>
      <c r="G269" s="255"/>
      <c r="H269" s="559"/>
      <c r="I269" s="489">
        <v>7</v>
      </c>
      <c r="J269" s="355">
        <v>43211</v>
      </c>
      <c r="K269" s="355">
        <v>43216</v>
      </c>
      <c r="L269" s="814" t="s">
        <v>1312</v>
      </c>
      <c r="M269" s="815">
        <f t="shared" si="63"/>
        <v>6</v>
      </c>
      <c r="N269" s="815">
        <v>2030</v>
      </c>
      <c r="O269" s="815">
        <f t="shared" si="64"/>
        <v>2030</v>
      </c>
      <c r="P269" s="816">
        <f t="shared" si="65"/>
        <v>26390</v>
      </c>
      <c r="Q269" s="357">
        <f t="shared" si="66"/>
        <v>20000</v>
      </c>
      <c r="R269" s="357">
        <f t="shared" si="67"/>
        <v>3166800</v>
      </c>
      <c r="S269" s="559"/>
    </row>
    <row r="270" spans="1:19">
      <c r="A270" s="376"/>
      <c r="B270" s="376" t="s">
        <v>57</v>
      </c>
      <c r="C270" s="262">
        <f>SUM(C252:C269)</f>
        <v>759183.88</v>
      </c>
      <c r="D270" s="262"/>
      <c r="E270" s="261">
        <f>SUM(E252:E269)</f>
        <v>17924134446.200001</v>
      </c>
      <c r="F270" s="261">
        <f>SUM(F252:F269)</f>
        <v>6994652760</v>
      </c>
      <c r="G270" s="261">
        <f>SUM(G252:G269)</f>
        <v>10222000000</v>
      </c>
      <c r="H270" s="559"/>
      <c r="I270" s="489">
        <v>8</v>
      </c>
      <c r="J270" s="355">
        <v>43213</v>
      </c>
      <c r="K270" s="355"/>
      <c r="L270" s="814" t="s">
        <v>1313</v>
      </c>
      <c r="M270" s="815" t="str">
        <f t="shared" si="63"/>
        <v/>
      </c>
      <c r="N270" s="815">
        <v>1120</v>
      </c>
      <c r="O270" s="815">
        <f t="shared" si="64"/>
        <v>0</v>
      </c>
      <c r="P270" s="816">
        <f t="shared" si="65"/>
        <v>14560</v>
      </c>
      <c r="Q270" s="357">
        <f t="shared" si="66"/>
        <v>0</v>
      </c>
      <c r="R270" s="357" t="str">
        <f t="shared" si="67"/>
        <v/>
      </c>
      <c r="S270" s="559"/>
    </row>
    <row r="271" spans="1:19">
      <c r="A271" s="534"/>
      <c r="B271" s="534"/>
      <c r="C271" s="535"/>
      <c r="D271" s="536"/>
      <c r="E271" s="536"/>
      <c r="F271" s="534"/>
      <c r="G271" s="581"/>
      <c r="H271" s="559"/>
      <c r="I271" s="489">
        <v>9</v>
      </c>
      <c r="J271" s="355">
        <v>43214</v>
      </c>
      <c r="K271" s="355"/>
      <c r="L271" s="814" t="s">
        <v>1318</v>
      </c>
      <c r="M271" s="815" t="str">
        <f t="shared" si="63"/>
        <v/>
      </c>
      <c r="N271" s="815">
        <f>846+910</f>
        <v>1756</v>
      </c>
      <c r="O271" s="815">
        <f t="shared" si="64"/>
        <v>0</v>
      </c>
      <c r="P271" s="816">
        <f t="shared" si="65"/>
        <v>22828</v>
      </c>
      <c r="Q271" s="357">
        <f t="shared" si="66"/>
        <v>0</v>
      </c>
      <c r="R271" s="357" t="str">
        <f t="shared" si="67"/>
        <v/>
      </c>
      <c r="S271" s="559"/>
    </row>
    <row r="272" spans="1:19">
      <c r="A272" s="534"/>
      <c r="B272" s="582"/>
      <c r="C272" s="535"/>
      <c r="D272" s="536"/>
      <c r="E272" s="536"/>
      <c r="F272" s="534"/>
      <c r="G272" s="581"/>
      <c r="H272" s="559"/>
      <c r="I272" s="489">
        <v>10</v>
      </c>
      <c r="J272" s="355"/>
      <c r="K272" s="355"/>
      <c r="L272" s="807"/>
      <c r="M272" s="809" t="str">
        <f t="shared" si="58"/>
        <v/>
      </c>
      <c r="N272" s="809"/>
      <c r="O272" s="809">
        <f t="shared" si="59"/>
        <v>0</v>
      </c>
      <c r="P272" s="810">
        <f t="shared" si="60"/>
        <v>0</v>
      </c>
      <c r="Q272" s="357">
        <f t="shared" si="62"/>
        <v>0</v>
      </c>
      <c r="R272" s="357" t="str">
        <f t="shared" si="61"/>
        <v/>
      </c>
      <c r="S272" s="559"/>
    </row>
    <row r="273" spans="1:19">
      <c r="A273" s="534"/>
      <c r="B273" s="534" t="s">
        <v>929</v>
      </c>
      <c r="C273" s="535">
        <f>C270</f>
        <v>759183.88</v>
      </c>
      <c r="D273" s="536"/>
      <c r="E273" s="536"/>
      <c r="F273" s="901">
        <f>E270</f>
        <v>17924134446.200001</v>
      </c>
      <c r="G273" s="901"/>
      <c r="H273" s="559"/>
      <c r="I273" s="489">
        <v>11</v>
      </c>
      <c r="J273" s="355"/>
      <c r="K273" s="355"/>
      <c r="L273" s="807"/>
      <c r="M273" s="809" t="str">
        <f t="shared" si="58"/>
        <v/>
      </c>
      <c r="N273" s="809"/>
      <c r="O273" s="809">
        <f t="shared" si="59"/>
        <v>0</v>
      </c>
      <c r="P273" s="810">
        <f t="shared" si="60"/>
        <v>0</v>
      </c>
      <c r="Q273" s="357">
        <f t="shared" si="62"/>
        <v>0</v>
      </c>
      <c r="R273" s="357" t="str">
        <f t="shared" si="61"/>
        <v/>
      </c>
      <c r="S273" s="559"/>
    </row>
    <row r="274" spans="1:19">
      <c r="A274" s="534"/>
      <c r="B274" s="534"/>
      <c r="C274" s="535"/>
      <c r="D274" s="536"/>
      <c r="E274" s="536"/>
      <c r="F274" s="534"/>
      <c r="G274" s="581"/>
      <c r="H274" s="559"/>
      <c r="I274" s="414"/>
      <c r="J274" s="414"/>
      <c r="K274" s="414"/>
      <c r="L274" s="414" t="s">
        <v>19</v>
      </c>
      <c r="M274" s="414"/>
      <c r="N274" s="415">
        <f>SUM(N263:N273)</f>
        <v>12474</v>
      </c>
      <c r="O274" s="415">
        <f>SUM(O263:O273)</f>
        <v>8432</v>
      </c>
      <c r="P274" s="415">
        <f>SUM(P263:P273)</f>
        <v>162162</v>
      </c>
      <c r="Q274" s="415"/>
      <c r="R274" s="415">
        <f>SUM(R263:R273)</f>
        <v>15209480</v>
      </c>
      <c r="S274" s="559"/>
    </row>
    <row r="275" spans="1:19">
      <c r="A275" s="583"/>
      <c r="B275" s="583" t="s">
        <v>1190</v>
      </c>
      <c r="C275" s="583"/>
      <c r="D275" s="583"/>
      <c r="E275" s="583"/>
      <c r="F275" s="901">
        <f>F270</f>
        <v>6994652760</v>
      </c>
      <c r="G275" s="901"/>
      <c r="H275" s="559"/>
      <c r="L275" s="352" t="s">
        <v>845</v>
      </c>
      <c r="M275" s="902">
        <f>N274-O274</f>
        <v>4042</v>
      </c>
      <c r="N275" s="902"/>
      <c r="O275" s="902"/>
      <c r="S275" s="559"/>
    </row>
    <row r="276" spans="1:19">
      <c r="A276" s="583"/>
      <c r="B276" s="583"/>
      <c r="C276" s="583"/>
      <c r="D276" s="583"/>
      <c r="E276" s="583"/>
      <c r="F276" s="583"/>
      <c r="G276" s="583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83"/>
      <c r="B277" s="583" t="s">
        <v>960</v>
      </c>
      <c r="C277" s="583"/>
      <c r="D277" s="583"/>
      <c r="E277" s="583"/>
      <c r="F277" s="901">
        <f>G270</f>
        <v>10222000000</v>
      </c>
      <c r="G277" s="901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60"/>
      <c r="B278" s="560"/>
      <c r="C278" s="560"/>
      <c r="D278" s="560"/>
      <c r="E278" s="560"/>
      <c r="F278" s="903"/>
      <c r="G278" s="903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60"/>
      <c r="B279" s="560"/>
      <c r="C279" s="560"/>
      <c r="D279" s="560"/>
      <c r="E279" s="560"/>
      <c r="F279" s="901"/>
      <c r="G279" s="901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60" t="s">
        <v>1209</v>
      </c>
      <c r="C280" s="559"/>
      <c r="D280" s="559"/>
      <c r="E280" s="559"/>
      <c r="F280" s="901">
        <f>F273-F275-F277</f>
        <v>707481686.20000076</v>
      </c>
      <c r="G280" s="901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60"/>
      <c r="B283" s="560" t="s">
        <v>1204</v>
      </c>
      <c r="C283" s="741">
        <f>'HUNAM - 2017'!N139</f>
        <v>0</v>
      </c>
      <c r="D283" s="560" t="s">
        <v>1205</v>
      </c>
      <c r="E283" s="560"/>
      <c r="F283" s="560"/>
      <c r="G283" s="560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 ht="15" customHeight="1">
      <c r="A285" s="352" t="s">
        <v>1266</v>
      </c>
      <c r="B285" s="559"/>
      <c r="C285" s="559"/>
      <c r="D285" s="559"/>
      <c r="E285" s="559"/>
      <c r="F285" s="559"/>
      <c r="G285" s="559"/>
      <c r="H285" s="559"/>
      <c r="J285" s="352" t="s">
        <v>1277</v>
      </c>
      <c r="K285" s="353"/>
      <c r="L285" s="354"/>
      <c r="M285" s="353"/>
      <c r="N285" s="353"/>
      <c r="O285" s="353"/>
      <c r="P285" s="353"/>
      <c r="Q285" s="353"/>
      <c r="R285" s="353"/>
      <c r="S285" s="559"/>
    </row>
    <row r="286" spans="1:19" ht="15" customHeight="1">
      <c r="A286" s="849" t="s">
        <v>0</v>
      </c>
      <c r="B286" s="849" t="s">
        <v>21</v>
      </c>
      <c r="C286" s="908" t="s">
        <v>50</v>
      </c>
      <c r="D286" s="852" t="s">
        <v>51</v>
      </c>
      <c r="E286" s="852" t="s">
        <v>9</v>
      </c>
      <c r="F286" s="852" t="s">
        <v>117</v>
      </c>
      <c r="G286" s="852" t="s">
        <v>52</v>
      </c>
      <c r="H286" s="559"/>
      <c r="I286" s="904" t="s">
        <v>0</v>
      </c>
      <c r="J286" s="904" t="s">
        <v>30</v>
      </c>
      <c r="K286" s="904" t="s">
        <v>31</v>
      </c>
      <c r="L286" s="904" t="s">
        <v>103</v>
      </c>
      <c r="M286" s="904" t="s">
        <v>1324</v>
      </c>
      <c r="N286" s="853" t="s">
        <v>83</v>
      </c>
      <c r="O286" s="854"/>
      <c r="P286" s="850" t="s">
        <v>33</v>
      </c>
      <c r="Q286" s="906" t="s">
        <v>106</v>
      </c>
      <c r="R286" s="906" t="s">
        <v>9</v>
      </c>
      <c r="S286" s="559"/>
    </row>
    <row r="287" spans="1:19">
      <c r="A287" s="849"/>
      <c r="B287" s="849"/>
      <c r="C287" s="908"/>
      <c r="D287" s="852"/>
      <c r="E287" s="852"/>
      <c r="F287" s="852"/>
      <c r="G287" s="852"/>
      <c r="H287" s="559"/>
      <c r="I287" s="905"/>
      <c r="J287" s="905"/>
      <c r="K287" s="905"/>
      <c r="L287" s="905"/>
      <c r="M287" s="905"/>
      <c r="N287" s="855"/>
      <c r="O287" s="856"/>
      <c r="P287" s="851"/>
      <c r="Q287" s="907"/>
      <c r="R287" s="907"/>
      <c r="S287" s="559"/>
    </row>
    <row r="288" spans="1:19">
      <c r="A288" s="832">
        <v>1</v>
      </c>
      <c r="B288" s="264" t="s">
        <v>1346</v>
      </c>
      <c r="C288" s="510">
        <v>211063.5</v>
      </c>
      <c r="D288" s="511">
        <v>22740</v>
      </c>
      <c r="E288" s="511">
        <f>C288*D288</f>
        <v>4799583990</v>
      </c>
      <c r="F288" s="512"/>
      <c r="G288" s="511"/>
      <c r="H288" s="559"/>
      <c r="I288" s="489">
        <v>1</v>
      </c>
      <c r="J288" s="355">
        <v>43225</v>
      </c>
      <c r="K288" s="355">
        <v>43232</v>
      </c>
      <c r="L288" s="355" t="s">
        <v>1340</v>
      </c>
      <c r="M288" s="833">
        <f t="shared" ref="M288:M291" si="68">IF(K288&lt;&gt;"",K288-J288+1,"")</f>
        <v>8</v>
      </c>
      <c r="N288" s="833">
        <v>1330</v>
      </c>
      <c r="O288" s="833">
        <f t="shared" ref="O288" si="69">IF(K288&lt;&gt;"",N288,0)</f>
        <v>1330</v>
      </c>
      <c r="P288" s="834">
        <f>N288*14</f>
        <v>18620</v>
      </c>
      <c r="Q288" s="357">
        <f>IF(OR(M288="",M288=1),0,20000)</f>
        <v>20000</v>
      </c>
      <c r="R288" s="357">
        <f t="shared" ref="R288" si="70">IF(M288&lt;&gt;"",Q288*P288*M288/1000,"")</f>
        <v>2979200</v>
      </c>
      <c r="S288" s="559"/>
    </row>
    <row r="289" spans="1:19">
      <c r="A289" s="832">
        <v>2</v>
      </c>
      <c r="B289" s="264" t="s">
        <v>1365</v>
      </c>
      <c r="C289" s="510">
        <v>211063.5</v>
      </c>
      <c r="D289" s="511"/>
      <c r="E289" s="511">
        <f>C289*D288</f>
        <v>4799583990</v>
      </c>
      <c r="F289" s="512"/>
      <c r="G289" s="511"/>
      <c r="H289" s="559"/>
      <c r="I289" s="489">
        <v>2</v>
      </c>
      <c r="J289" s="355">
        <v>43225</v>
      </c>
      <c r="K289" s="355">
        <v>43232</v>
      </c>
      <c r="L289" s="832" t="s">
        <v>1341</v>
      </c>
      <c r="M289" s="833">
        <f t="shared" si="68"/>
        <v>8</v>
      </c>
      <c r="N289" s="833">
        <v>1530</v>
      </c>
      <c r="O289" s="833">
        <f t="shared" ref="O289:O292" si="71">IF(K289&lt;&gt;"",N289,0)</f>
        <v>1530</v>
      </c>
      <c r="P289" s="834">
        <f t="shared" ref="P289:P292" si="72">N289*14</f>
        <v>21420</v>
      </c>
      <c r="Q289" s="357">
        <f t="shared" ref="Q289:Q292" si="73">IF(OR(M289="",M289=1),0,20000)</f>
        <v>20000</v>
      </c>
      <c r="R289" s="357">
        <f t="shared" ref="R289:R292" si="74">IF(M289&lt;&gt;"",Q289*P289*M289/1000,"")</f>
        <v>3427200</v>
      </c>
      <c r="S289" s="559"/>
    </row>
    <row r="290" spans="1:19">
      <c r="A290" s="832">
        <v>3</v>
      </c>
      <c r="B290" s="253" t="s">
        <v>1366</v>
      </c>
      <c r="C290" s="510"/>
      <c r="D290" s="511"/>
      <c r="E290" s="511">
        <f>C290*D288</f>
        <v>0</v>
      </c>
      <c r="F290" s="512">
        <f>110*10*D288</f>
        <v>25014000</v>
      </c>
      <c r="G290" s="511"/>
      <c r="H290" s="559"/>
      <c r="I290" s="489">
        <v>3</v>
      </c>
      <c r="J290" s="355">
        <v>43225</v>
      </c>
      <c r="K290" s="355">
        <v>43232</v>
      </c>
      <c r="L290" s="832" t="s">
        <v>947</v>
      </c>
      <c r="M290" s="833">
        <f t="shared" si="68"/>
        <v>8</v>
      </c>
      <c r="N290" s="833">
        <v>1200</v>
      </c>
      <c r="O290" s="833">
        <f t="shared" si="71"/>
        <v>1200</v>
      </c>
      <c r="P290" s="834">
        <f t="shared" si="72"/>
        <v>16800</v>
      </c>
      <c r="Q290" s="357">
        <f t="shared" si="73"/>
        <v>20000</v>
      </c>
      <c r="R290" s="357">
        <f t="shared" si="74"/>
        <v>2688000</v>
      </c>
      <c r="S290" s="559"/>
    </row>
    <row r="291" spans="1:19">
      <c r="A291" s="832">
        <v>4</v>
      </c>
      <c r="B291" s="253" t="s">
        <v>1254</v>
      </c>
      <c r="C291" s="309"/>
      <c r="D291" s="255"/>
      <c r="E291" s="255">
        <f>F280</f>
        <v>707481686.20000076</v>
      </c>
      <c r="F291" s="254"/>
      <c r="G291" s="255"/>
      <c r="H291" s="559"/>
      <c r="I291" s="489">
        <v>4</v>
      </c>
      <c r="J291" s="355">
        <v>43227</v>
      </c>
      <c r="K291" s="355">
        <v>43231</v>
      </c>
      <c r="L291" s="832" t="s">
        <v>1342</v>
      </c>
      <c r="M291" s="833">
        <f t="shared" si="68"/>
        <v>5</v>
      </c>
      <c r="N291" s="833">
        <v>1030</v>
      </c>
      <c r="O291" s="833">
        <f t="shared" si="71"/>
        <v>1030</v>
      </c>
      <c r="P291" s="834">
        <f t="shared" si="72"/>
        <v>14420</v>
      </c>
      <c r="Q291" s="357">
        <f t="shared" si="73"/>
        <v>20000</v>
      </c>
      <c r="R291" s="357">
        <f t="shared" si="74"/>
        <v>1442000</v>
      </c>
      <c r="S291" s="559"/>
    </row>
    <row r="292" spans="1:19">
      <c r="A292" s="832">
        <v>5</v>
      </c>
      <c r="B292" s="253" t="s">
        <v>1343</v>
      </c>
      <c r="C292" s="263"/>
      <c r="D292" s="258"/>
      <c r="E292" s="258"/>
      <c r="F292" s="254">
        <f>45000000*10</f>
        <v>450000000</v>
      </c>
      <c r="G292" s="255"/>
      <c r="H292" s="559"/>
      <c r="I292" s="489">
        <v>5</v>
      </c>
      <c r="J292" s="355">
        <v>43227</v>
      </c>
      <c r="K292" s="355">
        <v>43231</v>
      </c>
      <c r="L292" s="832" t="s">
        <v>946</v>
      </c>
      <c r="M292" s="833">
        <f t="shared" ref="M292" si="75">IF(K292&lt;&gt;"",K292-J292+1,"")</f>
        <v>5</v>
      </c>
      <c r="N292" s="833">
        <v>1000</v>
      </c>
      <c r="O292" s="833">
        <f t="shared" si="71"/>
        <v>1000</v>
      </c>
      <c r="P292" s="834">
        <f t="shared" si="72"/>
        <v>14000</v>
      </c>
      <c r="Q292" s="357">
        <f t="shared" si="73"/>
        <v>20000</v>
      </c>
      <c r="R292" s="357">
        <f t="shared" si="74"/>
        <v>1400000</v>
      </c>
      <c r="S292" s="559"/>
    </row>
    <row r="293" spans="1:19">
      <c r="A293" s="832">
        <v>6</v>
      </c>
      <c r="B293" s="253" t="s">
        <v>1280</v>
      </c>
      <c r="C293" s="263"/>
      <c r="D293" s="258"/>
      <c r="E293" s="258"/>
      <c r="F293" s="254">
        <f>R294</f>
        <v>11936400</v>
      </c>
      <c r="G293" s="255"/>
      <c r="H293" s="559"/>
      <c r="I293" s="489"/>
      <c r="J293" s="355"/>
      <c r="K293" s="355"/>
      <c r="L293" s="832"/>
      <c r="M293" s="833"/>
      <c r="N293" s="833"/>
      <c r="O293" s="833"/>
      <c r="P293" s="834"/>
      <c r="Q293" s="357"/>
      <c r="R293" s="357"/>
      <c r="S293" s="559"/>
    </row>
    <row r="294" spans="1:19">
      <c r="A294" s="832">
        <v>7</v>
      </c>
      <c r="B294" s="253" t="s">
        <v>1288</v>
      </c>
      <c r="C294" s="263"/>
      <c r="D294" s="258"/>
      <c r="E294" s="258"/>
      <c r="F294" s="254">
        <f>P294/1000*15000</f>
        <v>1278900</v>
      </c>
      <c r="G294" s="255"/>
      <c r="H294" s="559"/>
      <c r="I294" s="414"/>
      <c r="J294" s="414"/>
      <c r="K294" s="414"/>
      <c r="L294" s="414" t="s">
        <v>19</v>
      </c>
      <c r="M294" s="414"/>
      <c r="N294" s="415">
        <f>SUM(N288:N293)</f>
        <v>6090</v>
      </c>
      <c r="O294" s="415">
        <f t="shared" ref="O294:R294" si="76">SUM(O288:O293)</f>
        <v>6090</v>
      </c>
      <c r="P294" s="415">
        <f t="shared" si="76"/>
        <v>85260</v>
      </c>
      <c r="Q294" s="415"/>
      <c r="R294" s="415">
        <f t="shared" si="76"/>
        <v>11936400</v>
      </c>
      <c r="S294" s="559"/>
    </row>
    <row r="295" spans="1:19">
      <c r="A295" s="832">
        <v>8</v>
      </c>
      <c r="B295" s="253" t="s">
        <v>1281</v>
      </c>
      <c r="C295" s="263"/>
      <c r="D295" s="258"/>
      <c r="E295" s="258"/>
      <c r="F295" s="254">
        <f>R318</f>
        <v>36170680</v>
      </c>
      <c r="G295" s="255"/>
      <c r="H295" s="559"/>
      <c r="L295" s="352" t="s">
        <v>845</v>
      </c>
      <c r="M295" s="902">
        <f>N294-O294</f>
        <v>0</v>
      </c>
      <c r="N295" s="902"/>
      <c r="O295" s="902"/>
      <c r="S295" s="559"/>
    </row>
    <row r="296" spans="1:19" ht="15" customHeight="1">
      <c r="A296" s="832">
        <v>9</v>
      </c>
      <c r="B296" s="253" t="s">
        <v>1289</v>
      </c>
      <c r="C296" s="263"/>
      <c r="D296" s="258"/>
      <c r="E296" s="258"/>
      <c r="F296" s="254">
        <f>P318/1000*15000</f>
        <v>3411525</v>
      </c>
      <c r="G296" s="255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832">
        <v>10</v>
      </c>
      <c r="B297" s="253" t="s">
        <v>1349</v>
      </c>
      <c r="C297" s="263"/>
      <c r="D297" s="258"/>
      <c r="E297" s="258"/>
      <c r="F297" s="254">
        <f>4060*13*51000</f>
        <v>2691780000</v>
      </c>
      <c r="G297" s="255"/>
      <c r="H297" s="559"/>
      <c r="J297" s="352" t="s">
        <v>1287</v>
      </c>
      <c r="K297" s="353"/>
      <c r="L297" s="354"/>
      <c r="M297" s="353"/>
      <c r="N297" s="353"/>
      <c r="O297" s="353"/>
      <c r="P297" s="353"/>
      <c r="Q297" s="353"/>
      <c r="R297" s="353"/>
      <c r="S297" s="559"/>
    </row>
    <row r="298" spans="1:19">
      <c r="A298" s="832">
        <v>11</v>
      </c>
      <c r="B298" s="253" t="s">
        <v>1350</v>
      </c>
      <c r="C298" s="263"/>
      <c r="D298" s="258"/>
      <c r="E298" s="258"/>
      <c r="F298" s="254">
        <f>4060*13*49000</f>
        <v>2586220000</v>
      </c>
      <c r="G298" s="255"/>
      <c r="H298" s="559"/>
      <c r="I298" s="849" t="s">
        <v>0</v>
      </c>
      <c r="J298" s="849" t="s">
        <v>30</v>
      </c>
      <c r="K298" s="849" t="s">
        <v>31</v>
      </c>
      <c r="L298" s="849" t="s">
        <v>103</v>
      </c>
      <c r="M298" s="904" t="s">
        <v>1324</v>
      </c>
      <c r="N298" s="853" t="s">
        <v>83</v>
      </c>
      <c r="O298" s="854"/>
      <c r="P298" s="850" t="s">
        <v>33</v>
      </c>
      <c r="Q298" s="852" t="s">
        <v>106</v>
      </c>
      <c r="R298" s="852" t="s">
        <v>9</v>
      </c>
      <c r="S298" s="559"/>
    </row>
    <row r="299" spans="1:19">
      <c r="A299" s="832">
        <v>12</v>
      </c>
      <c r="B299" s="253" t="s">
        <v>1351</v>
      </c>
      <c r="C299" s="263"/>
      <c r="D299" s="258"/>
      <c r="E299" s="258"/>
      <c r="F299" s="254">
        <f>6090*13*47500</f>
        <v>3760575000</v>
      </c>
      <c r="G299" s="255"/>
      <c r="H299" s="559"/>
      <c r="I299" s="849"/>
      <c r="J299" s="849"/>
      <c r="K299" s="849"/>
      <c r="L299" s="849"/>
      <c r="M299" s="905"/>
      <c r="N299" s="855"/>
      <c r="O299" s="856"/>
      <c r="P299" s="851"/>
      <c r="Q299" s="852"/>
      <c r="R299" s="852"/>
      <c r="S299" s="559"/>
    </row>
    <row r="300" spans="1:19">
      <c r="A300" s="832">
        <v>13</v>
      </c>
      <c r="B300" s="253" t="s">
        <v>1352</v>
      </c>
      <c r="C300" s="263"/>
      <c r="D300" s="258"/>
      <c r="E300" s="258"/>
      <c r="F300" s="254">
        <f>6090*13*47500</f>
        <v>3760575000</v>
      </c>
      <c r="G300" s="255"/>
      <c r="H300" s="559"/>
      <c r="I300" s="489">
        <v>1</v>
      </c>
      <c r="J300" s="355">
        <v>43211</v>
      </c>
      <c r="K300" s="355">
        <v>43222</v>
      </c>
      <c r="L300" s="832" t="s">
        <v>1312</v>
      </c>
      <c r="M300" s="833">
        <f t="shared" ref="M300:M317" si="77">IF(K300&lt;&gt;"",K300-J300+1,"")</f>
        <v>12</v>
      </c>
      <c r="N300" s="833">
        <v>2030</v>
      </c>
      <c r="O300" s="833">
        <f t="shared" ref="O300:O317" si="78">IF(K300&lt;&gt;"",N300,0)</f>
        <v>2030</v>
      </c>
      <c r="P300" s="834">
        <f t="shared" ref="P300:P317" si="79">N300*13</f>
        <v>26390</v>
      </c>
      <c r="Q300" s="357">
        <f>IF(OR(M300="",M300=1),0,20000)</f>
        <v>20000</v>
      </c>
      <c r="R300" s="357">
        <f t="shared" ref="R300:R317" si="80">IF(M300&lt;&gt;"",Q300*P300*M300/1000,"")</f>
        <v>6333600</v>
      </c>
      <c r="S300" s="559"/>
    </row>
    <row r="301" spans="1:19">
      <c r="A301" s="832">
        <v>14</v>
      </c>
      <c r="B301" s="253"/>
      <c r="C301" s="309"/>
      <c r="D301" s="255"/>
      <c r="E301" s="255"/>
      <c r="F301" s="254"/>
      <c r="G301" s="255"/>
      <c r="H301" s="559"/>
      <c r="I301" s="489">
        <v>2</v>
      </c>
      <c r="J301" s="355">
        <v>43213</v>
      </c>
      <c r="K301" s="355">
        <v>43223</v>
      </c>
      <c r="L301" s="832" t="s">
        <v>1332</v>
      </c>
      <c r="M301" s="833">
        <f t="shared" si="77"/>
        <v>11</v>
      </c>
      <c r="N301" s="833">
        <v>350</v>
      </c>
      <c r="O301" s="833">
        <f t="shared" si="78"/>
        <v>350</v>
      </c>
      <c r="P301" s="834">
        <f t="shared" si="79"/>
        <v>4550</v>
      </c>
      <c r="Q301" s="357">
        <f t="shared" ref="Q301:Q316" si="81">IF(OR(M301="",M301=1),0,20000)</f>
        <v>20000</v>
      </c>
      <c r="R301" s="357">
        <f t="shared" si="80"/>
        <v>1001000</v>
      </c>
      <c r="S301" s="559"/>
    </row>
    <row r="302" spans="1:19">
      <c r="A302" s="832">
        <v>15</v>
      </c>
      <c r="B302" s="253"/>
      <c r="C302" s="309"/>
      <c r="D302" s="255"/>
      <c r="E302" s="255"/>
      <c r="F302" s="254"/>
      <c r="G302" s="255"/>
      <c r="H302" s="559"/>
      <c r="I302" s="489">
        <v>3</v>
      </c>
      <c r="J302" s="355">
        <v>43213</v>
      </c>
      <c r="K302" s="355">
        <v>43225</v>
      </c>
      <c r="L302" s="832" t="s">
        <v>1313</v>
      </c>
      <c r="M302" s="833">
        <f t="shared" si="77"/>
        <v>13</v>
      </c>
      <c r="N302" s="833">
        <f>1120-N301</f>
        <v>770</v>
      </c>
      <c r="O302" s="833">
        <f t="shared" si="78"/>
        <v>770</v>
      </c>
      <c r="P302" s="834">
        <f t="shared" si="79"/>
        <v>10010</v>
      </c>
      <c r="Q302" s="357">
        <f t="shared" si="81"/>
        <v>20000</v>
      </c>
      <c r="R302" s="357">
        <f t="shared" si="80"/>
        <v>2602600</v>
      </c>
      <c r="S302" s="559"/>
    </row>
    <row r="303" spans="1:19">
      <c r="A303" s="832">
        <v>16</v>
      </c>
      <c r="B303" s="253"/>
      <c r="C303" s="310"/>
      <c r="D303" s="255"/>
      <c r="E303" s="255"/>
      <c r="F303" s="254"/>
      <c r="G303" s="255"/>
      <c r="H303" s="559"/>
      <c r="I303" s="489">
        <v>4</v>
      </c>
      <c r="J303" s="355">
        <v>43214</v>
      </c>
      <c r="K303" s="355">
        <v>43225</v>
      </c>
      <c r="L303" s="832" t="s">
        <v>1318</v>
      </c>
      <c r="M303" s="833">
        <f t="shared" si="77"/>
        <v>12</v>
      </c>
      <c r="N303" s="310">
        <v>846</v>
      </c>
      <c r="O303" s="836">
        <f t="shared" si="78"/>
        <v>846</v>
      </c>
      <c r="P303" s="834">
        <f t="shared" si="79"/>
        <v>10998</v>
      </c>
      <c r="Q303" s="357">
        <f t="shared" si="81"/>
        <v>20000</v>
      </c>
      <c r="R303" s="357">
        <f t="shared" si="80"/>
        <v>2639520</v>
      </c>
      <c r="S303" s="559"/>
    </row>
    <row r="304" spans="1:19" ht="15" customHeight="1">
      <c r="A304" s="832"/>
      <c r="B304" s="256"/>
      <c r="C304" s="310"/>
      <c r="D304" s="255"/>
      <c r="E304" s="255"/>
      <c r="F304" s="254"/>
      <c r="G304" s="255"/>
      <c r="H304" s="559"/>
      <c r="I304" s="489">
        <v>5</v>
      </c>
      <c r="J304" s="355">
        <v>43214</v>
      </c>
      <c r="K304" s="355">
        <v>43225</v>
      </c>
      <c r="L304" s="832" t="s">
        <v>1318</v>
      </c>
      <c r="M304" s="833">
        <f t="shared" si="77"/>
        <v>12</v>
      </c>
      <c r="N304" s="310">
        <f>910</f>
        <v>910</v>
      </c>
      <c r="O304" s="836">
        <f t="shared" si="78"/>
        <v>910</v>
      </c>
      <c r="P304" s="834">
        <f t="shared" si="79"/>
        <v>11830</v>
      </c>
      <c r="Q304" s="357">
        <f t="shared" si="81"/>
        <v>20000</v>
      </c>
      <c r="R304" s="357">
        <f t="shared" si="80"/>
        <v>2839200</v>
      </c>
      <c r="S304" s="559"/>
    </row>
    <row r="305" spans="1:21">
      <c r="A305" s="376"/>
      <c r="B305" s="376" t="s">
        <v>57</v>
      </c>
      <c r="C305" s="262">
        <f>SUM(C288:C304)</f>
        <v>422127</v>
      </c>
      <c r="D305" s="262"/>
      <c r="E305" s="261">
        <f>SUM(E288:E304)</f>
        <v>10306649666.200001</v>
      </c>
      <c r="F305" s="261">
        <f>SUM(F288:F304)</f>
        <v>13326961505</v>
      </c>
      <c r="G305" s="261">
        <f>SUM(G288:G304)</f>
        <v>0</v>
      </c>
      <c r="H305" s="559"/>
      <c r="I305" s="489">
        <v>6</v>
      </c>
      <c r="J305" s="355">
        <v>43217</v>
      </c>
      <c r="K305" s="355">
        <v>43225</v>
      </c>
      <c r="L305" s="832" t="s">
        <v>1334</v>
      </c>
      <c r="M305" s="833">
        <f t="shared" si="77"/>
        <v>9</v>
      </c>
      <c r="N305" s="310">
        <v>1534</v>
      </c>
      <c r="O305" s="836">
        <f t="shared" si="78"/>
        <v>1534</v>
      </c>
      <c r="P305" s="834">
        <f t="shared" si="79"/>
        <v>19942</v>
      </c>
      <c r="Q305" s="357">
        <f t="shared" si="81"/>
        <v>20000</v>
      </c>
      <c r="R305" s="357">
        <f t="shared" si="80"/>
        <v>3589560</v>
      </c>
      <c r="S305" s="559"/>
    </row>
    <row r="306" spans="1:21">
      <c r="A306" s="534"/>
      <c r="B306" s="534"/>
      <c r="C306" s="535"/>
      <c r="D306" s="536"/>
      <c r="E306" s="536"/>
      <c r="F306" s="534"/>
      <c r="G306" s="581"/>
      <c r="H306" s="559"/>
      <c r="I306" s="489">
        <v>7</v>
      </c>
      <c r="J306" s="355">
        <v>43217</v>
      </c>
      <c r="K306" s="355">
        <v>43227</v>
      </c>
      <c r="L306" s="832" t="s">
        <v>1334</v>
      </c>
      <c r="M306" s="833">
        <f t="shared" si="77"/>
        <v>11</v>
      </c>
      <c r="N306" s="310">
        <f>1640-N305</f>
        <v>106</v>
      </c>
      <c r="O306" s="836">
        <f t="shared" si="78"/>
        <v>106</v>
      </c>
      <c r="P306" s="834">
        <f t="shared" si="79"/>
        <v>1378</v>
      </c>
      <c r="Q306" s="357">
        <f t="shared" si="81"/>
        <v>20000</v>
      </c>
      <c r="R306" s="357">
        <f t="shared" si="80"/>
        <v>303160</v>
      </c>
      <c r="S306" s="559"/>
    </row>
    <row r="307" spans="1:21">
      <c r="A307" s="534"/>
      <c r="B307" s="534"/>
      <c r="C307" s="535"/>
      <c r="D307" s="536"/>
      <c r="E307" s="536"/>
      <c r="F307" s="534"/>
      <c r="G307" s="581"/>
      <c r="H307" s="559"/>
      <c r="I307" s="489">
        <v>8</v>
      </c>
      <c r="J307" s="355">
        <v>43217</v>
      </c>
      <c r="K307" s="355">
        <v>43227</v>
      </c>
      <c r="L307" s="832" t="s">
        <v>1335</v>
      </c>
      <c r="M307" s="833">
        <f t="shared" si="77"/>
        <v>11</v>
      </c>
      <c r="N307" s="310">
        <v>1200</v>
      </c>
      <c r="O307" s="836">
        <f t="shared" si="78"/>
        <v>1200</v>
      </c>
      <c r="P307" s="834">
        <f t="shared" si="79"/>
        <v>15600</v>
      </c>
      <c r="Q307" s="357">
        <f t="shared" si="81"/>
        <v>20000</v>
      </c>
      <c r="R307" s="357">
        <f t="shared" si="80"/>
        <v>3432000</v>
      </c>
      <c r="S307" s="559"/>
    </row>
    <row r="308" spans="1:21">
      <c r="A308" s="534"/>
      <c r="B308" s="534"/>
      <c r="C308" s="535"/>
      <c r="D308" s="536"/>
      <c r="E308" s="536"/>
      <c r="F308" s="534"/>
      <c r="G308" s="581"/>
      <c r="H308" s="559"/>
      <c r="I308" s="489">
        <v>9</v>
      </c>
      <c r="J308" s="355">
        <v>43218</v>
      </c>
      <c r="K308" s="355">
        <v>43227</v>
      </c>
      <c r="L308" s="832" t="s">
        <v>1336</v>
      </c>
      <c r="M308" s="833">
        <f t="shared" si="77"/>
        <v>10</v>
      </c>
      <c r="N308" s="310">
        <f>1200</f>
        <v>1200</v>
      </c>
      <c r="O308" s="836">
        <f t="shared" si="78"/>
        <v>1200</v>
      </c>
      <c r="P308" s="834">
        <f t="shared" ref="P308:P316" si="82">N308*13</f>
        <v>15600</v>
      </c>
      <c r="Q308" s="357">
        <f t="shared" si="81"/>
        <v>20000</v>
      </c>
      <c r="R308" s="357">
        <f t="shared" si="80"/>
        <v>3120000</v>
      </c>
      <c r="S308" s="559"/>
    </row>
    <row r="309" spans="1:21">
      <c r="A309" s="534"/>
      <c r="B309" s="534"/>
      <c r="C309" s="535"/>
      <c r="D309" s="536"/>
      <c r="E309" s="536"/>
      <c r="F309" s="534"/>
      <c r="G309" s="581"/>
      <c r="H309" s="559"/>
      <c r="I309" s="489">
        <v>10</v>
      </c>
      <c r="J309" s="355">
        <v>43218</v>
      </c>
      <c r="K309" s="355">
        <v>43227</v>
      </c>
      <c r="L309" s="832" t="s">
        <v>1337</v>
      </c>
      <c r="M309" s="833">
        <f t="shared" si="77"/>
        <v>10</v>
      </c>
      <c r="N309" s="310">
        <v>1100</v>
      </c>
      <c r="O309" s="836">
        <f t="shared" si="78"/>
        <v>1100</v>
      </c>
      <c r="P309" s="834">
        <f t="shared" si="82"/>
        <v>14300</v>
      </c>
      <c r="Q309" s="357">
        <f t="shared" si="81"/>
        <v>20000</v>
      </c>
      <c r="R309" s="357">
        <f t="shared" si="80"/>
        <v>2860000</v>
      </c>
      <c r="S309" s="559"/>
    </row>
    <row r="310" spans="1:21">
      <c r="A310" s="534"/>
      <c r="B310" s="534"/>
      <c r="C310" s="535"/>
      <c r="D310" s="536"/>
      <c r="E310" s="536"/>
      <c r="F310" s="534"/>
      <c r="G310" s="581"/>
      <c r="H310" s="559"/>
      <c r="I310" s="489">
        <v>11</v>
      </c>
      <c r="J310" s="355">
        <v>43222</v>
      </c>
      <c r="K310" s="355">
        <v>43227</v>
      </c>
      <c r="L310" s="832" t="s">
        <v>1336</v>
      </c>
      <c r="M310" s="833">
        <f t="shared" si="77"/>
        <v>6</v>
      </c>
      <c r="N310" s="310">
        <v>454</v>
      </c>
      <c r="O310" s="836">
        <f t="shared" si="78"/>
        <v>454</v>
      </c>
      <c r="P310" s="834">
        <f t="shared" si="82"/>
        <v>5902</v>
      </c>
      <c r="Q310" s="357">
        <f t="shared" si="81"/>
        <v>20000</v>
      </c>
      <c r="R310" s="357">
        <f t="shared" si="80"/>
        <v>708240</v>
      </c>
      <c r="S310" s="559"/>
    </row>
    <row r="311" spans="1:21">
      <c r="A311" s="534"/>
      <c r="B311" s="534"/>
      <c r="C311" s="535"/>
      <c r="D311" s="536"/>
      <c r="E311" s="536"/>
      <c r="F311" s="534"/>
      <c r="G311" s="581"/>
      <c r="H311" s="559"/>
      <c r="I311" s="489">
        <v>12</v>
      </c>
      <c r="J311" s="355">
        <v>43222</v>
      </c>
      <c r="K311" s="355"/>
      <c r="L311" s="832" t="s">
        <v>1338</v>
      </c>
      <c r="M311" s="833" t="str">
        <f t="shared" si="77"/>
        <v/>
      </c>
      <c r="N311" s="310">
        <f>1200-N310+143</f>
        <v>889</v>
      </c>
      <c r="O311" s="836">
        <f t="shared" si="78"/>
        <v>0</v>
      </c>
      <c r="P311" s="834">
        <f t="shared" si="82"/>
        <v>11557</v>
      </c>
      <c r="Q311" s="357">
        <f t="shared" si="81"/>
        <v>0</v>
      </c>
      <c r="R311" s="357" t="str">
        <f t="shared" si="80"/>
        <v/>
      </c>
      <c r="S311" s="559"/>
    </row>
    <row r="312" spans="1:21">
      <c r="A312" s="534"/>
      <c r="B312" s="534"/>
      <c r="C312" s="535"/>
      <c r="D312" s="536"/>
      <c r="E312" s="536"/>
      <c r="F312" s="534"/>
      <c r="G312" s="581"/>
      <c r="H312" s="559"/>
      <c r="I312" s="489">
        <v>13</v>
      </c>
      <c r="J312" s="355">
        <v>43222</v>
      </c>
      <c r="K312" s="355">
        <v>43232</v>
      </c>
      <c r="L312" s="832" t="s">
        <v>1338</v>
      </c>
      <c r="M312" s="833">
        <f t="shared" si="77"/>
        <v>11</v>
      </c>
      <c r="N312" s="310">
        <v>1250</v>
      </c>
      <c r="O312" s="836">
        <f t="shared" si="78"/>
        <v>1250</v>
      </c>
      <c r="P312" s="834">
        <f t="shared" si="82"/>
        <v>16250</v>
      </c>
      <c r="Q312" s="357">
        <f t="shared" si="81"/>
        <v>20000</v>
      </c>
      <c r="R312" s="357">
        <f t="shared" si="80"/>
        <v>3575000</v>
      </c>
      <c r="S312" s="559"/>
    </row>
    <row r="313" spans="1:21">
      <c r="A313" s="534"/>
      <c r="B313" s="534"/>
      <c r="C313" s="535"/>
      <c r="D313" s="536"/>
      <c r="E313" s="536"/>
      <c r="F313" s="534"/>
      <c r="G313" s="581"/>
      <c r="H313" s="559"/>
      <c r="I313" s="489">
        <v>14</v>
      </c>
      <c r="J313" s="355">
        <v>43183</v>
      </c>
      <c r="K313" s="355">
        <v>43232</v>
      </c>
      <c r="L313" s="832" t="s">
        <v>1333</v>
      </c>
      <c r="M313" s="833">
        <f t="shared" si="77"/>
        <v>50</v>
      </c>
      <c r="N313" s="833">
        <v>788</v>
      </c>
      <c r="O313" s="836">
        <f t="shared" si="78"/>
        <v>788</v>
      </c>
      <c r="P313" s="834">
        <f t="shared" si="82"/>
        <v>10244</v>
      </c>
      <c r="Q313" s="357">
        <f t="shared" si="81"/>
        <v>20000</v>
      </c>
      <c r="R313" s="357"/>
      <c r="S313" s="559"/>
      <c r="U313" s="563">
        <v>15059720</v>
      </c>
    </row>
    <row r="314" spans="1:21">
      <c r="A314" s="534"/>
      <c r="B314" s="534"/>
      <c r="C314" s="535"/>
      <c r="D314" s="536"/>
      <c r="E314" s="536"/>
      <c r="F314" s="534"/>
      <c r="G314" s="581"/>
      <c r="H314" s="559"/>
      <c r="I314" s="489">
        <v>15</v>
      </c>
      <c r="J314" s="355">
        <v>43226</v>
      </c>
      <c r="K314" s="355">
        <v>43231</v>
      </c>
      <c r="L314" s="832" t="s">
        <v>1339</v>
      </c>
      <c r="M314" s="833">
        <f t="shared" si="77"/>
        <v>6</v>
      </c>
      <c r="N314" s="833">
        <v>2030</v>
      </c>
      <c r="O314" s="836">
        <f t="shared" si="78"/>
        <v>2030</v>
      </c>
      <c r="P314" s="834">
        <f t="shared" si="82"/>
        <v>26390</v>
      </c>
      <c r="Q314" s="357">
        <f t="shared" si="81"/>
        <v>20000</v>
      </c>
      <c r="R314" s="357">
        <f t="shared" si="80"/>
        <v>3166800</v>
      </c>
      <c r="S314" s="559"/>
    </row>
    <row r="315" spans="1:21">
      <c r="A315" s="534"/>
      <c r="B315" s="534"/>
      <c r="C315" s="535"/>
      <c r="D315" s="536"/>
      <c r="E315" s="536"/>
      <c r="F315" s="534"/>
      <c r="G315" s="581"/>
      <c r="H315" s="559"/>
      <c r="I315" s="489">
        <v>16</v>
      </c>
      <c r="J315" s="355">
        <v>43231</v>
      </c>
      <c r="K315" s="355">
        <v>43231</v>
      </c>
      <c r="L315" s="832" t="s">
        <v>1334</v>
      </c>
      <c r="M315" s="833">
        <f t="shared" si="77"/>
        <v>1</v>
      </c>
      <c r="N315" s="833">
        <v>1660</v>
      </c>
      <c r="O315" s="836">
        <f t="shared" si="78"/>
        <v>1660</v>
      </c>
      <c r="P315" s="834">
        <f t="shared" si="82"/>
        <v>21580</v>
      </c>
      <c r="Q315" s="357">
        <f t="shared" si="81"/>
        <v>0</v>
      </c>
      <c r="R315" s="357">
        <f t="shared" si="80"/>
        <v>0</v>
      </c>
      <c r="S315" s="559"/>
    </row>
    <row r="316" spans="1:21">
      <c r="A316" s="534"/>
      <c r="B316" s="534" t="s">
        <v>929</v>
      </c>
      <c r="C316" s="535">
        <f>C305</f>
        <v>422127</v>
      </c>
      <c r="D316" s="536"/>
      <c r="E316" s="536"/>
      <c r="F316" s="901">
        <f>E305</f>
        <v>10306649666.200001</v>
      </c>
      <c r="G316" s="901"/>
      <c r="H316" s="559"/>
      <c r="I316" s="489">
        <v>17</v>
      </c>
      <c r="J316" s="355">
        <v>43183</v>
      </c>
      <c r="K316" s="355">
        <v>43231</v>
      </c>
      <c r="L316" s="832" t="s">
        <v>1333</v>
      </c>
      <c r="M316" s="833">
        <f t="shared" si="77"/>
        <v>49</v>
      </c>
      <c r="N316" s="833">
        <v>378</v>
      </c>
      <c r="O316" s="836">
        <f t="shared" si="78"/>
        <v>378</v>
      </c>
      <c r="P316" s="834">
        <f t="shared" si="82"/>
        <v>4914</v>
      </c>
      <c r="Q316" s="357">
        <f t="shared" si="81"/>
        <v>20000</v>
      </c>
      <c r="R316" s="357"/>
      <c r="S316" s="559"/>
    </row>
    <row r="317" spans="1:21">
      <c r="A317" s="534"/>
      <c r="B317" s="534"/>
      <c r="C317" s="535"/>
      <c r="D317" s="536"/>
      <c r="E317" s="536"/>
      <c r="F317" s="534"/>
      <c r="G317" s="581"/>
      <c r="H317" s="559"/>
      <c r="I317" s="489"/>
      <c r="J317" s="355"/>
      <c r="K317" s="355"/>
      <c r="L317" s="832"/>
      <c r="M317" s="833" t="str">
        <f t="shared" si="77"/>
        <v/>
      </c>
      <c r="N317" s="833"/>
      <c r="O317" s="836">
        <f t="shared" si="78"/>
        <v>0</v>
      </c>
      <c r="P317" s="834">
        <f t="shared" si="79"/>
        <v>0</v>
      </c>
      <c r="Q317" s="357">
        <f t="shared" ref="Q317" si="83">IF(OR(M317="",M317=1),0,20000)</f>
        <v>0</v>
      </c>
      <c r="R317" s="357" t="str">
        <f t="shared" si="80"/>
        <v/>
      </c>
      <c r="S317" s="559"/>
    </row>
    <row r="318" spans="1:21">
      <c r="A318" s="583"/>
      <c r="B318" s="583" t="s">
        <v>1190</v>
      </c>
      <c r="C318" s="583"/>
      <c r="D318" s="583"/>
      <c r="E318" s="583"/>
      <c r="F318" s="901">
        <f>F305</f>
        <v>13326961505</v>
      </c>
      <c r="G318" s="901"/>
      <c r="H318" s="559"/>
      <c r="I318" s="414"/>
      <c r="J318" s="414"/>
      <c r="K318" s="414"/>
      <c r="L318" s="414" t="s">
        <v>19</v>
      </c>
      <c r="M318" s="414"/>
      <c r="N318" s="415">
        <f>SUM(N300:N317)</f>
        <v>17495</v>
      </c>
      <c r="O318" s="415">
        <f>SUM(O300:O317)</f>
        <v>16606</v>
      </c>
      <c r="P318" s="415">
        <f>SUM(P300:P317)</f>
        <v>227435</v>
      </c>
      <c r="Q318" s="415"/>
      <c r="R318" s="415">
        <f>SUM(R300:R317)</f>
        <v>36170680</v>
      </c>
      <c r="S318" s="559"/>
    </row>
    <row r="319" spans="1:21">
      <c r="A319" s="583"/>
      <c r="B319" s="583"/>
      <c r="C319" s="583"/>
      <c r="D319" s="583"/>
      <c r="E319" s="583"/>
      <c r="F319" s="583"/>
      <c r="G319" s="583"/>
      <c r="H319" s="559"/>
      <c r="L319" s="352" t="s">
        <v>845</v>
      </c>
      <c r="M319" s="902">
        <f>N318-O318</f>
        <v>889</v>
      </c>
      <c r="N319" s="902"/>
      <c r="O319" s="902"/>
      <c r="S319" s="559"/>
    </row>
    <row r="320" spans="1:21">
      <c r="A320" s="583"/>
      <c r="B320" s="583" t="s">
        <v>960</v>
      </c>
      <c r="C320" s="583"/>
      <c r="D320" s="583"/>
      <c r="E320" s="583"/>
      <c r="F320" s="901">
        <f>G305</f>
        <v>0</v>
      </c>
      <c r="G320" s="901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60"/>
      <c r="B321" s="560"/>
      <c r="C321" s="560"/>
      <c r="D321" s="560"/>
      <c r="E321" s="560"/>
      <c r="F321" s="903"/>
      <c r="G321" s="903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60"/>
      <c r="B322" s="560"/>
      <c r="C322" s="560"/>
      <c r="D322" s="560"/>
      <c r="E322" s="560"/>
      <c r="F322" s="901"/>
      <c r="G322" s="901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60" t="s">
        <v>1209</v>
      </c>
      <c r="C323" s="559"/>
      <c r="D323" s="559"/>
      <c r="E323" s="559"/>
      <c r="F323" s="901">
        <f>F316-F318-F320</f>
        <v>-3020311838.7999992</v>
      </c>
      <c r="G323" s="901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60"/>
      <c r="B326" s="560" t="s">
        <v>1204</v>
      </c>
      <c r="C326" s="741">
        <f>'HUNAM - 2017'!N94</f>
        <v>316680.00000000012</v>
      </c>
      <c r="D326" s="560" t="s">
        <v>1205</v>
      </c>
      <c r="E326" s="560"/>
      <c r="F326" s="560"/>
      <c r="G326" s="560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S394" s="559"/>
    </row>
    <row r="395" spans="1:19">
      <c r="A395" s="559"/>
      <c r="B395" s="559"/>
      <c r="C395" s="559"/>
      <c r="D395" s="559"/>
      <c r="E395" s="559"/>
      <c r="F395" s="559"/>
      <c r="G395" s="559"/>
      <c r="H395" s="559"/>
      <c r="S395" s="559"/>
    </row>
    <row r="396" spans="1:19">
      <c r="A396" s="559"/>
      <c r="B396" s="559"/>
      <c r="C396" s="559"/>
      <c r="D396" s="559"/>
      <c r="E396" s="559"/>
      <c r="F396" s="559"/>
      <c r="G396" s="559"/>
      <c r="H396" s="559"/>
      <c r="S396" s="559"/>
    </row>
    <row r="397" spans="1:19">
      <c r="A397" s="559"/>
      <c r="B397" s="559"/>
      <c r="C397" s="559"/>
      <c r="D397" s="559"/>
      <c r="E397" s="559"/>
      <c r="F397" s="559"/>
      <c r="G397" s="559"/>
      <c r="H397" s="559"/>
      <c r="S397" s="559"/>
    </row>
    <row r="398" spans="1:19">
      <c r="A398" s="559"/>
      <c r="B398" s="559"/>
      <c r="C398" s="559"/>
      <c r="D398" s="559"/>
      <c r="E398" s="559"/>
      <c r="F398" s="559"/>
      <c r="G398" s="559"/>
      <c r="H398" s="559"/>
      <c r="S398" s="559"/>
    </row>
    <row r="399" spans="1:19">
      <c r="A399" s="559"/>
      <c r="B399" s="559"/>
      <c r="C399" s="559"/>
      <c r="D399" s="559"/>
      <c r="E399" s="559"/>
      <c r="F399" s="559"/>
      <c r="G399" s="559"/>
      <c r="H399" s="559"/>
      <c r="S399" s="559"/>
    </row>
    <row r="400" spans="1:19">
      <c r="A400" s="559"/>
      <c r="B400" s="559"/>
      <c r="C400" s="559"/>
      <c r="D400" s="559"/>
      <c r="E400" s="559"/>
      <c r="F400" s="559"/>
      <c r="G400" s="559"/>
      <c r="H400" s="559"/>
      <c r="S400" s="559"/>
    </row>
    <row r="401" spans="1:19">
      <c r="A401" s="559"/>
      <c r="B401" s="559"/>
      <c r="C401" s="559"/>
      <c r="D401" s="559"/>
      <c r="E401" s="559"/>
      <c r="F401" s="559"/>
      <c r="G401" s="559"/>
      <c r="H401" s="559"/>
      <c r="S401" s="559"/>
    </row>
    <row r="402" spans="1:19">
      <c r="A402" s="559"/>
      <c r="B402" s="559"/>
      <c r="C402" s="559"/>
      <c r="D402" s="559"/>
      <c r="E402" s="559"/>
      <c r="F402" s="559"/>
      <c r="G402" s="559"/>
      <c r="H402" s="559"/>
      <c r="S402" s="559"/>
    </row>
    <row r="403" spans="1:19">
      <c r="A403" s="559"/>
      <c r="B403" s="559"/>
      <c r="C403" s="559"/>
      <c r="D403" s="559"/>
      <c r="E403" s="559"/>
      <c r="F403" s="559"/>
      <c r="G403" s="559"/>
      <c r="H403" s="559"/>
      <c r="S403" s="559"/>
    </row>
    <row r="404" spans="1:19">
      <c r="A404" s="559"/>
      <c r="B404" s="559"/>
      <c r="C404" s="559"/>
      <c r="D404" s="559"/>
      <c r="E404" s="559"/>
      <c r="F404" s="559"/>
      <c r="H404" s="559"/>
      <c r="S404" s="559"/>
    </row>
    <row r="405" spans="1:19">
      <c r="H405" s="559"/>
      <c r="S405" s="559"/>
    </row>
    <row r="406" spans="1:19">
      <c r="H406" s="559"/>
      <c r="S406" s="559"/>
    </row>
    <row r="407" spans="1:19">
      <c r="H407" s="559"/>
      <c r="S407" s="559"/>
    </row>
    <row r="408" spans="1:19">
      <c r="H408" s="559"/>
      <c r="S408" s="559"/>
    </row>
    <row r="409" spans="1:19">
      <c r="H409" s="559"/>
      <c r="S409" s="559"/>
    </row>
    <row r="410" spans="1:19">
      <c r="H410" s="559"/>
      <c r="S410" s="559"/>
    </row>
    <row r="411" spans="1:19">
      <c r="H411" s="559"/>
      <c r="S411" s="559"/>
    </row>
    <row r="412" spans="1:19">
      <c r="H412" s="559"/>
      <c r="S412" s="559"/>
    </row>
    <row r="413" spans="1:19">
      <c r="H413" s="559"/>
      <c r="S413" s="559"/>
    </row>
    <row r="414" spans="1:19">
      <c r="H414" s="559"/>
      <c r="S414" s="559"/>
    </row>
    <row r="415" spans="1:19">
      <c r="H415" s="559"/>
      <c r="S415" s="559"/>
    </row>
    <row r="416" spans="1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S425" s="559"/>
    </row>
    <row r="426" spans="8:19">
      <c r="S426" s="559"/>
    </row>
    <row r="427" spans="8:19">
      <c r="S427" s="559"/>
    </row>
    <row r="428" spans="8:19">
      <c r="S428" s="559"/>
    </row>
    <row r="429" spans="8:19">
      <c r="S429" s="559"/>
    </row>
    <row r="430" spans="8:19">
      <c r="S430" s="559"/>
    </row>
    <row r="431" spans="8:19">
      <c r="S431" s="559"/>
    </row>
    <row r="432" spans="8:19">
      <c r="S432" s="559"/>
    </row>
    <row r="433" spans="19:19">
      <c r="S433" s="559"/>
    </row>
    <row r="434" spans="19:19">
      <c r="S434" s="559"/>
    </row>
    <row r="435" spans="19:19">
      <c r="S435" s="559"/>
    </row>
    <row r="436" spans="19:19">
      <c r="S436" s="559"/>
    </row>
    <row r="437" spans="19:19">
      <c r="S437" s="559"/>
    </row>
    <row r="438" spans="19:19">
      <c r="S438" s="559"/>
    </row>
    <row r="439" spans="19:19">
      <c r="S439" s="559"/>
    </row>
    <row r="440" spans="19:19">
      <c r="S440" s="559"/>
    </row>
    <row r="441" spans="19:19">
      <c r="S441" s="559"/>
    </row>
  </sheetData>
  <mergeCells count="237">
    <mergeCell ref="R261:R262"/>
    <mergeCell ref="M275:O275"/>
    <mergeCell ref="I261:I262"/>
    <mergeCell ref="J261:J262"/>
    <mergeCell ref="K261:K262"/>
    <mergeCell ref="L261:L262"/>
    <mergeCell ref="M261:M262"/>
    <mergeCell ref="N261:O262"/>
    <mergeCell ref="P261:P262"/>
    <mergeCell ref="Q261:Q262"/>
    <mergeCell ref="I250:I251"/>
    <mergeCell ref="J250:J251"/>
    <mergeCell ref="K250:K251"/>
    <mergeCell ref="L250:L251"/>
    <mergeCell ref="M250:M251"/>
    <mergeCell ref="N250:O251"/>
    <mergeCell ref="P250:P251"/>
    <mergeCell ref="Q250:Q251"/>
    <mergeCell ref="M258:O258"/>
    <mergeCell ref="R250:R251"/>
    <mergeCell ref="F195:G195"/>
    <mergeCell ref="F196:G196"/>
    <mergeCell ref="F197:G197"/>
    <mergeCell ref="F198:G198"/>
    <mergeCell ref="A171:A172"/>
    <mergeCell ref="B171:B172"/>
    <mergeCell ref="C171:C172"/>
    <mergeCell ref="D171:D172"/>
    <mergeCell ref="E171:E172"/>
    <mergeCell ref="F171:F172"/>
    <mergeCell ref="G171:G172"/>
    <mergeCell ref="F191:G191"/>
    <mergeCell ref="F193:G193"/>
    <mergeCell ref="F239:G239"/>
    <mergeCell ref="F240:G240"/>
    <mergeCell ref="F241:G241"/>
    <mergeCell ref="F242:G242"/>
    <mergeCell ref="A205:A206"/>
    <mergeCell ref="B205:B206"/>
    <mergeCell ref="C205:C206"/>
    <mergeCell ref="D205:D206"/>
    <mergeCell ref="E205:E206"/>
    <mergeCell ref="F205:F206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20:G120"/>
    <mergeCell ref="F121:G121"/>
    <mergeCell ref="F106:F107"/>
    <mergeCell ref="G106:G107"/>
    <mergeCell ref="F115:G115"/>
    <mergeCell ref="F117:G117"/>
    <mergeCell ref="F119:G119"/>
    <mergeCell ref="A106:A107"/>
    <mergeCell ref="B106:B107"/>
    <mergeCell ref="C106:C107"/>
    <mergeCell ref="D106:D107"/>
    <mergeCell ref="E106:E107"/>
    <mergeCell ref="F148:G148"/>
    <mergeCell ref="F149:G149"/>
    <mergeCell ref="F150:G150"/>
    <mergeCell ref="F123:F124"/>
    <mergeCell ref="G123:G124"/>
    <mergeCell ref="F143:G143"/>
    <mergeCell ref="F145:G145"/>
    <mergeCell ref="F147:G147"/>
    <mergeCell ref="A123:A124"/>
    <mergeCell ref="B123:B124"/>
    <mergeCell ref="C123:C124"/>
    <mergeCell ref="D123:D124"/>
    <mergeCell ref="E123:E124"/>
    <mergeCell ref="F166:G166"/>
    <mergeCell ref="F167:G167"/>
    <mergeCell ref="F168:G168"/>
    <mergeCell ref="F169:G169"/>
    <mergeCell ref="A152:A153"/>
    <mergeCell ref="B152:B153"/>
    <mergeCell ref="C152:C153"/>
    <mergeCell ref="D152:D153"/>
    <mergeCell ref="E152:E153"/>
    <mergeCell ref="F152:F153"/>
    <mergeCell ref="G152:G153"/>
    <mergeCell ref="F162:G162"/>
    <mergeCell ref="F164:G164"/>
    <mergeCell ref="G205:G206"/>
    <mergeCell ref="F235:G235"/>
    <mergeCell ref="F237:G237"/>
    <mergeCell ref="I205:I206"/>
    <mergeCell ref="J205:J206"/>
    <mergeCell ref="K205:K206"/>
    <mergeCell ref="L205:L206"/>
    <mergeCell ref="M205:M206"/>
    <mergeCell ref="N205:O206"/>
    <mergeCell ref="P205:P206"/>
    <mergeCell ref="Q205:Q206"/>
    <mergeCell ref="R205:R206"/>
    <mergeCell ref="R219:R220"/>
    <mergeCell ref="M237:O237"/>
    <mergeCell ref="M215:O215"/>
    <mergeCell ref="I219:I220"/>
    <mergeCell ref="J219:J220"/>
    <mergeCell ref="K219:K220"/>
    <mergeCell ref="L219:L220"/>
    <mergeCell ref="M219:M220"/>
    <mergeCell ref="N219:O220"/>
    <mergeCell ref="P219:P220"/>
    <mergeCell ref="Q219:Q220"/>
    <mergeCell ref="F277:G277"/>
    <mergeCell ref="F278:G278"/>
    <mergeCell ref="F279:G279"/>
    <mergeCell ref="F280:G280"/>
    <mergeCell ref="A250:A251"/>
    <mergeCell ref="B250:B251"/>
    <mergeCell ref="C250:C251"/>
    <mergeCell ref="D250:D251"/>
    <mergeCell ref="E250:E251"/>
    <mergeCell ref="F250:F251"/>
    <mergeCell ref="G250:G251"/>
    <mergeCell ref="F273:G273"/>
    <mergeCell ref="F275:G275"/>
    <mergeCell ref="A286:A287"/>
    <mergeCell ref="B286:B287"/>
    <mergeCell ref="C286:C287"/>
    <mergeCell ref="D286:D287"/>
    <mergeCell ref="E286:E287"/>
    <mergeCell ref="F286:F287"/>
    <mergeCell ref="G286:G287"/>
    <mergeCell ref="I286:I287"/>
    <mergeCell ref="J286:J287"/>
    <mergeCell ref="P286:P287"/>
    <mergeCell ref="Q286:Q287"/>
    <mergeCell ref="R286:R287"/>
    <mergeCell ref="M295:O295"/>
    <mergeCell ref="I298:I299"/>
    <mergeCell ref="J298:J299"/>
    <mergeCell ref="K298:K299"/>
    <mergeCell ref="L298:L299"/>
    <mergeCell ref="M298:M299"/>
    <mergeCell ref="N298:O299"/>
    <mergeCell ref="P298:P299"/>
    <mergeCell ref="Q298:Q299"/>
    <mergeCell ref="R298:R299"/>
    <mergeCell ref="F316:G316"/>
    <mergeCell ref="F318:G318"/>
    <mergeCell ref="M319:O319"/>
    <mergeCell ref="F320:G320"/>
    <mergeCell ref="F321:G321"/>
    <mergeCell ref="F322:G322"/>
    <mergeCell ref="F323:G323"/>
    <mergeCell ref="K286:K287"/>
    <mergeCell ref="L286:L287"/>
    <mergeCell ref="M286:M287"/>
    <mergeCell ref="N286:O287"/>
  </mergeCells>
  <pageMargins left="0.16" right="0.16" top="0.27" bottom="0.16" header="0.16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894" t="s">
        <v>428</v>
      </c>
      <c r="B17" s="894" t="s">
        <v>434</v>
      </c>
      <c r="C17" s="897" t="s">
        <v>2</v>
      </c>
      <c r="D17" s="897"/>
      <c r="E17" s="897"/>
      <c r="F17" s="897" t="s">
        <v>435</v>
      </c>
      <c r="G17" s="897"/>
      <c r="H17" s="897"/>
      <c r="I17" s="897"/>
      <c r="J17" s="894" t="s">
        <v>439</v>
      </c>
      <c r="K17" s="897"/>
      <c r="L17" s="897"/>
      <c r="M17" s="897"/>
      <c r="N17" s="897"/>
      <c r="O17" s="897"/>
      <c r="P17" s="897"/>
      <c r="Q17" s="894" t="s">
        <v>444</v>
      </c>
      <c r="R17" s="894"/>
      <c r="S17" s="894"/>
      <c r="T17" s="894" t="s">
        <v>449</v>
      </c>
      <c r="U17" s="894" t="s">
        <v>448</v>
      </c>
    </row>
    <row r="18" spans="1:21" s="279" customFormat="1" ht="48.75" customHeight="1">
      <c r="A18" s="894"/>
      <c r="B18" s="894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894"/>
      <c r="U18" s="894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873">
        <f>H19+H20</f>
        <v>148200</v>
      </c>
      <c r="J19" s="870">
        <v>42627</v>
      </c>
      <c r="K19" s="873">
        <f>I19-L19</f>
        <v>12</v>
      </c>
      <c r="L19" s="873">
        <v>148188</v>
      </c>
      <c r="M19" s="874">
        <v>22260</v>
      </c>
      <c r="N19" s="874">
        <f>L19*M19</f>
        <v>3298664880</v>
      </c>
      <c r="O19" s="874">
        <f>2780756/2</f>
        <v>1390378</v>
      </c>
      <c r="P19" s="874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874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873"/>
      <c r="J20" s="870"/>
      <c r="K20" s="873"/>
      <c r="L20" s="873"/>
      <c r="M20" s="874"/>
      <c r="N20" s="874"/>
      <c r="O20" s="874"/>
      <c r="P20" s="874"/>
      <c r="Q20" s="253" t="s">
        <v>55</v>
      </c>
      <c r="R20" s="242">
        <f t="shared" ref="R20:R21" si="1">S20*0.03%</f>
        <v>426587.39999999997</v>
      </c>
      <c r="S20" s="242">
        <v>1421958000</v>
      </c>
      <c r="T20" s="874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920"/>
      <c r="J21" s="921"/>
      <c r="K21" s="920"/>
      <c r="L21" s="920"/>
      <c r="M21" s="918"/>
      <c r="N21" s="918"/>
      <c r="O21" s="918"/>
      <c r="P21" s="918"/>
      <c r="Q21" s="253" t="s">
        <v>56</v>
      </c>
      <c r="R21" s="242">
        <f t="shared" si="1"/>
        <v>77210.117399999988</v>
      </c>
      <c r="S21" s="242">
        <v>257367058</v>
      </c>
      <c r="T21" s="918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873">
        <f>H22+H23</f>
        <v>148200</v>
      </c>
      <c r="J22" s="921">
        <v>42633</v>
      </c>
      <c r="K22" s="920">
        <f t="shared" ref="K22" si="3">I22-L22</f>
        <v>12</v>
      </c>
      <c r="L22" s="920">
        <v>148188</v>
      </c>
      <c r="M22" s="918">
        <v>22270</v>
      </c>
      <c r="N22" s="918">
        <f>L22*M22</f>
        <v>3300146760</v>
      </c>
      <c r="O22" s="918">
        <f>2780756/2</f>
        <v>1390378</v>
      </c>
      <c r="P22" s="874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918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920"/>
      <c r="J23" s="921"/>
      <c r="K23" s="920"/>
      <c r="L23" s="920"/>
      <c r="M23" s="918"/>
      <c r="N23" s="918"/>
      <c r="O23" s="918"/>
      <c r="P23" s="918"/>
      <c r="Q23" s="253" t="s">
        <v>395</v>
      </c>
      <c r="R23" s="254">
        <v>531976</v>
      </c>
      <c r="S23" s="255">
        <v>1791165000</v>
      </c>
      <c r="T23" s="918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873">
        <f>H24+H25</f>
        <v>145600</v>
      </c>
      <c r="J24" s="921">
        <v>42685</v>
      </c>
      <c r="K24" s="920">
        <f t="shared" ref="K24" si="5">I24-L24</f>
        <v>12</v>
      </c>
      <c r="L24" s="920">
        <v>145588</v>
      </c>
      <c r="M24" s="918">
        <v>22285</v>
      </c>
      <c r="N24" s="918">
        <f t="shared" ref="N24" si="6">L24*M24</f>
        <v>3244428580</v>
      </c>
      <c r="O24" s="918">
        <v>1791144</v>
      </c>
      <c r="P24" s="874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918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920"/>
      <c r="J25" s="921"/>
      <c r="K25" s="920"/>
      <c r="L25" s="920"/>
      <c r="M25" s="918"/>
      <c r="N25" s="918"/>
      <c r="O25" s="918"/>
      <c r="P25" s="918"/>
      <c r="Q25" s="253" t="s">
        <v>56</v>
      </c>
      <c r="R25" s="254">
        <v>176854.25586180002</v>
      </c>
      <c r="S25" s="255">
        <v>535745133.20413822</v>
      </c>
      <c r="T25" s="918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871">
        <f>H28+H27</f>
        <v>145600</v>
      </c>
      <c r="J26" s="868">
        <v>42689</v>
      </c>
      <c r="K26" s="871">
        <f t="shared" ref="K26" si="9">I26-L26</f>
        <v>12</v>
      </c>
      <c r="L26" s="871">
        <v>145588</v>
      </c>
      <c r="M26" s="864">
        <v>22290</v>
      </c>
      <c r="N26" s="864">
        <f t="shared" ref="N26" si="10">L26*M26</f>
        <v>3245156520</v>
      </c>
      <c r="O26" s="864">
        <v>1791144</v>
      </c>
      <c r="P26" s="864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872"/>
      <c r="J27" s="869"/>
      <c r="K27" s="872"/>
      <c r="L27" s="872"/>
      <c r="M27" s="865"/>
      <c r="N27" s="865"/>
      <c r="O27" s="865"/>
      <c r="P27" s="865"/>
      <c r="Q27" s="253" t="s">
        <v>131</v>
      </c>
      <c r="R27" s="254">
        <v>480480</v>
      </c>
      <c r="S27" s="255">
        <v>1456000000</v>
      </c>
      <c r="T27" s="864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873"/>
      <c r="J28" s="870"/>
      <c r="K28" s="873"/>
      <c r="L28" s="873"/>
      <c r="M28" s="874"/>
      <c r="N28" s="874"/>
      <c r="O28" s="874"/>
      <c r="P28" s="874"/>
      <c r="Q28" s="253" t="s">
        <v>56</v>
      </c>
      <c r="R28" s="254">
        <v>231033</v>
      </c>
      <c r="S28" s="255">
        <v>699867789</v>
      </c>
      <c r="T28" s="865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871">
        <f>SUM(H29:H32)</f>
        <v>291200</v>
      </c>
      <c r="J29" s="868">
        <v>42696</v>
      </c>
      <c r="K29" s="871">
        <f>I29-L29</f>
        <v>12</v>
      </c>
      <c r="L29" s="871">
        <v>291188</v>
      </c>
      <c r="M29" s="864">
        <v>22480</v>
      </c>
      <c r="N29" s="864">
        <f>L29*M29</f>
        <v>6545906240</v>
      </c>
      <c r="O29" s="864">
        <v>3582288</v>
      </c>
      <c r="P29" s="864">
        <f>N29-O29</f>
        <v>6542323952</v>
      </c>
      <c r="Q29" s="253" t="s">
        <v>142</v>
      </c>
      <c r="R29" s="254">
        <v>1450020</v>
      </c>
      <c r="S29" s="255">
        <v>4394000000</v>
      </c>
      <c r="T29" s="865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872"/>
      <c r="J30" s="869"/>
      <c r="K30" s="872"/>
      <c r="L30" s="872"/>
      <c r="M30" s="865"/>
      <c r="N30" s="865"/>
      <c r="O30" s="865"/>
      <c r="P30" s="865"/>
      <c r="Q30" s="253" t="s">
        <v>149</v>
      </c>
      <c r="R30" s="254">
        <v>133243</v>
      </c>
      <c r="S30" s="255">
        <v>403767000</v>
      </c>
      <c r="T30" s="865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872"/>
      <c r="J31" s="869"/>
      <c r="K31" s="872"/>
      <c r="L31" s="872"/>
      <c r="M31" s="865"/>
      <c r="N31" s="865"/>
      <c r="O31" s="865"/>
      <c r="P31" s="865"/>
      <c r="Q31" s="253" t="s">
        <v>150</v>
      </c>
      <c r="R31" s="254">
        <v>142501</v>
      </c>
      <c r="S31" s="255">
        <v>431821000</v>
      </c>
      <c r="T31" s="865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873"/>
      <c r="J32" s="870"/>
      <c r="K32" s="873"/>
      <c r="L32" s="873"/>
      <c r="M32" s="874"/>
      <c r="N32" s="874"/>
      <c r="O32" s="874"/>
      <c r="P32" s="874"/>
      <c r="Q32" s="253" t="s">
        <v>56</v>
      </c>
      <c r="R32" s="254">
        <v>298421</v>
      </c>
      <c r="S32" s="255">
        <v>904008247</v>
      </c>
      <c r="T32" s="874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871">
        <f>H33+H34</f>
        <v>145600</v>
      </c>
      <c r="J33" s="868">
        <v>42699</v>
      </c>
      <c r="K33" s="871">
        <f>I33-L33</f>
        <v>12</v>
      </c>
      <c r="L33" s="871">
        <v>145588</v>
      </c>
      <c r="M33" s="864">
        <v>22660</v>
      </c>
      <c r="N33" s="864">
        <f t="shared" ref="N33:N37" si="15">L33*M33</f>
        <v>3299024080</v>
      </c>
      <c r="O33" s="864">
        <v>1819968</v>
      </c>
      <c r="P33" s="864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918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872"/>
      <c r="J34" s="869"/>
      <c r="K34" s="872"/>
      <c r="L34" s="872"/>
      <c r="M34" s="865"/>
      <c r="N34" s="865"/>
      <c r="O34" s="865"/>
      <c r="P34" s="865"/>
      <c r="Q34" s="256" t="s">
        <v>153</v>
      </c>
      <c r="R34" s="254">
        <v>178679</v>
      </c>
      <c r="S34" s="255">
        <v>541450000</v>
      </c>
      <c r="T34" s="918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872"/>
      <c r="J35" s="869"/>
      <c r="K35" s="872"/>
      <c r="L35" s="872"/>
      <c r="M35" s="865"/>
      <c r="N35" s="865"/>
      <c r="O35" s="865"/>
      <c r="P35" s="865"/>
      <c r="Q35" s="253" t="s">
        <v>55</v>
      </c>
      <c r="R35" s="254">
        <v>351889</v>
      </c>
      <c r="S35" s="255">
        <v>1066331000</v>
      </c>
      <c r="T35" s="918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873"/>
      <c r="J36" s="870"/>
      <c r="K36" s="873"/>
      <c r="L36" s="873"/>
      <c r="M36" s="874"/>
      <c r="N36" s="874"/>
      <c r="O36" s="874"/>
      <c r="P36" s="874"/>
      <c r="Q36" s="253" t="s">
        <v>56</v>
      </c>
      <c r="R36" s="254">
        <v>81592</v>
      </c>
      <c r="S36" s="255">
        <v>247168367</v>
      </c>
      <c r="T36" s="918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873">
        <f>H37+H38</f>
        <v>145600</v>
      </c>
      <c r="J37" s="870">
        <v>42703</v>
      </c>
      <c r="K37" s="920">
        <f>I37-L37</f>
        <v>12</v>
      </c>
      <c r="L37" s="920">
        <v>145588</v>
      </c>
      <c r="M37" s="864">
        <v>22620</v>
      </c>
      <c r="N37" s="918">
        <f t="shared" si="15"/>
        <v>3293200560</v>
      </c>
      <c r="O37" s="918">
        <v>1825573</v>
      </c>
      <c r="P37" s="874">
        <f t="shared" si="16"/>
        <v>3291374987</v>
      </c>
      <c r="Q37" s="256" t="s">
        <v>152</v>
      </c>
      <c r="R37" s="254">
        <v>497640</v>
      </c>
      <c r="S37" s="255">
        <v>1508000000</v>
      </c>
      <c r="T37" s="918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920"/>
      <c r="J38" s="921"/>
      <c r="K38" s="920"/>
      <c r="L38" s="920"/>
      <c r="M38" s="874"/>
      <c r="N38" s="918"/>
      <c r="O38" s="918"/>
      <c r="P38" s="918"/>
      <c r="Q38" s="253" t="s">
        <v>142</v>
      </c>
      <c r="R38" s="254">
        <v>552453</v>
      </c>
      <c r="S38" s="255">
        <v>1674100000</v>
      </c>
      <c r="T38" s="918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871">
        <f>SUM(H39:H42)</f>
        <v>291200</v>
      </c>
      <c r="J39" s="868">
        <v>42711</v>
      </c>
      <c r="K39" s="871">
        <f>I39-L39</f>
        <v>12</v>
      </c>
      <c r="L39" s="871">
        <v>291188</v>
      </c>
      <c r="M39" s="864">
        <v>22650</v>
      </c>
      <c r="N39" s="864">
        <f>L39*M39</f>
        <v>6595408200</v>
      </c>
      <c r="O39" s="864">
        <v>3651146</v>
      </c>
      <c r="P39" s="864">
        <f>N39-O39</f>
        <v>6591757054</v>
      </c>
      <c r="Q39" s="253" t="s">
        <v>142</v>
      </c>
      <c r="R39" s="254">
        <v>963198</v>
      </c>
      <c r="S39" s="255">
        <v>2918780500</v>
      </c>
      <c r="T39" s="918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872"/>
      <c r="J40" s="869"/>
      <c r="K40" s="872"/>
      <c r="L40" s="872"/>
      <c r="M40" s="865"/>
      <c r="N40" s="865"/>
      <c r="O40" s="865"/>
      <c r="P40" s="865"/>
      <c r="Q40" s="256" t="s">
        <v>152</v>
      </c>
      <c r="R40" s="254">
        <v>602224</v>
      </c>
      <c r="S40" s="255">
        <v>1824920500</v>
      </c>
      <c r="T40" s="918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872"/>
      <c r="J41" s="869"/>
      <c r="K41" s="872"/>
      <c r="L41" s="872"/>
      <c r="M41" s="865"/>
      <c r="N41" s="865"/>
      <c r="O41" s="865"/>
      <c r="P41" s="865"/>
      <c r="Q41" s="256" t="s">
        <v>153</v>
      </c>
      <c r="R41" s="254">
        <v>182381</v>
      </c>
      <c r="S41" s="255">
        <v>552669000</v>
      </c>
      <c r="T41" s="918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873"/>
      <c r="J42" s="870"/>
      <c r="K42" s="873"/>
      <c r="L42" s="873"/>
      <c r="M42" s="874"/>
      <c r="N42" s="874"/>
      <c r="O42" s="874"/>
      <c r="P42" s="874"/>
      <c r="Q42" s="253" t="s">
        <v>56</v>
      </c>
      <c r="R42" s="254">
        <v>224782.55613005161</v>
      </c>
      <c r="S42" s="255">
        <v>480934478.44387001</v>
      </c>
      <c r="T42" s="918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871">
        <f>SUM(H43:H47)</f>
        <v>291200</v>
      </c>
      <c r="J43" s="868">
        <v>42717</v>
      </c>
      <c r="K43" s="871">
        <f>I43-L43</f>
        <v>12</v>
      </c>
      <c r="L43" s="871">
        <v>291188</v>
      </c>
      <c r="M43" s="864">
        <v>22620</v>
      </c>
      <c r="N43" s="864">
        <f>L43*M43</f>
        <v>6586672560</v>
      </c>
      <c r="O43" s="864">
        <v>3651146</v>
      </c>
      <c r="P43" s="864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918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872"/>
      <c r="J44" s="869"/>
      <c r="K44" s="872"/>
      <c r="L44" s="872"/>
      <c r="M44" s="865"/>
      <c r="N44" s="865"/>
      <c r="O44" s="865"/>
      <c r="P44" s="865"/>
      <c r="Q44" s="256" t="s">
        <v>152</v>
      </c>
      <c r="R44" s="254">
        <v>321557</v>
      </c>
      <c r="S44" s="255">
        <v>974415000</v>
      </c>
      <c r="T44" s="918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872"/>
      <c r="J45" s="869"/>
      <c r="K45" s="872"/>
      <c r="L45" s="872"/>
      <c r="M45" s="865"/>
      <c r="N45" s="865"/>
      <c r="O45" s="865"/>
      <c r="P45" s="865"/>
      <c r="Q45" s="256" t="s">
        <v>149</v>
      </c>
      <c r="R45" s="254">
        <v>155513</v>
      </c>
      <c r="S45" s="255">
        <v>471250000</v>
      </c>
      <c r="T45" s="918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872"/>
      <c r="J46" s="869"/>
      <c r="K46" s="872"/>
      <c r="L46" s="872"/>
      <c r="M46" s="865"/>
      <c r="N46" s="865"/>
      <c r="O46" s="865"/>
      <c r="P46" s="865"/>
      <c r="Q46" s="256" t="s">
        <v>227</v>
      </c>
      <c r="R46" s="254">
        <v>97190</v>
      </c>
      <c r="S46" s="255">
        <v>294515000</v>
      </c>
      <c r="T46" s="918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873"/>
      <c r="J47" s="870"/>
      <c r="K47" s="873"/>
      <c r="L47" s="873"/>
      <c r="M47" s="874"/>
      <c r="N47" s="874"/>
      <c r="O47" s="874"/>
      <c r="P47" s="874"/>
      <c r="Q47" s="253" t="s">
        <v>56</v>
      </c>
      <c r="R47" s="254">
        <v>897991</v>
      </c>
      <c r="S47" s="255">
        <v>2721185000</v>
      </c>
      <c r="T47" s="918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871">
        <f>SUM(H48:H53)</f>
        <v>291200</v>
      </c>
      <c r="J48" s="868">
        <v>42723</v>
      </c>
      <c r="K48" s="871">
        <f>I48-L48</f>
        <v>117</v>
      </c>
      <c r="L48" s="871">
        <v>291083</v>
      </c>
      <c r="M48" s="864">
        <v>22620</v>
      </c>
      <c r="N48" s="864">
        <f>L48*M48</f>
        <v>6584297460</v>
      </c>
      <c r="O48" s="864"/>
      <c r="P48" s="864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918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872"/>
      <c r="J49" s="869"/>
      <c r="K49" s="872"/>
      <c r="L49" s="872"/>
      <c r="M49" s="865"/>
      <c r="N49" s="865"/>
      <c r="O49" s="865"/>
      <c r="P49" s="865"/>
      <c r="Q49" s="256" t="s">
        <v>149</v>
      </c>
      <c r="R49" s="254">
        <v>158498</v>
      </c>
      <c r="S49" s="255">
        <v>480298000</v>
      </c>
      <c r="T49" s="918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872"/>
      <c r="J50" s="869"/>
      <c r="K50" s="872"/>
      <c r="L50" s="872"/>
      <c r="M50" s="865"/>
      <c r="N50" s="865"/>
      <c r="O50" s="865"/>
      <c r="P50" s="865"/>
      <c r="Q50" s="256" t="s">
        <v>279</v>
      </c>
      <c r="R50" s="254">
        <v>221450</v>
      </c>
      <c r="S50" s="255">
        <v>671060000</v>
      </c>
      <c r="T50" s="918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872"/>
      <c r="J51" s="869"/>
      <c r="K51" s="872"/>
      <c r="L51" s="872"/>
      <c r="M51" s="865"/>
      <c r="N51" s="865"/>
      <c r="O51" s="865"/>
      <c r="P51" s="865"/>
      <c r="Q51" s="256" t="s">
        <v>55</v>
      </c>
      <c r="R51" s="254">
        <v>701499</v>
      </c>
      <c r="S51" s="255">
        <v>2125756000</v>
      </c>
      <c r="T51" s="918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872"/>
      <c r="J52" s="869"/>
      <c r="K52" s="872"/>
      <c r="L52" s="872"/>
      <c r="M52" s="865"/>
      <c r="N52" s="865"/>
      <c r="O52" s="865"/>
      <c r="P52" s="865"/>
      <c r="Q52" s="256" t="s">
        <v>280</v>
      </c>
      <c r="R52" s="254">
        <v>141021</v>
      </c>
      <c r="S52" s="255">
        <v>427336000</v>
      </c>
      <c r="T52" s="918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873"/>
      <c r="J53" s="870"/>
      <c r="K53" s="873"/>
      <c r="L53" s="873"/>
      <c r="M53" s="874"/>
      <c r="N53" s="874"/>
      <c r="O53" s="874"/>
      <c r="P53" s="874"/>
      <c r="Q53" s="253" t="s">
        <v>56</v>
      </c>
      <c r="R53" s="254">
        <v>412914</v>
      </c>
      <c r="S53" s="255">
        <v>1251254000</v>
      </c>
      <c r="T53" s="918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871">
        <f>SUM(H54:H57)</f>
        <v>281840</v>
      </c>
      <c r="J54" s="868">
        <v>42725</v>
      </c>
      <c r="K54" s="871">
        <f>I54-L54</f>
        <v>117</v>
      </c>
      <c r="L54" s="871">
        <v>281723</v>
      </c>
      <c r="M54" s="864">
        <v>22650</v>
      </c>
      <c r="N54" s="864">
        <f>L54*M54</f>
        <v>6381025950</v>
      </c>
      <c r="O54" s="864"/>
      <c r="P54" s="864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918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872"/>
      <c r="J55" s="869"/>
      <c r="K55" s="872"/>
      <c r="L55" s="872"/>
      <c r="M55" s="865"/>
      <c r="N55" s="865"/>
      <c r="O55" s="865"/>
      <c r="P55" s="865"/>
      <c r="Q55" s="256" t="s">
        <v>152</v>
      </c>
      <c r="R55" s="254">
        <v>482346</v>
      </c>
      <c r="S55" s="255">
        <v>876993000</v>
      </c>
      <c r="T55" s="918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872"/>
      <c r="J56" s="869"/>
      <c r="K56" s="872"/>
      <c r="L56" s="872"/>
      <c r="M56" s="865"/>
      <c r="N56" s="865"/>
      <c r="O56" s="865"/>
      <c r="P56" s="865"/>
      <c r="Q56" s="256" t="s">
        <v>131</v>
      </c>
      <c r="R56" s="254">
        <v>984083</v>
      </c>
      <c r="S56" s="255">
        <v>2982070000</v>
      </c>
      <c r="T56" s="918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873"/>
      <c r="J57" s="870"/>
      <c r="K57" s="873"/>
      <c r="L57" s="873"/>
      <c r="M57" s="874"/>
      <c r="N57" s="874"/>
      <c r="O57" s="874"/>
      <c r="P57" s="874"/>
      <c r="Q57" s="253" t="s">
        <v>56</v>
      </c>
      <c r="R57" s="254">
        <v>343695</v>
      </c>
      <c r="S57" s="255">
        <v>1041500000</v>
      </c>
      <c r="T57" s="918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871">
        <f>SUM(H58:H61)</f>
        <v>282482.72000000003</v>
      </c>
      <c r="J58" s="868">
        <v>42730</v>
      </c>
      <c r="K58" s="871">
        <f>I58-L58</f>
        <v>117.00000000005821</v>
      </c>
      <c r="L58" s="871">
        <v>282365.71999999997</v>
      </c>
      <c r="M58" s="864">
        <v>22650</v>
      </c>
      <c r="N58" s="864">
        <f>L58*M58</f>
        <v>6395583557.999999</v>
      </c>
      <c r="O58" s="864"/>
      <c r="P58" s="864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918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872"/>
      <c r="J59" s="869"/>
      <c r="K59" s="872"/>
      <c r="L59" s="872"/>
      <c r="M59" s="865"/>
      <c r="N59" s="865"/>
      <c r="O59" s="865"/>
      <c r="P59" s="865"/>
      <c r="Q59" s="256" t="s">
        <v>325</v>
      </c>
      <c r="R59" s="254">
        <v>15246</v>
      </c>
      <c r="S59" s="255">
        <v>27720000</v>
      </c>
      <c r="T59" s="918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872"/>
      <c r="J60" s="869"/>
      <c r="K60" s="872"/>
      <c r="L60" s="872"/>
      <c r="M60" s="865"/>
      <c r="N60" s="865"/>
      <c r="O60" s="865"/>
      <c r="P60" s="865"/>
      <c r="Q60" s="256" t="s">
        <v>131</v>
      </c>
      <c r="R60" s="254">
        <v>647657</v>
      </c>
      <c r="S60" s="255">
        <v>1177559000</v>
      </c>
      <c r="T60" s="918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873"/>
      <c r="J61" s="870"/>
      <c r="K61" s="873"/>
      <c r="L61" s="873"/>
      <c r="M61" s="874"/>
      <c r="N61" s="874"/>
      <c r="O61" s="874"/>
      <c r="P61" s="874"/>
      <c r="Q61" s="253" t="s">
        <v>56</v>
      </c>
      <c r="R61" s="254">
        <v>2403113</v>
      </c>
      <c r="S61" s="255">
        <v>4369297000</v>
      </c>
      <c r="T61" s="918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871">
        <f>H62+H63</f>
        <v>144200.68</v>
      </c>
      <c r="J62" s="868">
        <v>42742</v>
      </c>
      <c r="K62" s="871">
        <f>I62-L62</f>
        <v>12</v>
      </c>
      <c r="L62" s="871">
        <v>144188.68</v>
      </c>
      <c r="M62" s="864">
        <v>22480</v>
      </c>
      <c r="N62" s="918">
        <f t="shared" ref="N62" si="27">L62*M62</f>
        <v>3241361526.3999996</v>
      </c>
      <c r="O62" s="864">
        <v>1825573</v>
      </c>
      <c r="P62" s="874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918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873"/>
      <c r="J63" s="870"/>
      <c r="K63" s="873"/>
      <c r="L63" s="873"/>
      <c r="M63" s="874"/>
      <c r="N63" s="918"/>
      <c r="O63" s="874"/>
      <c r="P63" s="918"/>
      <c r="Q63" s="253" t="s">
        <v>56</v>
      </c>
      <c r="R63" s="254">
        <v>2422361</v>
      </c>
      <c r="S63" s="255">
        <v>2691512000</v>
      </c>
      <c r="T63" s="918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871">
        <f>SUM(H64:H67)</f>
        <v>294320</v>
      </c>
      <c r="J64" s="868">
        <v>42733</v>
      </c>
      <c r="K64" s="871">
        <f>I64-L64</f>
        <v>12</v>
      </c>
      <c r="L64" s="871">
        <v>294308</v>
      </c>
      <c r="M64" s="864">
        <v>22650</v>
      </c>
      <c r="N64" s="864">
        <f>L64*M64</f>
        <v>6666076200</v>
      </c>
      <c r="O64" s="864">
        <v>3651146</v>
      </c>
      <c r="P64" s="864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918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872"/>
      <c r="J65" s="869"/>
      <c r="K65" s="872"/>
      <c r="L65" s="872"/>
      <c r="M65" s="865"/>
      <c r="N65" s="865"/>
      <c r="O65" s="865"/>
      <c r="P65" s="865"/>
      <c r="Q65" s="253" t="s">
        <v>56</v>
      </c>
      <c r="R65" s="254">
        <v>2786095</v>
      </c>
      <c r="S65" s="255">
        <v>5065628000</v>
      </c>
      <c r="T65" s="918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872"/>
      <c r="J66" s="869"/>
      <c r="K66" s="872"/>
      <c r="L66" s="872"/>
      <c r="M66" s="865"/>
      <c r="N66" s="865"/>
      <c r="O66" s="865"/>
      <c r="P66" s="865"/>
      <c r="Q66" s="247"/>
      <c r="R66" s="247"/>
      <c r="S66" s="247"/>
      <c r="T66" s="918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873"/>
      <c r="J67" s="870"/>
      <c r="K67" s="873"/>
      <c r="L67" s="873"/>
      <c r="M67" s="874"/>
      <c r="N67" s="874"/>
      <c r="O67" s="874"/>
      <c r="P67" s="874"/>
      <c r="Q67" s="247"/>
      <c r="R67" s="247"/>
      <c r="S67" s="247"/>
      <c r="T67" s="918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871">
        <f>SUM(H68:H71)</f>
        <v>294320</v>
      </c>
      <c r="J68" s="868">
        <v>42746</v>
      </c>
      <c r="K68" s="871">
        <f>I68-L68</f>
        <v>12</v>
      </c>
      <c r="L68" s="871">
        <v>294308</v>
      </c>
      <c r="M68" s="864">
        <v>22465</v>
      </c>
      <c r="N68" s="864">
        <f>L68*M68</f>
        <v>6611629220</v>
      </c>
      <c r="O68" s="864">
        <v>3651146</v>
      </c>
      <c r="P68" s="864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918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872"/>
      <c r="J69" s="869"/>
      <c r="K69" s="872"/>
      <c r="L69" s="872"/>
      <c r="M69" s="865"/>
      <c r="N69" s="865"/>
      <c r="O69" s="865"/>
      <c r="P69" s="865"/>
      <c r="Q69" s="253" t="s">
        <v>390</v>
      </c>
      <c r="R69" s="254">
        <v>851458</v>
      </c>
      <c r="S69" s="255">
        <v>946064000</v>
      </c>
      <c r="T69" s="918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872"/>
      <c r="J70" s="869"/>
      <c r="K70" s="872"/>
      <c r="L70" s="872"/>
      <c r="M70" s="865"/>
      <c r="N70" s="865"/>
      <c r="O70" s="865"/>
      <c r="P70" s="865"/>
      <c r="Q70" s="253" t="s">
        <v>56</v>
      </c>
      <c r="R70" s="254">
        <v>4198989</v>
      </c>
      <c r="S70" s="255">
        <v>4665543000</v>
      </c>
      <c r="T70" s="918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873"/>
      <c r="J71" s="870"/>
      <c r="K71" s="873"/>
      <c r="L71" s="873"/>
      <c r="M71" s="874"/>
      <c r="N71" s="874"/>
      <c r="O71" s="874"/>
      <c r="P71" s="874"/>
      <c r="Q71" s="242"/>
      <c r="R71" s="242"/>
      <c r="S71" s="242"/>
      <c r="T71" s="918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871">
        <f>SUM(H72:H77)</f>
        <v>441480</v>
      </c>
      <c r="J72" s="868">
        <v>42782</v>
      </c>
      <c r="K72" s="871">
        <f>I72-L72</f>
        <v>12</v>
      </c>
      <c r="L72" s="871">
        <v>441468</v>
      </c>
      <c r="M72" s="864">
        <v>22570</v>
      </c>
      <c r="N72" s="864">
        <f>L72*M72</f>
        <v>9963932760</v>
      </c>
      <c r="O72" s="864">
        <v>3250000</v>
      </c>
      <c r="P72" s="864">
        <f>N72-O72</f>
        <v>9960682760</v>
      </c>
      <c r="Q72" s="253" t="s">
        <v>131</v>
      </c>
      <c r="R72" s="254">
        <v>1100000</v>
      </c>
      <c r="S72" s="255">
        <v>1697000000</v>
      </c>
      <c r="T72" s="918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872"/>
      <c r="J73" s="869"/>
      <c r="K73" s="872"/>
      <c r="L73" s="872"/>
      <c r="M73" s="865"/>
      <c r="N73" s="865"/>
      <c r="O73" s="865"/>
      <c r="P73" s="865"/>
      <c r="Q73" s="253" t="s">
        <v>396</v>
      </c>
      <c r="R73" s="254">
        <v>1100000</v>
      </c>
      <c r="S73" s="255">
        <v>1697000000</v>
      </c>
      <c r="T73" s="918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872"/>
      <c r="J74" s="869"/>
      <c r="K74" s="872"/>
      <c r="L74" s="872"/>
      <c r="M74" s="865"/>
      <c r="N74" s="865"/>
      <c r="O74" s="865"/>
      <c r="P74" s="865"/>
      <c r="Q74" s="253" t="s">
        <v>395</v>
      </c>
      <c r="R74" s="254">
        <v>1100000</v>
      </c>
      <c r="S74" s="255">
        <v>1696000000</v>
      </c>
      <c r="T74" s="918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872"/>
      <c r="J75" s="869"/>
      <c r="K75" s="872"/>
      <c r="L75" s="872"/>
      <c r="M75" s="865"/>
      <c r="N75" s="865"/>
      <c r="O75" s="865"/>
      <c r="P75" s="865"/>
      <c r="Q75" s="253" t="s">
        <v>400</v>
      </c>
      <c r="R75" s="254">
        <v>1100000</v>
      </c>
      <c r="S75" s="255">
        <v>1696000000</v>
      </c>
      <c r="T75" s="918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872"/>
      <c r="J76" s="869"/>
      <c r="K76" s="872"/>
      <c r="L76" s="872"/>
      <c r="M76" s="865"/>
      <c r="N76" s="865"/>
      <c r="O76" s="865"/>
      <c r="P76" s="865"/>
      <c r="Q76" s="256" t="s">
        <v>401</v>
      </c>
      <c r="R76" s="254">
        <v>1100000</v>
      </c>
      <c r="S76" s="255">
        <v>1696000000</v>
      </c>
      <c r="T76" s="918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873"/>
      <c r="J77" s="870"/>
      <c r="K77" s="873"/>
      <c r="L77" s="873"/>
      <c r="M77" s="874"/>
      <c r="N77" s="874"/>
      <c r="O77" s="874"/>
      <c r="P77" s="874"/>
      <c r="Q77" s="257" t="s">
        <v>394</v>
      </c>
      <c r="R77" s="254">
        <v>1100000</v>
      </c>
      <c r="S77" s="255">
        <v>1696000000</v>
      </c>
      <c r="T77" s="918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920">
        <f>H78+H79</f>
        <v>149367.4</v>
      </c>
      <c r="J78" s="921">
        <v>42774</v>
      </c>
      <c r="K78" s="920">
        <f>I78-L78</f>
        <v>12</v>
      </c>
      <c r="L78" s="920">
        <v>149355.4</v>
      </c>
      <c r="M78" s="864">
        <v>22520</v>
      </c>
      <c r="N78" s="918">
        <f t="shared" ref="N78" si="33">L78*M78</f>
        <v>3363483608</v>
      </c>
      <c r="O78" s="918">
        <v>1861474</v>
      </c>
      <c r="P78" s="874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918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920"/>
      <c r="J79" s="921"/>
      <c r="K79" s="920"/>
      <c r="L79" s="920"/>
      <c r="M79" s="874"/>
      <c r="N79" s="918"/>
      <c r="O79" s="918"/>
      <c r="P79" s="918"/>
      <c r="Q79" s="256" t="s">
        <v>152</v>
      </c>
      <c r="R79" s="254">
        <v>1175650</v>
      </c>
      <c r="S79" s="255">
        <v>1679500000</v>
      </c>
      <c r="T79" s="918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871">
        <f>SUM(H80:H85)</f>
        <v>448102.2</v>
      </c>
      <c r="J80" s="868">
        <v>42788</v>
      </c>
      <c r="K80" s="871">
        <f>I80-L80</f>
        <v>122</v>
      </c>
      <c r="L80" s="871">
        <v>447980.2</v>
      </c>
      <c r="M80" s="864">
        <v>22620</v>
      </c>
      <c r="N80" s="864">
        <f>L80*M80</f>
        <v>10133312124</v>
      </c>
      <c r="O80" s="864"/>
      <c r="P80" s="864">
        <f>N80-O80</f>
        <v>10133312124</v>
      </c>
      <c r="Q80" s="253" t="s">
        <v>396</v>
      </c>
      <c r="R80" s="254">
        <v>1100000</v>
      </c>
      <c r="S80" s="255">
        <v>2110891000</v>
      </c>
      <c r="T80" s="918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872"/>
      <c r="J81" s="869"/>
      <c r="K81" s="872"/>
      <c r="L81" s="872"/>
      <c r="M81" s="865"/>
      <c r="N81" s="865"/>
      <c r="O81" s="865"/>
      <c r="P81" s="865"/>
      <c r="Q81" s="253" t="s">
        <v>395</v>
      </c>
      <c r="R81" s="254">
        <v>1100000</v>
      </c>
      <c r="S81" s="255">
        <v>1238708500</v>
      </c>
      <c r="T81" s="918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872"/>
      <c r="J82" s="869"/>
      <c r="K82" s="872"/>
      <c r="L82" s="872"/>
      <c r="M82" s="865"/>
      <c r="N82" s="865"/>
      <c r="O82" s="865"/>
      <c r="P82" s="865"/>
      <c r="Q82" s="253" t="s">
        <v>131</v>
      </c>
      <c r="R82" s="254">
        <v>1100000</v>
      </c>
      <c r="S82" s="255">
        <v>1473180000</v>
      </c>
      <c r="T82" s="918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872"/>
      <c r="J83" s="869"/>
      <c r="K83" s="872"/>
      <c r="L83" s="872"/>
      <c r="M83" s="865"/>
      <c r="N83" s="865"/>
      <c r="O83" s="865"/>
      <c r="P83" s="865"/>
      <c r="Q83" s="253" t="s">
        <v>406</v>
      </c>
      <c r="R83" s="254">
        <v>1100000</v>
      </c>
      <c r="S83" s="255">
        <v>1552320000</v>
      </c>
      <c r="T83" s="918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872"/>
      <c r="J84" s="869"/>
      <c r="K84" s="872"/>
      <c r="L84" s="872"/>
      <c r="M84" s="865"/>
      <c r="N84" s="865"/>
      <c r="O84" s="865"/>
      <c r="P84" s="865"/>
      <c r="Q84" s="253" t="s">
        <v>400</v>
      </c>
      <c r="R84" s="254">
        <v>1100000</v>
      </c>
      <c r="S84" s="255">
        <v>1329812000</v>
      </c>
      <c r="T84" s="864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873"/>
      <c r="J85" s="870"/>
      <c r="K85" s="873"/>
      <c r="L85" s="873"/>
      <c r="M85" s="874"/>
      <c r="N85" s="874"/>
      <c r="O85" s="874"/>
      <c r="P85" s="874"/>
      <c r="Q85" s="257" t="s">
        <v>394</v>
      </c>
      <c r="R85" s="260">
        <v>1100000</v>
      </c>
      <c r="S85" s="258">
        <v>2251300000</v>
      </c>
      <c r="T85" s="865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871">
        <f>SUM(H86:H91)</f>
        <v>450241.68</v>
      </c>
      <c r="J86" s="868">
        <v>42790</v>
      </c>
      <c r="K86" s="871">
        <f>I86-L86</f>
        <v>12</v>
      </c>
      <c r="L86" s="871">
        <v>450229.68</v>
      </c>
      <c r="M86" s="864">
        <v>22620</v>
      </c>
      <c r="N86" s="864">
        <f>L86*M86</f>
        <v>10184195361.6</v>
      </c>
      <c r="O86" s="864">
        <v>2514600</v>
      </c>
      <c r="P86" s="864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865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872"/>
      <c r="J87" s="869"/>
      <c r="K87" s="872"/>
      <c r="L87" s="872"/>
      <c r="M87" s="865"/>
      <c r="N87" s="865"/>
      <c r="O87" s="865"/>
      <c r="P87" s="865"/>
      <c r="Q87" s="61" t="s">
        <v>395</v>
      </c>
      <c r="R87" s="247">
        <v>550000</v>
      </c>
      <c r="S87" s="255">
        <v>1000000000</v>
      </c>
      <c r="T87" s="865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872"/>
      <c r="J88" s="869"/>
      <c r="K88" s="872"/>
      <c r="L88" s="872"/>
      <c r="M88" s="865"/>
      <c r="N88" s="865"/>
      <c r="O88" s="865"/>
      <c r="P88" s="865"/>
      <c r="Q88" s="61" t="s">
        <v>400</v>
      </c>
      <c r="R88" s="247">
        <v>825000</v>
      </c>
      <c r="S88" s="255">
        <v>1500000000</v>
      </c>
      <c r="T88" s="865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872"/>
      <c r="J89" s="869"/>
      <c r="K89" s="872"/>
      <c r="L89" s="872"/>
      <c r="M89" s="865"/>
      <c r="N89" s="865"/>
      <c r="O89" s="865"/>
      <c r="P89" s="865"/>
      <c r="Q89" s="220" t="s">
        <v>394</v>
      </c>
      <c r="R89" s="247">
        <v>1100000</v>
      </c>
      <c r="S89" s="255">
        <v>4443756000</v>
      </c>
      <c r="T89" s="865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872"/>
      <c r="J90" s="869"/>
      <c r="K90" s="872"/>
      <c r="L90" s="872"/>
      <c r="M90" s="865"/>
      <c r="N90" s="865"/>
      <c r="O90" s="865"/>
      <c r="P90" s="865"/>
      <c r="Q90" s="61" t="s">
        <v>56</v>
      </c>
      <c r="R90" s="247">
        <v>324500</v>
      </c>
      <c r="S90" s="255">
        <v>590000000</v>
      </c>
      <c r="T90" s="865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873"/>
      <c r="J91" s="870"/>
      <c r="K91" s="873"/>
      <c r="L91" s="873"/>
      <c r="M91" s="874"/>
      <c r="N91" s="874"/>
      <c r="O91" s="874"/>
      <c r="P91" s="874"/>
      <c r="Q91" s="247"/>
      <c r="R91" s="247"/>
      <c r="S91" s="247"/>
      <c r="T91" s="865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871">
        <f>SUM(H92:H97)</f>
        <v>448102.2</v>
      </c>
      <c r="J92" s="868">
        <v>42797</v>
      </c>
      <c r="K92" s="871">
        <f>I92-L92</f>
        <v>12</v>
      </c>
      <c r="L92" s="871">
        <v>448090.2</v>
      </c>
      <c r="M92" s="864">
        <v>22650</v>
      </c>
      <c r="N92" s="864">
        <f>L92*M92</f>
        <v>10149243030</v>
      </c>
      <c r="O92" s="864">
        <v>2514600</v>
      </c>
      <c r="P92" s="864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865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872"/>
      <c r="J93" s="869"/>
      <c r="K93" s="872"/>
      <c r="L93" s="872"/>
      <c r="M93" s="865"/>
      <c r="N93" s="865"/>
      <c r="O93" s="865"/>
      <c r="P93" s="865"/>
      <c r="Q93" s="139" t="s">
        <v>395</v>
      </c>
      <c r="R93" s="276">
        <v>770000</v>
      </c>
      <c r="S93" s="247">
        <v>1000000000</v>
      </c>
      <c r="T93" s="865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872"/>
      <c r="J94" s="869"/>
      <c r="K94" s="872"/>
      <c r="L94" s="872"/>
      <c r="M94" s="865"/>
      <c r="N94" s="865"/>
      <c r="O94" s="865"/>
      <c r="P94" s="865"/>
      <c r="Q94" s="139" t="s">
        <v>400</v>
      </c>
      <c r="R94" s="276">
        <v>1100000</v>
      </c>
      <c r="S94" s="247">
        <v>1500000000</v>
      </c>
      <c r="T94" s="865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872"/>
      <c r="J95" s="869"/>
      <c r="K95" s="872"/>
      <c r="L95" s="872"/>
      <c r="M95" s="865"/>
      <c r="N95" s="865"/>
      <c r="O95" s="865"/>
      <c r="P95" s="865"/>
      <c r="Q95" s="139" t="s">
        <v>394</v>
      </c>
      <c r="R95" s="276">
        <v>1100000</v>
      </c>
      <c r="S95" s="247">
        <v>1955000000</v>
      </c>
      <c r="T95" s="874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872"/>
      <c r="J96" s="869"/>
      <c r="K96" s="872"/>
      <c r="L96" s="872"/>
      <c r="M96" s="865"/>
      <c r="N96" s="865"/>
      <c r="O96" s="865"/>
      <c r="P96" s="865"/>
      <c r="Q96" s="139" t="s">
        <v>55</v>
      </c>
      <c r="R96" s="276">
        <v>1100000</v>
      </c>
      <c r="S96" s="247">
        <v>2245072000</v>
      </c>
      <c r="T96" s="864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873"/>
      <c r="J97" s="870"/>
      <c r="K97" s="873"/>
      <c r="L97" s="873"/>
      <c r="M97" s="874"/>
      <c r="N97" s="874"/>
      <c r="O97" s="874"/>
      <c r="P97" s="874"/>
      <c r="Q97" s="139" t="s">
        <v>56</v>
      </c>
      <c r="R97" s="276">
        <v>1100000</v>
      </c>
      <c r="S97" s="247">
        <v>1998400000</v>
      </c>
      <c r="T97" s="874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871">
        <f>SUM(H98:H101)</f>
        <v>277622.8</v>
      </c>
      <c r="J98" s="868">
        <v>42779</v>
      </c>
      <c r="K98" s="871">
        <f>I98-L98</f>
        <v>12</v>
      </c>
      <c r="L98" s="871">
        <v>277610.8</v>
      </c>
      <c r="M98" s="864">
        <v>22520</v>
      </c>
      <c r="N98" s="864">
        <f>L98*M98</f>
        <v>6251795216</v>
      </c>
      <c r="O98" s="864">
        <v>2899200</v>
      </c>
      <c r="P98" s="864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864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872"/>
      <c r="J99" s="869"/>
      <c r="K99" s="872"/>
      <c r="L99" s="872"/>
      <c r="M99" s="865"/>
      <c r="N99" s="865"/>
      <c r="O99" s="865"/>
      <c r="P99" s="865"/>
      <c r="Q99" s="253" t="s">
        <v>395</v>
      </c>
      <c r="R99" s="254">
        <v>1367145</v>
      </c>
      <c r="S99" s="255">
        <v>1519050000</v>
      </c>
      <c r="T99" s="865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872"/>
      <c r="J100" s="869"/>
      <c r="K100" s="872"/>
      <c r="L100" s="872"/>
      <c r="M100" s="865"/>
      <c r="N100" s="865"/>
      <c r="O100" s="865"/>
      <c r="P100" s="865"/>
      <c r="Q100" s="253" t="s">
        <v>396</v>
      </c>
      <c r="R100" s="254">
        <v>1360476</v>
      </c>
      <c r="S100" s="255">
        <v>1511640000</v>
      </c>
      <c r="T100" s="865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873"/>
      <c r="J101" s="870"/>
      <c r="K101" s="873"/>
      <c r="L101" s="873"/>
      <c r="M101" s="874"/>
      <c r="N101" s="874"/>
      <c r="O101" s="874"/>
      <c r="P101" s="874"/>
      <c r="Q101" s="253" t="s">
        <v>397</v>
      </c>
      <c r="R101" s="254">
        <v>1348542</v>
      </c>
      <c r="S101" s="255">
        <v>1498380000</v>
      </c>
      <c r="T101" s="874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891" t="s">
        <v>19</v>
      </c>
      <c r="B103" s="892"/>
      <c r="C103" s="892"/>
      <c r="D103" s="892"/>
      <c r="E103" s="893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917"/>
      <c r="O104" s="917"/>
      <c r="P104" s="917"/>
      <c r="Q104" s="259"/>
      <c r="R104" s="259"/>
      <c r="S104" s="259"/>
      <c r="T104" s="919"/>
      <c r="U104" s="919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</mergeCells>
  <pageMargins left="0.16" right="0.16" top="0.11" bottom="0.16" header="0.3" footer="0.16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942" t="s">
        <v>77</v>
      </c>
      <c r="B1" s="942"/>
      <c r="C1" s="942"/>
      <c r="D1" s="942"/>
      <c r="E1" s="942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942" t="s">
        <v>97</v>
      </c>
      <c r="B21" s="942"/>
      <c r="C21" s="942"/>
      <c r="D21" s="942"/>
      <c r="E21" s="942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942" t="s">
        <v>78</v>
      </c>
      <c r="B32" s="942"/>
      <c r="C32" s="942"/>
      <c r="D32" s="942"/>
      <c r="E32" s="942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942" t="s">
        <v>109</v>
      </c>
      <c r="B55" s="942"/>
      <c r="C55" s="942"/>
      <c r="D55" s="942"/>
      <c r="E55" s="942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943" t="s">
        <v>21</v>
      </c>
      <c r="C77" s="943"/>
      <c r="D77" s="943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944" t="s">
        <v>113</v>
      </c>
      <c r="C78" s="944"/>
      <c r="D78" s="944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945" t="s">
        <v>114</v>
      </c>
      <c r="C79" s="945"/>
      <c r="D79" s="945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945" t="s">
        <v>115</v>
      </c>
      <c r="C80" s="945"/>
      <c r="D80" s="945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945" t="s">
        <v>116</v>
      </c>
      <c r="C81" s="945"/>
      <c r="D81" s="945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946"/>
      <c r="C82" s="946"/>
      <c r="D82" s="946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947" t="s">
        <v>57</v>
      </c>
      <c r="C83" s="947"/>
      <c r="D83" s="947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928" t="s">
        <v>117</v>
      </c>
      <c r="G85" s="929"/>
      <c r="H85" s="930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925"/>
      <c r="G86" s="926"/>
      <c r="H86" s="927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925">
        <f>I87*0.033%</f>
        <v>688392.54</v>
      </c>
      <c r="G87" s="926"/>
      <c r="H87" s="927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925">
        <f>I84*0.033%</f>
        <v>176854.25586180002</v>
      </c>
      <c r="G88" s="926"/>
      <c r="H88" s="927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938"/>
      <c r="G89" s="939"/>
      <c r="H89" s="940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922">
        <f>SUM(F86:H89)</f>
        <v>865246.79586180008</v>
      </c>
      <c r="G90" s="923"/>
      <c r="H90" s="924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928" t="s">
        <v>117</v>
      </c>
      <c r="G92" s="929"/>
      <c r="H92" s="930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935"/>
      <c r="G93" s="936"/>
      <c r="H93" s="937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925">
        <v>1791144</v>
      </c>
      <c r="G94" s="926"/>
      <c r="H94" s="927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925"/>
      <c r="G95" s="926"/>
      <c r="H95" s="927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925">
        <v>357930</v>
      </c>
      <c r="G96" s="926"/>
      <c r="H96" s="927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925">
        <v>480480</v>
      </c>
      <c r="G97" s="926"/>
      <c r="H97" s="927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925">
        <v>231033</v>
      </c>
      <c r="G98" s="926"/>
      <c r="H98" s="927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938"/>
      <c r="G99" s="939"/>
      <c r="H99" s="940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922">
        <f>SUM(F93:H99)</f>
        <v>2860587</v>
      </c>
      <c r="G100" s="923"/>
      <c r="H100" s="924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942" t="s">
        <v>147</v>
      </c>
      <c r="B105" s="942"/>
      <c r="C105" s="942"/>
      <c r="D105" s="942"/>
      <c r="E105" s="942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928" t="s">
        <v>117</v>
      </c>
      <c r="G128" s="929"/>
      <c r="H128" s="930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925"/>
      <c r="G129" s="926"/>
      <c r="H129" s="927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925">
        <f>F94*2</f>
        <v>3582288</v>
      </c>
      <c r="G130" s="926"/>
      <c r="H130" s="927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925">
        <v>-1791144</v>
      </c>
      <c r="G131" s="926"/>
      <c r="H131" s="927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925">
        <f>ROUND(I132*0.033%,0)</f>
        <v>1450020</v>
      </c>
      <c r="G132" s="926"/>
      <c r="H132" s="927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925">
        <f>ROUND(I133*0.033%,0)</f>
        <v>133243</v>
      </c>
      <c r="G133" s="926"/>
      <c r="H133" s="927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925">
        <f t="shared" ref="F134" si="44">ROUND(I134*0.033%,0)</f>
        <v>142501</v>
      </c>
      <c r="G134" s="926"/>
      <c r="H134" s="927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925">
        <v>298421</v>
      </c>
      <c r="G135" s="926"/>
      <c r="H135" s="927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938"/>
      <c r="G136" s="939"/>
      <c r="H136" s="940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922">
        <f>SUM(F129:H136)</f>
        <v>3815329</v>
      </c>
      <c r="G137" s="923"/>
      <c r="H137" s="924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928" t="s">
        <v>117</v>
      </c>
      <c r="G139" s="929"/>
      <c r="H139" s="930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925"/>
      <c r="G140" s="926"/>
      <c r="H140" s="927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925">
        <v>1819968</v>
      </c>
      <c r="G141" s="926"/>
      <c r="H141" s="927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925">
        <f>ROUND(I142*0.033%,0)</f>
        <v>475585</v>
      </c>
      <c r="G142" s="926"/>
      <c r="H142" s="927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925">
        <f>ROUND(I143*0.033%,0)</f>
        <v>178679</v>
      </c>
      <c r="G143" s="926"/>
      <c r="H143" s="927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925">
        <f t="shared" ref="F144" si="46">ROUND(I144*0.033%,0)</f>
        <v>351889</v>
      </c>
      <c r="G144" s="926"/>
      <c r="H144" s="927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925">
        <v>81592</v>
      </c>
      <c r="G145" s="926"/>
      <c r="H145" s="927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938"/>
      <c r="G146" s="939"/>
      <c r="H146" s="940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922">
        <f>SUM(F140:H146)</f>
        <v>2907713</v>
      </c>
      <c r="G147" s="923"/>
      <c r="H147" s="924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942" t="s">
        <v>190</v>
      </c>
      <c r="B150" s="942"/>
      <c r="C150" s="942"/>
      <c r="D150" s="942"/>
      <c r="E150" s="942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928" t="s">
        <v>117</v>
      </c>
      <c r="G177" s="929"/>
      <c r="H177" s="930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925"/>
      <c r="G178" s="926"/>
      <c r="H178" s="927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925">
        <v>1825573</v>
      </c>
      <c r="G179" s="926"/>
      <c r="H179" s="927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925">
        <f>ROUND(I180*0.033%,0)</f>
        <v>497640</v>
      </c>
      <c r="G180" s="926"/>
      <c r="H180" s="927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925">
        <f>ROUND(I181*0.033%,0)</f>
        <v>552453</v>
      </c>
      <c r="G181" s="926"/>
      <c r="H181" s="927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925"/>
      <c r="G182" s="926"/>
      <c r="H182" s="927"/>
      <c r="I182" s="63"/>
    </row>
    <row r="183" spans="1:14" ht="6" customHeight="1">
      <c r="A183" s="112"/>
      <c r="B183" s="115"/>
      <c r="C183" s="116"/>
      <c r="D183" s="113"/>
      <c r="E183" s="113"/>
      <c r="F183" s="938"/>
      <c r="G183" s="939"/>
      <c r="H183" s="940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922">
        <f>SUM(F178:H183)</f>
        <v>2875666</v>
      </c>
      <c r="G184" s="923"/>
      <c r="H184" s="924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928" t="s">
        <v>117</v>
      </c>
      <c r="G188" s="929"/>
      <c r="H188" s="930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925"/>
      <c r="G189" s="926"/>
      <c r="H189" s="927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925"/>
      <c r="G190" s="926"/>
      <c r="H190" s="927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925">
        <f>1825573*2</f>
        <v>3651146</v>
      </c>
      <c r="G191" s="926"/>
      <c r="H191" s="927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925">
        <f>ROUND(I194*0.033%,0)</f>
        <v>963198</v>
      </c>
      <c r="G194" s="926"/>
      <c r="H194" s="927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925">
        <f>ROUND(I195*0.033%,0)</f>
        <v>602224</v>
      </c>
      <c r="G195" s="926"/>
      <c r="H195" s="927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925">
        <f>ROUND(I196*0.033%,0)</f>
        <v>182381</v>
      </c>
      <c r="G196" s="926"/>
      <c r="H196" s="927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925">
        <v>224782.55613005161</v>
      </c>
      <c r="G197" s="926"/>
      <c r="H197" s="927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938"/>
      <c r="G198" s="939"/>
      <c r="H198" s="940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922">
        <f>SUM(F189:H198)</f>
        <v>5623731.5561300516</v>
      </c>
      <c r="G199" s="923"/>
      <c r="H199" s="924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942" t="s">
        <v>198</v>
      </c>
      <c r="B205" s="942"/>
      <c r="C205" s="942"/>
      <c r="D205" s="942"/>
      <c r="E205" s="942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928" t="s">
        <v>117</v>
      </c>
      <c r="G226" s="929"/>
      <c r="H226" s="930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925"/>
      <c r="G227" s="926"/>
      <c r="H227" s="927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925">
        <f>1825573*2</f>
        <v>3651146</v>
      </c>
      <c r="G228" s="926"/>
      <c r="H228" s="927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925">
        <f>ROUND(I230*0.033%,0)</f>
        <v>476190</v>
      </c>
      <c r="G230" s="926"/>
      <c r="H230" s="927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925">
        <f>ROUND(I231*0.033%,0)</f>
        <v>321557</v>
      </c>
      <c r="G231" s="926"/>
      <c r="H231" s="927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925">
        <f>ROUND(I232*0.033%,0)</f>
        <v>155513</v>
      </c>
      <c r="G232" s="926"/>
      <c r="H232" s="927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925">
        <f>ROUND(I233*0.033%,0)</f>
        <v>97190</v>
      </c>
      <c r="G233" s="926"/>
      <c r="H233" s="927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925">
        <f>ROUND(I234*0.033%,0)</f>
        <v>897991</v>
      </c>
      <c r="G234" s="926"/>
      <c r="H234" s="927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938"/>
      <c r="G235" s="939"/>
      <c r="H235" s="940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922">
        <f>SUM(F227:H235)</f>
        <v>5599587</v>
      </c>
      <c r="G236" s="923"/>
      <c r="H236" s="924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942" t="s">
        <v>277</v>
      </c>
      <c r="B240" s="942"/>
      <c r="C240" s="942"/>
      <c r="D240" s="942"/>
      <c r="E240" s="942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928" t="s">
        <v>117</v>
      </c>
      <c r="G262" s="929"/>
      <c r="H262" s="930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925"/>
      <c r="G263" s="926"/>
      <c r="H263" s="927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925"/>
      <c r="G264" s="926"/>
      <c r="H264" s="927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925">
        <f>ROUND(I265*0.055%,0)</f>
        <v>577777</v>
      </c>
      <c r="G265" s="926"/>
      <c r="H265" s="927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925">
        <f>ROUND(I266*0.033%,0)</f>
        <v>158498</v>
      </c>
      <c r="G266" s="926"/>
      <c r="H266" s="927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925">
        <f>ROUND(I267*0.033%,0)</f>
        <v>221450</v>
      </c>
      <c r="G267" s="926"/>
      <c r="H267" s="927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925">
        <f>ROUND(I268*0.033%,0)</f>
        <v>701499</v>
      </c>
      <c r="G268" s="926"/>
      <c r="H268" s="927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925">
        <f>ROUND(I269*0.033%,0)</f>
        <v>141021</v>
      </c>
      <c r="G269" s="926"/>
      <c r="H269" s="927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925">
        <f>ROUND(I270*0.033%,0)</f>
        <v>412914</v>
      </c>
      <c r="G270" s="926"/>
      <c r="H270" s="927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938"/>
      <c r="G271" s="939"/>
      <c r="H271" s="940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922">
        <f>SUM(F263:H271)</f>
        <v>2213159</v>
      </c>
      <c r="G272" s="923"/>
      <c r="H272" s="924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928" t="s">
        <v>117</v>
      </c>
      <c r="G274" s="929"/>
      <c r="H274" s="930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925"/>
      <c r="G275" s="926"/>
      <c r="H275" s="927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925">
        <f>ROUND(I276*0.055%,0)</f>
        <v>812812</v>
      </c>
      <c r="G276" s="926"/>
      <c r="H276" s="927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925">
        <f>ROUND(I277*0.055%,0)</f>
        <v>482346</v>
      </c>
      <c r="G277" s="926"/>
      <c r="H277" s="927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925">
        <f>ROUND(I278*0.033%,0)</f>
        <v>984083</v>
      </c>
      <c r="G278" s="926"/>
      <c r="H278" s="927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925">
        <f>ROUND(I279*0.033%,0)</f>
        <v>343695</v>
      </c>
      <c r="G279" s="926"/>
      <c r="H279" s="927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938"/>
      <c r="G280" s="939"/>
      <c r="H280" s="940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922">
        <f>SUM(F275:H280)</f>
        <v>2622936</v>
      </c>
      <c r="G281" s="923"/>
      <c r="H281" s="924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942" t="s">
        <v>316</v>
      </c>
      <c r="B288" s="942"/>
      <c r="C288" s="942"/>
      <c r="D288" s="942"/>
      <c r="E288" s="942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928" t="s">
        <v>117</v>
      </c>
      <c r="G316" s="929"/>
      <c r="H316" s="930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932"/>
      <c r="G317" s="933"/>
      <c r="H317" s="934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935"/>
      <c r="G318" s="936"/>
      <c r="H318" s="937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925">
        <f>ROUND(I319*0.055%,0)</f>
        <v>120120</v>
      </c>
      <c r="G319" s="926"/>
      <c r="H319" s="927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925">
        <f>ROUND(I320*0.055%,0)</f>
        <v>15246</v>
      </c>
      <c r="G320" s="926"/>
      <c r="H320" s="927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925">
        <f>ROUND(I321*0.055%,0)</f>
        <v>647657</v>
      </c>
      <c r="G321" s="926"/>
      <c r="H321" s="927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925">
        <f>ROUND(I322*0.055%,0)</f>
        <v>2403113</v>
      </c>
      <c r="G322" s="926"/>
      <c r="H322" s="927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922">
        <f>SUM(F317:H323)</f>
        <v>3186136</v>
      </c>
      <c r="G324" s="923"/>
      <c r="H324" s="924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942" t="s">
        <v>326</v>
      </c>
      <c r="B328" s="942"/>
      <c r="C328" s="942"/>
      <c r="D328" s="942"/>
      <c r="E328" s="942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928" t="s">
        <v>117</v>
      </c>
      <c r="G345" s="929"/>
      <c r="H345" s="930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925">
        <f>1825573*2</f>
        <v>3651146</v>
      </c>
      <c r="G347" s="926"/>
      <c r="H347" s="927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925"/>
      <c r="G348" s="926"/>
      <c r="H348" s="927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925">
        <f>ROUND(I349*0.055%,0)</f>
        <v>820069</v>
      </c>
      <c r="G349" s="926"/>
      <c r="H349" s="927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925">
        <f>ROUND(I350*0.055%,0)</f>
        <v>2786095</v>
      </c>
      <c r="G350" s="926"/>
      <c r="H350" s="927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922">
        <f>SUM(F346:H351)</f>
        <v>7257310</v>
      </c>
      <c r="G352" s="923"/>
      <c r="H352" s="924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941"/>
      <c r="B358" s="941"/>
      <c r="C358" s="941"/>
      <c r="D358" s="941"/>
      <c r="E358" s="941"/>
      <c r="F358" s="87"/>
      <c r="G358" s="931" t="s">
        <v>377</v>
      </c>
      <c r="H358" s="931"/>
      <c r="I358" s="931"/>
      <c r="J358" s="931"/>
      <c r="K358" s="931"/>
      <c r="L358" s="931"/>
      <c r="M358" s="931"/>
      <c r="N358" s="931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928" t="s">
        <v>117</v>
      </c>
      <c r="G400" s="929"/>
      <c r="H400" s="930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925">
        <f>1825573</f>
        <v>1825573</v>
      </c>
      <c r="G402" s="926"/>
      <c r="H402" s="927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925"/>
      <c r="G403" s="926"/>
      <c r="H403" s="927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925"/>
      <c r="G404" s="926"/>
      <c r="H404" s="927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925">
        <f>ROUND(I405*0.09%,0)</f>
        <v>296150</v>
      </c>
      <c r="G405" s="926"/>
      <c r="H405" s="927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925">
        <f>ROUND(I406*0.09%,0)</f>
        <v>2422361</v>
      </c>
      <c r="G406" s="926"/>
      <c r="H406" s="927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922">
        <f>SUM(F401:H407)</f>
        <v>4544084</v>
      </c>
      <c r="G408" s="923"/>
      <c r="H408" s="924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928" t="s">
        <v>117</v>
      </c>
      <c r="G412" s="929"/>
      <c r="H412" s="930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925">
        <f>1825573*2</f>
        <v>3651146</v>
      </c>
      <c r="G414" s="926"/>
      <c r="H414" s="927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925">
        <v>1842100</v>
      </c>
      <c r="G415" s="926"/>
      <c r="H415" s="927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925">
        <f t="shared" ref="F416:F417" si="122">ROUND(I416*0.09%,0)</f>
        <v>889727</v>
      </c>
      <c r="G416" s="926"/>
      <c r="H416" s="927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925">
        <f t="shared" si="122"/>
        <v>851458</v>
      </c>
      <c r="G417" s="926"/>
      <c r="H417" s="927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925">
        <f>ROUND(I418*0.09%,0)</f>
        <v>4198989</v>
      </c>
      <c r="G418" s="926"/>
      <c r="H418" s="927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922">
        <f>SUM(F413:H419)</f>
        <v>11433420</v>
      </c>
      <c r="G420" s="923"/>
      <c r="H420" s="924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928" t="s">
        <v>117</v>
      </c>
      <c r="G423" s="929"/>
      <c r="H423" s="930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925">
        <v>1861474</v>
      </c>
      <c r="G425" s="926"/>
      <c r="H425" s="927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925">
        <f>ROUND(I426*0.07%,0)</f>
        <v>1175650</v>
      </c>
      <c r="G426" s="926"/>
      <c r="H426" s="927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925">
        <f>ROUND(I427*0.07%,0)</f>
        <v>1175650</v>
      </c>
      <c r="G427" s="926"/>
      <c r="H427" s="927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922">
        <f>SUM(F424:H428)</f>
        <v>4212774</v>
      </c>
      <c r="G429" s="923"/>
      <c r="H429" s="924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928" t="s">
        <v>117</v>
      </c>
      <c r="G433" s="929"/>
      <c r="H433" s="930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925">
        <v>2899200</v>
      </c>
      <c r="G435" s="926"/>
      <c r="H435" s="927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925">
        <f>ROUND(I436*0.09%,0)</f>
        <v>1339135</v>
      </c>
      <c r="G436" s="926"/>
      <c r="H436" s="927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925">
        <f t="shared" ref="F437:F439" si="123">ROUND(I437*0.09%,0)</f>
        <v>1367145</v>
      </c>
      <c r="G437" s="926"/>
      <c r="H437" s="927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925">
        <f t="shared" si="123"/>
        <v>1360476</v>
      </c>
      <c r="G438" s="926"/>
      <c r="H438" s="927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925">
        <f t="shared" si="123"/>
        <v>1348542</v>
      </c>
      <c r="G439" s="926"/>
      <c r="H439" s="927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925">
        <f>ROUND(I440*0.06%,0)</f>
        <v>0</v>
      </c>
      <c r="G440" s="926"/>
      <c r="H440" s="927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922">
        <f>SUM(F434:H441)</f>
        <v>8314498</v>
      </c>
      <c r="G442" s="923"/>
      <c r="H442" s="924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928" t="s">
        <v>117</v>
      </c>
      <c r="G446" s="929"/>
      <c r="H446" s="930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925">
        <v>3250000</v>
      </c>
      <c r="G448" s="926"/>
      <c r="H448" s="927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925"/>
      <c r="G449" s="926"/>
      <c r="H449" s="927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925"/>
      <c r="G450" s="926"/>
      <c r="H450" s="927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925">
        <v>1100000</v>
      </c>
      <c r="G451" s="926"/>
      <c r="H451" s="927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925">
        <v>1100000</v>
      </c>
      <c r="G452" s="926"/>
      <c r="H452" s="927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925">
        <v>1100000</v>
      </c>
      <c r="G453" s="926"/>
      <c r="H453" s="927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925">
        <v>1100000</v>
      </c>
      <c r="G454" s="926"/>
      <c r="H454" s="927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925">
        <v>1100000</v>
      </c>
      <c r="G455" s="926"/>
      <c r="H455" s="927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925">
        <v>1100000</v>
      </c>
      <c r="G456" s="926"/>
      <c r="H456" s="927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925">
        <f t="shared" ref="F457" si="124">ROUND(I457*0.06%,0)</f>
        <v>0</v>
      </c>
      <c r="G457" s="926"/>
      <c r="H457" s="927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922">
        <f>SUM(F447:H458)</f>
        <v>9850000</v>
      </c>
      <c r="G459" s="923"/>
      <c r="H459" s="924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928" t="s">
        <v>117</v>
      </c>
      <c r="G463" s="929"/>
      <c r="H463" s="930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925"/>
      <c r="G465" s="926"/>
      <c r="H465" s="927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925">
        <v>1100000</v>
      </c>
      <c r="G466" s="926"/>
      <c r="H466" s="927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925">
        <v>1100000</v>
      </c>
      <c r="G467" s="926"/>
      <c r="H467" s="927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925">
        <v>1100000</v>
      </c>
      <c r="G468" s="926"/>
      <c r="H468" s="927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925">
        <v>1100000</v>
      </c>
      <c r="G469" s="926"/>
      <c r="H469" s="927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925">
        <v>1100000</v>
      </c>
      <c r="G470" s="926"/>
      <c r="H470" s="927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925">
        <v>1100000</v>
      </c>
      <c r="G471" s="926"/>
      <c r="H471" s="927"/>
      <c r="I471" s="63">
        <v>2251300000</v>
      </c>
    </row>
    <row r="472" spans="1:11">
      <c r="A472" s="60"/>
      <c r="B472" s="220"/>
      <c r="C472" s="221"/>
      <c r="D472" s="113"/>
      <c r="E472" s="113"/>
      <c r="F472" s="925">
        <f t="shared" ref="F472" si="125">ROUND(I472*0.06%,0)</f>
        <v>0</v>
      </c>
      <c r="G472" s="926"/>
      <c r="H472" s="927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922">
        <f>SUM(F464:H473)</f>
        <v>6600000</v>
      </c>
      <c r="G474" s="923"/>
      <c r="H474" s="924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928" t="s">
        <v>117</v>
      </c>
      <c r="G478" s="929"/>
      <c r="H478" s="930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925">
        <v>2514600</v>
      </c>
      <c r="G480" s="926"/>
      <c r="H480" s="927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925"/>
      <c r="G481" s="926"/>
      <c r="H481" s="927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925">
        <v>1100000</v>
      </c>
      <c r="G482" s="926"/>
      <c r="H482" s="927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925">
        <v>550000</v>
      </c>
      <c r="G483" s="926"/>
      <c r="H483" s="927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925">
        <v>825000</v>
      </c>
      <c r="G484" s="926"/>
      <c r="H484" s="927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925">
        <v>1100000</v>
      </c>
      <c r="G485" s="926"/>
      <c r="H485" s="927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925">
        <v>324500</v>
      </c>
      <c r="G486" s="926"/>
      <c r="H486" s="927"/>
      <c r="I486" s="63">
        <v>590000000</v>
      </c>
    </row>
    <row r="487" spans="1:11">
      <c r="A487" s="60"/>
      <c r="B487" s="220"/>
      <c r="C487" s="221"/>
      <c r="D487" s="113"/>
      <c r="E487" s="113"/>
      <c r="F487" s="925">
        <f t="shared" ref="F487" si="126">ROUND(I487*0.06%,0)</f>
        <v>0</v>
      </c>
      <c r="G487" s="926"/>
      <c r="H487" s="927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922">
        <f>SUM(F479:H488)</f>
        <v>6414100</v>
      </c>
      <c r="G489" s="923"/>
      <c r="H489" s="924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928" t="s">
        <v>117</v>
      </c>
      <c r="G493" s="929"/>
      <c r="H493" s="930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925">
        <v>2514600</v>
      </c>
      <c r="G495" s="926"/>
      <c r="H495" s="927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925"/>
      <c r="G496" s="926"/>
      <c r="H496" s="927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925">
        <f>ROUND(IF(I498*0.07%&gt;1100000,1100000,I498*0.07%),0)</f>
        <v>1100000</v>
      </c>
      <c r="G498" s="926"/>
      <c r="H498" s="927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925">
        <v>770000</v>
      </c>
      <c r="G499" s="926"/>
      <c r="H499" s="927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925">
        <v>1100000</v>
      </c>
      <c r="G500" s="926"/>
      <c r="H500" s="927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925">
        <f t="shared" ref="F501:F503" si="127">ROUND(IF(I501*0.07%&gt;1100000,1100000,I501*0.07%),0)</f>
        <v>1100000</v>
      </c>
      <c r="G501" s="926"/>
      <c r="H501" s="927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925">
        <f t="shared" si="127"/>
        <v>1100000</v>
      </c>
      <c r="G502" s="926"/>
      <c r="H502" s="927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925">
        <f t="shared" si="127"/>
        <v>1100000</v>
      </c>
      <c r="G503" s="926"/>
      <c r="H503" s="927"/>
      <c r="I503" s="63">
        <v>1998400000</v>
      </c>
    </row>
    <row r="504" spans="1:11">
      <c r="A504" s="60"/>
      <c r="B504" s="220"/>
      <c r="C504" s="221"/>
      <c r="D504" s="113"/>
      <c r="E504" s="113"/>
      <c r="F504" s="925"/>
      <c r="G504" s="926"/>
      <c r="H504" s="927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922">
        <f>SUM(F494:H505)</f>
        <v>8784600</v>
      </c>
      <c r="G506" s="923"/>
      <c r="H506" s="924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</mergeCells>
  <pageMargins left="0.16" right="0.16" top="0.19" bottom="0.25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942" t="s">
        <v>20</v>
      </c>
      <c r="B1" s="942"/>
      <c r="C1" s="942"/>
      <c r="D1" s="942"/>
      <c r="E1" s="942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948" t="s">
        <v>204</v>
      </c>
      <c r="B2" s="948"/>
      <c r="C2" s="948"/>
      <c r="D2" s="948"/>
      <c r="E2" s="948"/>
      <c r="F2" s="948"/>
      <c r="G2" s="948"/>
      <c r="H2" s="948"/>
      <c r="I2" s="948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949" t="s">
        <v>19</v>
      </c>
      <c r="B15" s="949"/>
      <c r="C15" s="949"/>
      <c r="D15" s="949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948" t="s">
        <v>257</v>
      </c>
      <c r="B22" s="948"/>
      <c r="C22" s="948"/>
      <c r="D22" s="948"/>
      <c r="E22" s="948"/>
      <c r="F22" s="948"/>
      <c r="G22" s="948"/>
      <c r="H22" s="948"/>
      <c r="I22" s="948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949" t="s">
        <v>19</v>
      </c>
      <c r="B36" s="949"/>
      <c r="C36" s="949"/>
      <c r="D36" s="949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948" t="s">
        <v>314</v>
      </c>
      <c r="B45" s="948"/>
      <c r="C45" s="948"/>
      <c r="D45" s="948"/>
      <c r="E45" s="948"/>
      <c r="F45" s="948"/>
      <c r="G45" s="948"/>
      <c r="H45" s="948"/>
      <c r="I45" s="948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949" t="s">
        <v>19</v>
      </c>
      <c r="B58" s="949"/>
      <c r="C58" s="949"/>
      <c r="D58" s="949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948" t="s">
        <v>327</v>
      </c>
      <c r="B67" s="948"/>
      <c r="C67" s="948"/>
      <c r="D67" s="948"/>
      <c r="E67" s="948"/>
      <c r="F67" s="948"/>
      <c r="G67" s="948"/>
      <c r="H67" s="948"/>
      <c r="I67" s="948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949" t="s">
        <v>19</v>
      </c>
      <c r="B85" s="949"/>
      <c r="C85" s="949"/>
      <c r="D85" s="949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188" activePane="bottomRight" state="frozen"/>
      <selection activeCell="V99" sqref="V99"/>
      <selection pane="topRight" activeCell="V99" sqref="V99"/>
      <selection pane="bottomLeft" activeCell="V99" sqref="V99"/>
      <selection pane="bottomRight" activeCell="A193" sqref="A193:XFD19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894" t="s">
        <v>0</v>
      </c>
      <c r="B2" s="894" t="s">
        <v>1</v>
      </c>
      <c r="C2" s="897" t="s">
        <v>2</v>
      </c>
      <c r="D2" s="897"/>
      <c r="E2" s="897"/>
      <c r="F2" s="897" t="s">
        <v>464</v>
      </c>
      <c r="G2" s="897"/>
      <c r="H2" s="897"/>
      <c r="I2" s="897"/>
      <c r="J2" s="897"/>
      <c r="K2" s="895" t="s">
        <v>452</v>
      </c>
      <c r="L2" s="897" t="s">
        <v>3</v>
      </c>
      <c r="M2" s="897"/>
      <c r="N2" s="897"/>
      <c r="O2" s="897"/>
      <c r="P2" s="897"/>
      <c r="Q2" s="897"/>
      <c r="R2" s="897"/>
      <c r="S2" s="894" t="s">
        <v>451</v>
      </c>
      <c r="T2" s="894"/>
      <c r="U2" s="894"/>
      <c r="V2" s="895" t="s">
        <v>82</v>
      </c>
    </row>
    <row r="3" spans="1:22" s="143" customFormat="1" ht="42" customHeight="1">
      <c r="A3" s="894"/>
      <c r="B3" s="894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96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96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956">
        <f>SUM(I4:I9)</f>
        <v>418946.44999999995</v>
      </c>
      <c r="K4" s="957">
        <f>29*51000000+9000000*3</f>
        <v>1506000000</v>
      </c>
      <c r="L4" s="970">
        <v>42828</v>
      </c>
      <c r="M4" s="956">
        <v>12</v>
      </c>
      <c r="N4" s="956">
        <f>J4-M4</f>
        <v>418934.44999999995</v>
      </c>
      <c r="O4" s="957">
        <v>22610</v>
      </c>
      <c r="P4" s="957">
        <f>N4*O4</f>
        <v>9472107914.4999981</v>
      </c>
      <c r="Q4" s="957">
        <v>2506900</v>
      </c>
      <c r="R4" s="957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872"/>
      <c r="K5" s="865"/>
      <c r="L5" s="869"/>
      <c r="M5" s="872"/>
      <c r="N5" s="872"/>
      <c r="O5" s="865"/>
      <c r="P5" s="865"/>
      <c r="Q5" s="865"/>
      <c r="R5" s="865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872"/>
      <c r="K6" s="865"/>
      <c r="L6" s="869"/>
      <c r="M6" s="872"/>
      <c r="N6" s="872"/>
      <c r="O6" s="865"/>
      <c r="P6" s="865"/>
      <c r="Q6" s="865"/>
      <c r="R6" s="865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872"/>
      <c r="K7" s="865"/>
      <c r="L7" s="869"/>
      <c r="M7" s="872"/>
      <c r="N7" s="872"/>
      <c r="O7" s="865"/>
      <c r="P7" s="865"/>
      <c r="Q7" s="865"/>
      <c r="R7" s="865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872"/>
      <c r="K8" s="865"/>
      <c r="L8" s="869"/>
      <c r="M8" s="872"/>
      <c r="N8" s="872"/>
      <c r="O8" s="865"/>
      <c r="P8" s="865"/>
      <c r="Q8" s="865"/>
      <c r="R8" s="865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873"/>
      <c r="K9" s="865"/>
      <c r="L9" s="870"/>
      <c r="M9" s="873"/>
      <c r="N9" s="873"/>
      <c r="O9" s="874"/>
      <c r="P9" s="874"/>
      <c r="Q9" s="874"/>
      <c r="R9" s="874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871">
        <f>SUM(I10:I14)</f>
        <v>348255.05</v>
      </c>
      <c r="K10" s="865"/>
      <c r="L10" s="921">
        <v>42842</v>
      </c>
      <c r="M10" s="920">
        <v>117</v>
      </c>
      <c r="N10" s="920">
        <f>J10-M10</f>
        <v>348138.05</v>
      </c>
      <c r="O10" s="918">
        <v>22630</v>
      </c>
      <c r="P10" s="918">
        <f>N10*O10</f>
        <v>7878364071.5</v>
      </c>
      <c r="Q10" s="918"/>
      <c r="R10" s="918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872"/>
      <c r="K11" s="865"/>
      <c r="L11" s="921"/>
      <c r="M11" s="920"/>
      <c r="N11" s="920"/>
      <c r="O11" s="918"/>
      <c r="P11" s="918"/>
      <c r="Q11" s="918"/>
      <c r="R11" s="918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872"/>
      <c r="K12" s="865"/>
      <c r="L12" s="921"/>
      <c r="M12" s="920"/>
      <c r="N12" s="920"/>
      <c r="O12" s="918"/>
      <c r="P12" s="918"/>
      <c r="Q12" s="918"/>
      <c r="R12" s="918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872"/>
      <c r="K13" s="865"/>
      <c r="L13" s="921"/>
      <c r="M13" s="920"/>
      <c r="N13" s="920"/>
      <c r="O13" s="918"/>
      <c r="P13" s="918"/>
      <c r="Q13" s="918"/>
      <c r="R13" s="918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873"/>
      <c r="K14" s="865"/>
      <c r="L14" s="921"/>
      <c r="M14" s="920"/>
      <c r="N14" s="920"/>
      <c r="O14" s="918"/>
      <c r="P14" s="918"/>
      <c r="Q14" s="918"/>
      <c r="R14" s="918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871">
        <f>SUM(I15:I20)</f>
        <v>449685.59999999992</v>
      </c>
      <c r="K15" s="865"/>
      <c r="L15" s="921">
        <v>42850</v>
      </c>
      <c r="M15" s="920">
        <v>12</v>
      </c>
      <c r="N15" s="920">
        <f>J15-M15</f>
        <v>449673.59999999992</v>
      </c>
      <c r="O15" s="918">
        <v>22630</v>
      </c>
      <c r="P15" s="918">
        <f>N15*O15</f>
        <v>10176113567.999998</v>
      </c>
      <c r="Q15" s="918">
        <v>2506900</v>
      </c>
      <c r="R15" s="918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872"/>
      <c r="K16" s="865"/>
      <c r="L16" s="921"/>
      <c r="M16" s="920"/>
      <c r="N16" s="920"/>
      <c r="O16" s="918"/>
      <c r="P16" s="918"/>
      <c r="Q16" s="918"/>
      <c r="R16" s="918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872"/>
      <c r="K17" s="865"/>
      <c r="L17" s="921"/>
      <c r="M17" s="920"/>
      <c r="N17" s="920"/>
      <c r="O17" s="918"/>
      <c r="P17" s="918"/>
      <c r="Q17" s="918"/>
      <c r="R17" s="918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872"/>
      <c r="K18" s="865"/>
      <c r="L18" s="921"/>
      <c r="M18" s="920"/>
      <c r="N18" s="920"/>
      <c r="O18" s="918"/>
      <c r="P18" s="918"/>
      <c r="Q18" s="918"/>
      <c r="R18" s="918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872"/>
      <c r="K19" s="865"/>
      <c r="L19" s="921"/>
      <c r="M19" s="920"/>
      <c r="N19" s="920"/>
      <c r="O19" s="918"/>
      <c r="P19" s="918"/>
      <c r="Q19" s="918"/>
      <c r="R19" s="918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873"/>
      <c r="K20" s="865"/>
      <c r="L20" s="921"/>
      <c r="M20" s="920"/>
      <c r="N20" s="920"/>
      <c r="O20" s="918"/>
      <c r="P20" s="918"/>
      <c r="Q20" s="918"/>
      <c r="R20" s="918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871">
        <f>SUM(I21:I26)</f>
        <v>444935.4</v>
      </c>
      <c r="K21" s="865"/>
      <c r="L21" s="868">
        <v>42868</v>
      </c>
      <c r="M21" s="871">
        <v>12</v>
      </c>
      <c r="N21" s="920">
        <f>J21-M21</f>
        <v>444923.4</v>
      </c>
      <c r="O21" s="918">
        <v>22600</v>
      </c>
      <c r="P21" s="918">
        <f>N21*O21</f>
        <v>10055268840</v>
      </c>
      <c r="Q21" s="918">
        <v>2504700</v>
      </c>
      <c r="R21" s="918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872"/>
      <c r="K22" s="865"/>
      <c r="L22" s="869"/>
      <c r="M22" s="872"/>
      <c r="N22" s="920"/>
      <c r="O22" s="918"/>
      <c r="P22" s="918"/>
      <c r="Q22" s="918"/>
      <c r="R22" s="918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872"/>
      <c r="K23" s="865"/>
      <c r="L23" s="869"/>
      <c r="M23" s="872"/>
      <c r="N23" s="920"/>
      <c r="O23" s="918"/>
      <c r="P23" s="918"/>
      <c r="Q23" s="918"/>
      <c r="R23" s="918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872"/>
      <c r="K24" s="865"/>
      <c r="L24" s="869"/>
      <c r="M24" s="872"/>
      <c r="N24" s="920"/>
      <c r="O24" s="918"/>
      <c r="P24" s="918"/>
      <c r="Q24" s="918"/>
      <c r="R24" s="918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872"/>
      <c r="K25" s="865"/>
      <c r="L25" s="869"/>
      <c r="M25" s="872"/>
      <c r="N25" s="920"/>
      <c r="O25" s="918"/>
      <c r="P25" s="918"/>
      <c r="Q25" s="918"/>
      <c r="R25" s="918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873"/>
      <c r="K26" s="865"/>
      <c r="L26" s="870"/>
      <c r="M26" s="873"/>
      <c r="N26" s="920"/>
      <c r="O26" s="918"/>
      <c r="P26" s="918"/>
      <c r="Q26" s="918"/>
      <c r="R26" s="918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958">
        <f>SUM(I27:I32)</f>
        <v>444935.4</v>
      </c>
      <c r="K27" s="865"/>
      <c r="L27" s="967">
        <v>42907</v>
      </c>
      <c r="M27" s="958">
        <f>12+110</f>
        <v>122</v>
      </c>
      <c r="N27" s="958">
        <f>J27-M27</f>
        <v>444813.4</v>
      </c>
      <c r="O27" s="961">
        <v>22660</v>
      </c>
      <c r="P27" s="961">
        <f>N27*O27</f>
        <v>10079471644</v>
      </c>
      <c r="Q27" s="961"/>
      <c r="R27" s="961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959"/>
      <c r="K28" s="865"/>
      <c r="L28" s="968"/>
      <c r="M28" s="959"/>
      <c r="N28" s="959"/>
      <c r="O28" s="962"/>
      <c r="P28" s="962"/>
      <c r="Q28" s="962"/>
      <c r="R28" s="962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959"/>
      <c r="K29" s="865"/>
      <c r="L29" s="968"/>
      <c r="M29" s="959"/>
      <c r="N29" s="959"/>
      <c r="O29" s="962"/>
      <c r="P29" s="962"/>
      <c r="Q29" s="962"/>
      <c r="R29" s="962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959"/>
      <c r="K30" s="865"/>
      <c r="L30" s="968"/>
      <c r="M30" s="959"/>
      <c r="N30" s="959"/>
      <c r="O30" s="962"/>
      <c r="P30" s="962"/>
      <c r="Q30" s="962"/>
      <c r="R30" s="962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959"/>
      <c r="K31" s="865"/>
      <c r="L31" s="968"/>
      <c r="M31" s="959"/>
      <c r="N31" s="959"/>
      <c r="O31" s="962"/>
      <c r="P31" s="962"/>
      <c r="Q31" s="962"/>
      <c r="R31" s="962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960"/>
      <c r="K32" s="874"/>
      <c r="L32" s="969"/>
      <c r="M32" s="960"/>
      <c r="N32" s="960"/>
      <c r="O32" s="963"/>
      <c r="P32" s="963"/>
      <c r="Q32" s="963"/>
      <c r="R32" s="963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871">
        <f>SUM(I33:I36)</f>
        <v>286067.59999999998</v>
      </c>
      <c r="K33" s="864">
        <f>4*51000000</f>
        <v>204000000</v>
      </c>
      <c r="L33" s="868">
        <v>42864</v>
      </c>
      <c r="M33" s="871">
        <v>12</v>
      </c>
      <c r="N33" s="871">
        <f>J33-M33</f>
        <v>286055.59999999998</v>
      </c>
      <c r="O33" s="864">
        <v>22630</v>
      </c>
      <c r="P33" s="864">
        <f>N33*O33</f>
        <v>6473438227.999999</v>
      </c>
      <c r="Q33" s="864">
        <v>2504700</v>
      </c>
      <c r="R33" s="864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872"/>
      <c r="K34" s="865"/>
      <c r="L34" s="869"/>
      <c r="M34" s="872"/>
      <c r="N34" s="872"/>
      <c r="O34" s="865"/>
      <c r="P34" s="865"/>
      <c r="Q34" s="865"/>
      <c r="R34" s="865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872"/>
      <c r="K35" s="865"/>
      <c r="L35" s="869"/>
      <c r="M35" s="872"/>
      <c r="N35" s="872"/>
      <c r="O35" s="865"/>
      <c r="P35" s="865"/>
      <c r="Q35" s="865"/>
      <c r="R35" s="865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872"/>
      <c r="K36" s="874"/>
      <c r="L36" s="870"/>
      <c r="M36" s="873"/>
      <c r="N36" s="873"/>
      <c r="O36" s="874"/>
      <c r="P36" s="874"/>
      <c r="Q36" s="874"/>
      <c r="R36" s="874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871">
        <f>SUM(I37:I44)</f>
        <v>544219.19999999995</v>
      </c>
      <c r="K37" s="864">
        <f>8*51000000</f>
        <v>408000000</v>
      </c>
      <c r="L37" s="868">
        <v>42873</v>
      </c>
      <c r="M37" s="871">
        <v>12</v>
      </c>
      <c r="N37" s="871">
        <f>SUM(I37:I39)-M37</f>
        <v>174747.2</v>
      </c>
      <c r="O37" s="864">
        <v>22610</v>
      </c>
      <c r="P37" s="864">
        <f>N37*O37</f>
        <v>3951034192.0000005</v>
      </c>
      <c r="Q37" s="864">
        <v>2183641</v>
      </c>
      <c r="R37" s="864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872"/>
      <c r="K38" s="865"/>
      <c r="L38" s="869"/>
      <c r="M38" s="872"/>
      <c r="N38" s="872"/>
      <c r="O38" s="865"/>
      <c r="P38" s="865"/>
      <c r="Q38" s="865"/>
      <c r="R38" s="865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872"/>
      <c r="K39" s="865"/>
      <c r="L39" s="870"/>
      <c r="M39" s="873"/>
      <c r="N39" s="873"/>
      <c r="O39" s="874"/>
      <c r="P39" s="874"/>
      <c r="Q39" s="874"/>
      <c r="R39" s="874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872"/>
      <c r="K40" s="865"/>
      <c r="L40" s="868">
        <v>42892</v>
      </c>
      <c r="M40" s="871">
        <v>12</v>
      </c>
      <c r="N40" s="871">
        <f>SUM(I40:I44)-M40</f>
        <v>369448</v>
      </c>
      <c r="O40" s="864">
        <v>22610</v>
      </c>
      <c r="P40" s="864">
        <f>N40*O40</f>
        <v>8353219280</v>
      </c>
      <c r="Q40" s="864">
        <v>2502500</v>
      </c>
      <c r="R40" s="864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872"/>
      <c r="K41" s="865"/>
      <c r="L41" s="869"/>
      <c r="M41" s="872"/>
      <c r="N41" s="872"/>
      <c r="O41" s="865"/>
      <c r="P41" s="865"/>
      <c r="Q41" s="865"/>
      <c r="R41" s="865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872"/>
      <c r="K42" s="865"/>
      <c r="L42" s="869"/>
      <c r="M42" s="872"/>
      <c r="N42" s="872"/>
      <c r="O42" s="865"/>
      <c r="P42" s="865"/>
      <c r="Q42" s="865"/>
      <c r="R42" s="865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872"/>
      <c r="K43" s="865"/>
      <c r="L43" s="869"/>
      <c r="M43" s="872"/>
      <c r="N43" s="872"/>
      <c r="O43" s="865"/>
      <c r="P43" s="865"/>
      <c r="Q43" s="865"/>
      <c r="R43" s="865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873"/>
      <c r="K44" s="874"/>
      <c r="L44" s="870"/>
      <c r="M44" s="873"/>
      <c r="N44" s="873"/>
      <c r="O44" s="874"/>
      <c r="P44" s="874"/>
      <c r="Q44" s="874"/>
      <c r="R44" s="874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953">
        <f>SUM(I45:I50)</f>
        <v>443352</v>
      </c>
      <c r="K45" s="864">
        <f>12*51000000+14622660</f>
        <v>626622660</v>
      </c>
      <c r="L45" s="950">
        <v>42915</v>
      </c>
      <c r="M45" s="953">
        <v>12</v>
      </c>
      <c r="N45" s="953">
        <f>J45-M45</f>
        <v>443340</v>
      </c>
      <c r="O45" s="964">
        <v>22655</v>
      </c>
      <c r="P45" s="964">
        <f>N45*O45</f>
        <v>10043867700</v>
      </c>
      <c r="Q45" s="964">
        <v>2505800</v>
      </c>
      <c r="R45" s="964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954"/>
      <c r="K46" s="865"/>
      <c r="L46" s="951"/>
      <c r="M46" s="954"/>
      <c r="N46" s="954"/>
      <c r="O46" s="965"/>
      <c r="P46" s="965"/>
      <c r="Q46" s="965"/>
      <c r="R46" s="965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954"/>
      <c r="K47" s="865"/>
      <c r="L47" s="951"/>
      <c r="M47" s="954"/>
      <c r="N47" s="954"/>
      <c r="O47" s="965"/>
      <c r="P47" s="965"/>
      <c r="Q47" s="965"/>
      <c r="R47" s="965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954"/>
      <c r="K48" s="865"/>
      <c r="L48" s="951"/>
      <c r="M48" s="954"/>
      <c r="N48" s="954"/>
      <c r="O48" s="965"/>
      <c r="P48" s="965"/>
      <c r="Q48" s="965"/>
      <c r="R48" s="965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954"/>
      <c r="K49" s="865"/>
      <c r="L49" s="951"/>
      <c r="M49" s="954"/>
      <c r="N49" s="954"/>
      <c r="O49" s="965"/>
      <c r="P49" s="965"/>
      <c r="Q49" s="965"/>
      <c r="R49" s="965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955"/>
      <c r="K50" s="865"/>
      <c r="L50" s="952"/>
      <c r="M50" s="955"/>
      <c r="N50" s="955"/>
      <c r="O50" s="966"/>
      <c r="P50" s="966"/>
      <c r="Q50" s="966"/>
      <c r="R50" s="966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871">
        <f>SUM(I51:I56)</f>
        <v>419601</v>
      </c>
      <c r="K51" s="865"/>
      <c r="L51" s="868">
        <v>42922</v>
      </c>
      <c r="M51" s="871">
        <f>12+5.09</f>
        <v>17.09</v>
      </c>
      <c r="N51" s="871">
        <f>J51-M51</f>
        <v>419583.91</v>
      </c>
      <c r="O51" s="864">
        <v>22660</v>
      </c>
      <c r="P51" s="864">
        <f>N51*O51</f>
        <v>9507771400.5999985</v>
      </c>
      <c r="Q51" s="864">
        <v>2504700</v>
      </c>
      <c r="R51" s="864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872"/>
      <c r="K52" s="865"/>
      <c r="L52" s="869"/>
      <c r="M52" s="872"/>
      <c r="N52" s="872"/>
      <c r="O52" s="865"/>
      <c r="P52" s="865"/>
      <c r="Q52" s="865"/>
      <c r="R52" s="865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872"/>
      <c r="K53" s="865"/>
      <c r="L53" s="869"/>
      <c r="M53" s="872"/>
      <c r="N53" s="872"/>
      <c r="O53" s="865"/>
      <c r="P53" s="865"/>
      <c r="Q53" s="865"/>
      <c r="R53" s="865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872"/>
      <c r="K54" s="865"/>
      <c r="L54" s="869"/>
      <c r="M54" s="872"/>
      <c r="N54" s="872"/>
      <c r="O54" s="865"/>
      <c r="P54" s="865"/>
      <c r="Q54" s="865"/>
      <c r="R54" s="865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872"/>
      <c r="K55" s="865"/>
      <c r="L55" s="869"/>
      <c r="M55" s="872"/>
      <c r="N55" s="872"/>
      <c r="O55" s="865"/>
      <c r="P55" s="865"/>
      <c r="Q55" s="865"/>
      <c r="R55" s="865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873"/>
      <c r="K56" s="874"/>
      <c r="L56" s="870"/>
      <c r="M56" s="873"/>
      <c r="N56" s="873"/>
      <c r="O56" s="874"/>
      <c r="P56" s="874"/>
      <c r="Q56" s="874"/>
      <c r="R56" s="874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871">
        <f>SUM(I57:I62)</f>
        <v>419601</v>
      </c>
      <c r="K57" s="864">
        <f>6*51000000</f>
        <v>306000000</v>
      </c>
      <c r="L57" s="868">
        <v>42926</v>
      </c>
      <c r="M57" s="871">
        <v>16.98</v>
      </c>
      <c r="N57" s="871">
        <f>J57-M57</f>
        <v>419584.02</v>
      </c>
      <c r="O57" s="864">
        <v>22660</v>
      </c>
      <c r="P57" s="864">
        <f>N57*O57</f>
        <v>9507773893.2000008</v>
      </c>
      <c r="Q57" s="864">
        <v>2504700</v>
      </c>
      <c r="R57" s="864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872"/>
      <c r="K58" s="865"/>
      <c r="L58" s="869"/>
      <c r="M58" s="872"/>
      <c r="N58" s="872"/>
      <c r="O58" s="865"/>
      <c r="P58" s="865"/>
      <c r="Q58" s="865"/>
      <c r="R58" s="865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872"/>
      <c r="K59" s="865"/>
      <c r="L59" s="869"/>
      <c r="M59" s="872"/>
      <c r="N59" s="872"/>
      <c r="O59" s="865"/>
      <c r="P59" s="865"/>
      <c r="Q59" s="865"/>
      <c r="R59" s="865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872"/>
      <c r="K60" s="865"/>
      <c r="L60" s="869"/>
      <c r="M60" s="872"/>
      <c r="N60" s="872"/>
      <c r="O60" s="865"/>
      <c r="P60" s="865"/>
      <c r="Q60" s="865"/>
      <c r="R60" s="865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872"/>
      <c r="K61" s="865"/>
      <c r="L61" s="869"/>
      <c r="M61" s="872"/>
      <c r="N61" s="872"/>
      <c r="O61" s="865"/>
      <c r="P61" s="865"/>
      <c r="Q61" s="865"/>
      <c r="R61" s="865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873"/>
      <c r="K62" s="874"/>
      <c r="L62" s="870"/>
      <c r="M62" s="873"/>
      <c r="N62" s="873"/>
      <c r="O62" s="874"/>
      <c r="P62" s="874"/>
      <c r="Q62" s="874"/>
      <c r="R62" s="874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953">
        <f>SUM(I63:I68)</f>
        <v>419601</v>
      </c>
      <c r="K63" s="864">
        <f>22*51000000</f>
        <v>1122000000</v>
      </c>
      <c r="L63" s="868">
        <v>42930</v>
      </c>
      <c r="M63" s="871">
        <v>16.98</v>
      </c>
      <c r="N63" s="871">
        <f>J63-M63</f>
        <v>419584.02</v>
      </c>
      <c r="O63" s="864">
        <v>22660</v>
      </c>
      <c r="P63" s="864">
        <f>N63*O63</f>
        <v>9507773893.2000008</v>
      </c>
      <c r="Q63" s="864">
        <v>2504700</v>
      </c>
      <c r="R63" s="864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954"/>
      <c r="K64" s="865"/>
      <c r="L64" s="869"/>
      <c r="M64" s="872"/>
      <c r="N64" s="872"/>
      <c r="O64" s="865"/>
      <c r="P64" s="865"/>
      <c r="Q64" s="865"/>
      <c r="R64" s="865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954"/>
      <c r="K65" s="865"/>
      <c r="L65" s="869"/>
      <c r="M65" s="872"/>
      <c r="N65" s="872"/>
      <c r="O65" s="865"/>
      <c r="P65" s="865"/>
      <c r="Q65" s="865"/>
      <c r="R65" s="865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954"/>
      <c r="K66" s="865"/>
      <c r="L66" s="869"/>
      <c r="M66" s="872"/>
      <c r="N66" s="872"/>
      <c r="O66" s="865"/>
      <c r="P66" s="865"/>
      <c r="Q66" s="865"/>
      <c r="R66" s="865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954"/>
      <c r="K67" s="865"/>
      <c r="L67" s="869"/>
      <c r="M67" s="872"/>
      <c r="N67" s="872"/>
      <c r="O67" s="865"/>
      <c r="P67" s="865"/>
      <c r="Q67" s="865"/>
      <c r="R67" s="865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955"/>
      <c r="K68" s="865"/>
      <c r="L68" s="870"/>
      <c r="M68" s="873"/>
      <c r="N68" s="873"/>
      <c r="O68" s="874"/>
      <c r="P68" s="874"/>
      <c r="Q68" s="874"/>
      <c r="R68" s="874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953">
        <f>SUM(I69:I74)</f>
        <v>419601</v>
      </c>
      <c r="K69" s="865"/>
      <c r="L69" s="868">
        <v>42935</v>
      </c>
      <c r="M69" s="871">
        <f>J69-N69</f>
        <v>17.179999999993015</v>
      </c>
      <c r="N69" s="871">
        <v>419583.82</v>
      </c>
      <c r="O69" s="864">
        <v>22660</v>
      </c>
      <c r="P69" s="864">
        <f>N69*O69</f>
        <v>9507769361.2000008</v>
      </c>
      <c r="Q69" s="864">
        <v>2504700</v>
      </c>
      <c r="R69" s="864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954"/>
      <c r="K70" s="865"/>
      <c r="L70" s="869"/>
      <c r="M70" s="872"/>
      <c r="N70" s="872"/>
      <c r="O70" s="865"/>
      <c r="P70" s="865"/>
      <c r="Q70" s="865"/>
      <c r="R70" s="865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954"/>
      <c r="K71" s="865"/>
      <c r="L71" s="869"/>
      <c r="M71" s="872"/>
      <c r="N71" s="872"/>
      <c r="O71" s="865"/>
      <c r="P71" s="865"/>
      <c r="Q71" s="865"/>
      <c r="R71" s="865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954"/>
      <c r="K72" s="865"/>
      <c r="L72" s="869"/>
      <c r="M72" s="872"/>
      <c r="N72" s="872"/>
      <c r="O72" s="865"/>
      <c r="P72" s="865"/>
      <c r="Q72" s="865"/>
      <c r="R72" s="865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954"/>
      <c r="K73" s="865"/>
      <c r="L73" s="869"/>
      <c r="M73" s="872"/>
      <c r="N73" s="872"/>
      <c r="O73" s="865"/>
      <c r="P73" s="865"/>
      <c r="Q73" s="865"/>
      <c r="R73" s="865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955"/>
      <c r="K74" s="865"/>
      <c r="L74" s="870"/>
      <c r="M74" s="873"/>
      <c r="N74" s="873"/>
      <c r="O74" s="874"/>
      <c r="P74" s="874"/>
      <c r="Q74" s="874"/>
      <c r="R74" s="874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871">
        <f>SUM(I75:I80)</f>
        <v>419601</v>
      </c>
      <c r="K75" s="865"/>
      <c r="L75" s="868">
        <v>42941</v>
      </c>
      <c r="M75" s="871">
        <f>J75-N75</f>
        <v>17.179999999993015</v>
      </c>
      <c r="N75" s="871">
        <v>419583.82</v>
      </c>
      <c r="O75" s="864">
        <v>22660</v>
      </c>
      <c r="P75" s="864">
        <f>N75*O75</f>
        <v>9507769361.2000008</v>
      </c>
      <c r="Q75" s="864">
        <v>2504700</v>
      </c>
      <c r="R75" s="864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872"/>
      <c r="K76" s="865"/>
      <c r="L76" s="869"/>
      <c r="M76" s="872"/>
      <c r="N76" s="872"/>
      <c r="O76" s="865"/>
      <c r="P76" s="865"/>
      <c r="Q76" s="865"/>
      <c r="R76" s="865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872"/>
      <c r="K77" s="865"/>
      <c r="L77" s="869"/>
      <c r="M77" s="872"/>
      <c r="N77" s="872"/>
      <c r="O77" s="865"/>
      <c r="P77" s="865"/>
      <c r="Q77" s="865"/>
      <c r="R77" s="865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872"/>
      <c r="K78" s="865"/>
      <c r="L78" s="869"/>
      <c r="M78" s="872"/>
      <c r="N78" s="872"/>
      <c r="O78" s="865"/>
      <c r="P78" s="865"/>
      <c r="Q78" s="865"/>
      <c r="R78" s="865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872"/>
      <c r="K79" s="865"/>
      <c r="L79" s="869"/>
      <c r="M79" s="872"/>
      <c r="N79" s="872"/>
      <c r="O79" s="865"/>
      <c r="P79" s="865"/>
      <c r="Q79" s="865"/>
      <c r="R79" s="865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873"/>
      <c r="K80" s="865"/>
      <c r="L80" s="870"/>
      <c r="M80" s="873"/>
      <c r="N80" s="873"/>
      <c r="O80" s="874"/>
      <c r="P80" s="874"/>
      <c r="Q80" s="874"/>
      <c r="R80" s="874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920">
        <f>SUM(I81:I84)</f>
        <v>279734</v>
      </c>
      <c r="K81" s="865"/>
      <c r="L81" s="868">
        <v>42949</v>
      </c>
      <c r="M81" s="871">
        <v>153.86000000000001</v>
      </c>
      <c r="N81" s="871">
        <f>J81-M81</f>
        <v>279580.14</v>
      </c>
      <c r="O81" s="864">
        <v>22690</v>
      </c>
      <c r="P81" s="864">
        <f>N81*O81</f>
        <v>6343673376.6000004</v>
      </c>
      <c r="Q81" s="864"/>
      <c r="R81" s="864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920"/>
      <c r="K82" s="865"/>
      <c r="L82" s="869"/>
      <c r="M82" s="872"/>
      <c r="N82" s="872"/>
      <c r="O82" s="865"/>
      <c r="P82" s="865"/>
      <c r="Q82" s="865"/>
      <c r="R82" s="865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920"/>
      <c r="K83" s="865"/>
      <c r="L83" s="869"/>
      <c r="M83" s="872"/>
      <c r="N83" s="872"/>
      <c r="O83" s="865"/>
      <c r="P83" s="865"/>
      <c r="Q83" s="865"/>
      <c r="R83" s="865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920"/>
      <c r="K84" s="874"/>
      <c r="L84" s="870"/>
      <c r="M84" s="873"/>
      <c r="N84" s="873"/>
      <c r="O84" s="874"/>
      <c r="P84" s="874"/>
      <c r="Q84" s="874"/>
      <c r="R84" s="874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920">
        <f>SUM(I85:I88)</f>
        <v>279734</v>
      </c>
      <c r="K85" s="864">
        <f>10*51000000</f>
        <v>510000000</v>
      </c>
      <c r="L85" s="868">
        <v>42957</v>
      </c>
      <c r="M85" s="871">
        <f>J85-N85</f>
        <v>17.75</v>
      </c>
      <c r="N85" s="871">
        <v>279716.25</v>
      </c>
      <c r="O85" s="864">
        <v>22690</v>
      </c>
      <c r="P85" s="864">
        <f>N85*O85</f>
        <v>6346761712.5</v>
      </c>
      <c r="Q85" s="864">
        <v>2503600</v>
      </c>
      <c r="R85" s="864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920"/>
      <c r="K86" s="865"/>
      <c r="L86" s="869"/>
      <c r="M86" s="872"/>
      <c r="N86" s="872"/>
      <c r="O86" s="865"/>
      <c r="P86" s="865"/>
      <c r="Q86" s="865"/>
      <c r="R86" s="865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920"/>
      <c r="K87" s="865"/>
      <c r="L87" s="869"/>
      <c r="M87" s="872"/>
      <c r="N87" s="872"/>
      <c r="O87" s="865"/>
      <c r="P87" s="865"/>
      <c r="Q87" s="865"/>
      <c r="R87" s="865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920"/>
      <c r="K88" s="865"/>
      <c r="L88" s="870"/>
      <c r="M88" s="873"/>
      <c r="N88" s="873"/>
      <c r="O88" s="874"/>
      <c r="P88" s="874"/>
      <c r="Q88" s="874"/>
      <c r="R88" s="874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920">
        <f>SUM(I89:I92)</f>
        <v>279734</v>
      </c>
      <c r="K89" s="865"/>
      <c r="L89" s="868">
        <v>42964</v>
      </c>
      <c r="M89" s="871">
        <f>J89-N89</f>
        <v>17.64000000001397</v>
      </c>
      <c r="N89" s="871">
        <v>279716.36</v>
      </c>
      <c r="O89" s="864">
        <v>22690</v>
      </c>
      <c r="P89" s="864">
        <f>N89*O89</f>
        <v>6346764208.3999996</v>
      </c>
      <c r="Q89" s="864">
        <v>2504150</v>
      </c>
      <c r="R89" s="864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920"/>
      <c r="K90" s="865"/>
      <c r="L90" s="869"/>
      <c r="M90" s="872"/>
      <c r="N90" s="872"/>
      <c r="O90" s="865"/>
      <c r="P90" s="865"/>
      <c r="Q90" s="865"/>
      <c r="R90" s="865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920"/>
      <c r="K91" s="865"/>
      <c r="L91" s="869"/>
      <c r="M91" s="872"/>
      <c r="N91" s="872"/>
      <c r="O91" s="865"/>
      <c r="P91" s="865"/>
      <c r="Q91" s="865"/>
      <c r="R91" s="865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920"/>
      <c r="K92" s="865"/>
      <c r="L92" s="870"/>
      <c r="M92" s="873"/>
      <c r="N92" s="873"/>
      <c r="O92" s="874"/>
      <c r="P92" s="874"/>
      <c r="Q92" s="874"/>
      <c r="R92" s="874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871">
        <f>SUM(I93:I94)</f>
        <v>145145</v>
      </c>
      <c r="K93" s="865"/>
      <c r="L93" s="868">
        <v>42972</v>
      </c>
      <c r="M93" s="871">
        <f>SUM(J93:J98)-N93</f>
        <v>220</v>
      </c>
      <c r="N93" s="871">
        <v>435215</v>
      </c>
      <c r="O93" s="864">
        <v>22690</v>
      </c>
      <c r="P93" s="864">
        <f>N93*O93</f>
        <v>9875028350</v>
      </c>
      <c r="Q93" s="864"/>
      <c r="R93" s="864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873"/>
      <c r="K94" s="874"/>
      <c r="L94" s="869"/>
      <c r="M94" s="872"/>
      <c r="N94" s="872"/>
      <c r="O94" s="865"/>
      <c r="P94" s="865"/>
      <c r="Q94" s="865"/>
      <c r="R94" s="865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871">
        <f>SUM(I95:I98)</f>
        <v>290290</v>
      </c>
      <c r="K95" s="864">
        <f>10*51000000+46999580</f>
        <v>556999580</v>
      </c>
      <c r="L95" s="869"/>
      <c r="M95" s="872"/>
      <c r="N95" s="872"/>
      <c r="O95" s="865"/>
      <c r="P95" s="865"/>
      <c r="Q95" s="865"/>
      <c r="R95" s="865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872"/>
      <c r="K96" s="865"/>
      <c r="L96" s="869"/>
      <c r="M96" s="872"/>
      <c r="N96" s="872"/>
      <c r="O96" s="865"/>
      <c r="P96" s="865"/>
      <c r="Q96" s="865"/>
      <c r="R96" s="865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872"/>
      <c r="K97" s="865"/>
      <c r="L97" s="869"/>
      <c r="M97" s="872"/>
      <c r="N97" s="872"/>
      <c r="O97" s="865"/>
      <c r="P97" s="865"/>
      <c r="Q97" s="865"/>
      <c r="R97" s="865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873"/>
      <c r="K98" s="865"/>
      <c r="L98" s="870"/>
      <c r="M98" s="873"/>
      <c r="N98" s="873"/>
      <c r="O98" s="874"/>
      <c r="P98" s="874"/>
      <c r="Q98" s="874"/>
      <c r="R98" s="874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871">
        <f>SUM(I99:I104)</f>
        <v>427518</v>
      </c>
      <c r="K99" s="865"/>
      <c r="L99" s="868">
        <v>42985</v>
      </c>
      <c r="M99" s="871">
        <v>110</v>
      </c>
      <c r="N99" s="871">
        <f>J99-M99</f>
        <v>427408</v>
      </c>
      <c r="O99" s="864">
        <v>22690</v>
      </c>
      <c r="P99" s="864">
        <f>N99*O99</f>
        <v>9697887520</v>
      </c>
      <c r="Q99" s="864"/>
      <c r="R99" s="864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872"/>
      <c r="K100" s="865"/>
      <c r="L100" s="869"/>
      <c r="M100" s="872"/>
      <c r="N100" s="872"/>
      <c r="O100" s="865"/>
      <c r="P100" s="865"/>
      <c r="Q100" s="865"/>
      <c r="R100" s="865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872"/>
      <c r="K101" s="865"/>
      <c r="L101" s="869"/>
      <c r="M101" s="872"/>
      <c r="N101" s="872"/>
      <c r="O101" s="865"/>
      <c r="P101" s="865"/>
      <c r="Q101" s="865"/>
      <c r="R101" s="865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872"/>
      <c r="K102" s="865"/>
      <c r="L102" s="869"/>
      <c r="M102" s="872"/>
      <c r="N102" s="872"/>
      <c r="O102" s="865"/>
      <c r="P102" s="865"/>
      <c r="Q102" s="865"/>
      <c r="R102" s="865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872"/>
      <c r="K103" s="865"/>
      <c r="L103" s="869"/>
      <c r="M103" s="872"/>
      <c r="N103" s="872"/>
      <c r="O103" s="865"/>
      <c r="P103" s="865"/>
      <c r="Q103" s="865"/>
      <c r="R103" s="865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873"/>
      <c r="K104" s="874"/>
      <c r="L104" s="870"/>
      <c r="M104" s="873"/>
      <c r="N104" s="873"/>
      <c r="O104" s="874"/>
      <c r="P104" s="874"/>
      <c r="Q104" s="874"/>
      <c r="R104" s="874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85">
        <f>SUM(I105:I108)</f>
        <v>295568</v>
      </c>
      <c r="K105" s="864">
        <f>10*51000000+'ZHOUSHAN - CT-2017'!F271+'ZHOUSHAN - CT-2017'!F272</f>
        <v>564434540</v>
      </c>
      <c r="L105" s="868">
        <v>43011</v>
      </c>
      <c r="M105" s="871">
        <f>J105-N105</f>
        <v>17.679999999993015</v>
      </c>
      <c r="N105" s="871">
        <v>295550.32</v>
      </c>
      <c r="O105" s="864">
        <v>22690</v>
      </c>
      <c r="P105" s="864">
        <f>N105*O105</f>
        <v>6706036760.8000002</v>
      </c>
      <c r="Q105" s="864">
        <v>2503600</v>
      </c>
      <c r="R105" s="864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86"/>
      <c r="K106" s="865"/>
      <c r="L106" s="869"/>
      <c r="M106" s="872"/>
      <c r="N106" s="872"/>
      <c r="O106" s="865"/>
      <c r="P106" s="865"/>
      <c r="Q106" s="865"/>
      <c r="R106" s="865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86"/>
      <c r="K107" s="865"/>
      <c r="L107" s="869"/>
      <c r="M107" s="872"/>
      <c r="N107" s="872"/>
      <c r="O107" s="865"/>
      <c r="P107" s="865"/>
      <c r="Q107" s="865"/>
      <c r="R107" s="865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87"/>
      <c r="K108" s="865"/>
      <c r="L108" s="870"/>
      <c r="M108" s="873"/>
      <c r="N108" s="873"/>
      <c r="O108" s="874"/>
      <c r="P108" s="874"/>
      <c r="Q108" s="874"/>
      <c r="R108" s="874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871">
        <f>SUM(I109:I114)</f>
        <v>443352</v>
      </c>
      <c r="K109" s="865"/>
      <c r="L109" s="868">
        <v>42993</v>
      </c>
      <c r="M109" s="871">
        <v>220</v>
      </c>
      <c r="N109" s="871">
        <f>J109-M109</f>
        <v>443132</v>
      </c>
      <c r="O109" s="864">
        <v>22690</v>
      </c>
      <c r="P109" s="864">
        <f>N109*O109</f>
        <v>10054665080</v>
      </c>
      <c r="Q109" s="864"/>
      <c r="R109" s="864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872"/>
      <c r="K110" s="865"/>
      <c r="L110" s="869"/>
      <c r="M110" s="872"/>
      <c r="N110" s="872"/>
      <c r="O110" s="865"/>
      <c r="P110" s="865"/>
      <c r="Q110" s="865"/>
      <c r="R110" s="865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872"/>
      <c r="K111" s="865"/>
      <c r="L111" s="869"/>
      <c r="M111" s="872"/>
      <c r="N111" s="872"/>
      <c r="O111" s="865"/>
      <c r="P111" s="865"/>
      <c r="Q111" s="865"/>
      <c r="R111" s="865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872"/>
      <c r="K112" s="865"/>
      <c r="L112" s="869"/>
      <c r="M112" s="872"/>
      <c r="N112" s="872"/>
      <c r="O112" s="865"/>
      <c r="P112" s="865"/>
      <c r="Q112" s="865"/>
      <c r="R112" s="865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872"/>
      <c r="K113" s="865"/>
      <c r="L113" s="869"/>
      <c r="M113" s="872"/>
      <c r="N113" s="872"/>
      <c r="O113" s="865"/>
      <c r="P113" s="865"/>
      <c r="Q113" s="865"/>
      <c r="R113" s="865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873"/>
      <c r="K114" s="874"/>
      <c r="L114" s="870"/>
      <c r="M114" s="873"/>
      <c r="N114" s="873"/>
      <c r="O114" s="874"/>
      <c r="P114" s="874"/>
      <c r="Q114" s="874"/>
      <c r="R114" s="874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871">
        <f>SUM(I115:I120)</f>
        <v>443352</v>
      </c>
      <c r="K115" s="864">
        <f>6*51000000+'ZHOUSHAN - CT-2017'!F291+'ZHOUSHAN - CT-2017'!F292</f>
        <v>338865760</v>
      </c>
      <c r="L115" s="868">
        <v>42998</v>
      </c>
      <c r="M115" s="871">
        <v>220</v>
      </c>
      <c r="N115" s="871">
        <f>J115-M115</f>
        <v>443132</v>
      </c>
      <c r="O115" s="864">
        <v>22690</v>
      </c>
      <c r="P115" s="864">
        <f>N115*O115</f>
        <v>10054665080</v>
      </c>
      <c r="Q115" s="864"/>
      <c r="R115" s="864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872"/>
      <c r="K116" s="865"/>
      <c r="L116" s="869"/>
      <c r="M116" s="872"/>
      <c r="N116" s="872"/>
      <c r="O116" s="865"/>
      <c r="P116" s="865"/>
      <c r="Q116" s="865"/>
      <c r="R116" s="865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872"/>
      <c r="K117" s="865"/>
      <c r="L117" s="869"/>
      <c r="M117" s="872"/>
      <c r="N117" s="872"/>
      <c r="O117" s="865"/>
      <c r="P117" s="865"/>
      <c r="Q117" s="865"/>
      <c r="R117" s="865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872"/>
      <c r="K118" s="865"/>
      <c r="L118" s="869"/>
      <c r="M118" s="872"/>
      <c r="N118" s="872"/>
      <c r="O118" s="865"/>
      <c r="P118" s="865"/>
      <c r="Q118" s="865"/>
      <c r="R118" s="865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872"/>
      <c r="K119" s="865"/>
      <c r="L119" s="869"/>
      <c r="M119" s="872"/>
      <c r="N119" s="872"/>
      <c r="O119" s="865"/>
      <c r="P119" s="865"/>
      <c r="Q119" s="865"/>
      <c r="R119" s="865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873"/>
      <c r="K120" s="874"/>
      <c r="L120" s="870"/>
      <c r="M120" s="873"/>
      <c r="N120" s="873"/>
      <c r="O120" s="874"/>
      <c r="P120" s="874"/>
      <c r="Q120" s="874"/>
      <c r="R120" s="874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871">
        <f>SUM(I121:I126)</f>
        <v>443352</v>
      </c>
      <c r="K121" s="864">
        <f>18*53000000+'ZHOUSHAN - CT-2017'!F356</f>
        <v>1012770140</v>
      </c>
      <c r="L121" s="868">
        <v>43033</v>
      </c>
      <c r="M121" s="871">
        <v>17.73</v>
      </c>
      <c r="N121" s="871">
        <f>J121-M121</f>
        <v>443334.27</v>
      </c>
      <c r="O121" s="864">
        <v>22690</v>
      </c>
      <c r="P121" s="864">
        <f>N121*O121</f>
        <v>10059254586.300001</v>
      </c>
      <c r="Q121" s="864">
        <v>2503600</v>
      </c>
      <c r="R121" s="864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872"/>
      <c r="K122" s="865"/>
      <c r="L122" s="869"/>
      <c r="M122" s="872"/>
      <c r="N122" s="872"/>
      <c r="O122" s="865"/>
      <c r="P122" s="865"/>
      <c r="Q122" s="865"/>
      <c r="R122" s="865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872"/>
      <c r="K123" s="865"/>
      <c r="L123" s="869"/>
      <c r="M123" s="872"/>
      <c r="N123" s="872"/>
      <c r="O123" s="865"/>
      <c r="P123" s="865"/>
      <c r="Q123" s="865"/>
      <c r="R123" s="865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872"/>
      <c r="K124" s="865"/>
      <c r="L124" s="869"/>
      <c r="M124" s="872"/>
      <c r="N124" s="872"/>
      <c r="O124" s="865"/>
      <c r="P124" s="865"/>
      <c r="Q124" s="865"/>
      <c r="R124" s="865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872"/>
      <c r="K125" s="865"/>
      <c r="L125" s="869"/>
      <c r="M125" s="872"/>
      <c r="N125" s="872"/>
      <c r="O125" s="865"/>
      <c r="P125" s="865"/>
      <c r="Q125" s="865"/>
      <c r="R125" s="865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873"/>
      <c r="K126" s="865"/>
      <c r="L126" s="870"/>
      <c r="M126" s="873"/>
      <c r="N126" s="873"/>
      <c r="O126" s="874"/>
      <c r="P126" s="874"/>
      <c r="Q126" s="874"/>
      <c r="R126" s="874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871">
        <f>SUM(I127:I132)</f>
        <v>427518</v>
      </c>
      <c r="K127" s="865"/>
      <c r="L127" s="868">
        <v>43038</v>
      </c>
      <c r="M127" s="871">
        <v>17.63</v>
      </c>
      <c r="N127" s="871">
        <f>J127-M127</f>
        <v>427500.37</v>
      </c>
      <c r="O127" s="864">
        <v>22680</v>
      </c>
      <c r="P127" s="864">
        <f>N127*O127</f>
        <v>9695708391.6000004</v>
      </c>
      <c r="Q127" s="864">
        <v>2502500</v>
      </c>
      <c r="R127" s="864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872"/>
      <c r="K128" s="865"/>
      <c r="L128" s="869"/>
      <c r="M128" s="872"/>
      <c r="N128" s="872"/>
      <c r="O128" s="865"/>
      <c r="P128" s="865"/>
      <c r="Q128" s="865"/>
      <c r="R128" s="865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872"/>
      <c r="K129" s="865"/>
      <c r="L129" s="869"/>
      <c r="M129" s="872"/>
      <c r="N129" s="872"/>
      <c r="O129" s="865"/>
      <c r="P129" s="865"/>
      <c r="Q129" s="865"/>
      <c r="R129" s="865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872"/>
      <c r="K130" s="865"/>
      <c r="L130" s="869"/>
      <c r="M130" s="872"/>
      <c r="N130" s="872"/>
      <c r="O130" s="865"/>
      <c r="P130" s="865"/>
      <c r="Q130" s="865"/>
      <c r="R130" s="865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872"/>
      <c r="K131" s="865"/>
      <c r="L131" s="869"/>
      <c r="M131" s="872"/>
      <c r="N131" s="872"/>
      <c r="O131" s="865"/>
      <c r="P131" s="865"/>
      <c r="Q131" s="865"/>
      <c r="R131" s="865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873"/>
      <c r="K132" s="865"/>
      <c r="L132" s="870"/>
      <c r="M132" s="873"/>
      <c r="N132" s="873"/>
      <c r="O132" s="874"/>
      <c r="P132" s="874"/>
      <c r="Q132" s="874"/>
      <c r="R132" s="874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871">
        <f>SUM(I133:I138)</f>
        <v>427518</v>
      </c>
      <c r="K133" s="865"/>
      <c r="L133" s="868">
        <v>43045</v>
      </c>
      <c r="M133" s="871">
        <f>J133+J139-N133</f>
        <v>17.439999999944121</v>
      </c>
      <c r="N133" s="871">
        <v>562089.56000000006</v>
      </c>
      <c r="O133" s="864">
        <v>22680</v>
      </c>
      <c r="P133" s="864">
        <f>N133*O133</f>
        <v>12748191220.800001</v>
      </c>
      <c r="Q133" s="864">
        <v>2502500</v>
      </c>
      <c r="R133" s="864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872"/>
      <c r="K134" s="865"/>
      <c r="L134" s="869"/>
      <c r="M134" s="872"/>
      <c r="N134" s="872"/>
      <c r="O134" s="865"/>
      <c r="P134" s="865"/>
      <c r="Q134" s="865"/>
      <c r="R134" s="865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872"/>
      <c r="K135" s="865"/>
      <c r="L135" s="869"/>
      <c r="M135" s="872"/>
      <c r="N135" s="872"/>
      <c r="O135" s="865"/>
      <c r="P135" s="865"/>
      <c r="Q135" s="865"/>
      <c r="R135" s="865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872"/>
      <c r="K136" s="865"/>
      <c r="L136" s="869"/>
      <c r="M136" s="872"/>
      <c r="N136" s="872"/>
      <c r="O136" s="865"/>
      <c r="P136" s="865"/>
      <c r="Q136" s="865"/>
      <c r="R136" s="865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872"/>
      <c r="K137" s="865"/>
      <c r="L137" s="869"/>
      <c r="M137" s="872"/>
      <c r="N137" s="872"/>
      <c r="O137" s="865"/>
      <c r="P137" s="865"/>
      <c r="Q137" s="865"/>
      <c r="R137" s="865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873"/>
      <c r="K138" s="874"/>
      <c r="L138" s="869"/>
      <c r="M138" s="872"/>
      <c r="N138" s="872"/>
      <c r="O138" s="865"/>
      <c r="P138" s="865"/>
      <c r="Q138" s="865"/>
      <c r="R138" s="865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871">
        <f>SUM(I139:I140)</f>
        <v>134589</v>
      </c>
      <c r="K139" s="864">
        <f>53000000*4</f>
        <v>212000000</v>
      </c>
      <c r="L139" s="869"/>
      <c r="M139" s="872"/>
      <c r="N139" s="872"/>
      <c r="O139" s="865"/>
      <c r="P139" s="865"/>
      <c r="Q139" s="865"/>
      <c r="R139" s="865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873"/>
      <c r="K140" s="865"/>
      <c r="L140" s="870"/>
      <c r="M140" s="873"/>
      <c r="N140" s="873"/>
      <c r="O140" s="874"/>
      <c r="P140" s="874"/>
      <c r="Q140" s="874"/>
      <c r="R140" s="874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871">
        <f>SUM(I141:I142)</f>
        <v>134589</v>
      </c>
      <c r="K141" s="662"/>
      <c r="L141" s="868">
        <v>43049</v>
      </c>
      <c r="M141" s="871">
        <f>J141+J143-N141</f>
        <v>17.380000000004657</v>
      </c>
      <c r="N141" s="871">
        <v>517754.42</v>
      </c>
      <c r="O141" s="864">
        <v>22680</v>
      </c>
      <c r="P141" s="864">
        <f>N141*O141</f>
        <v>11742670245.6</v>
      </c>
      <c r="Q141" s="864">
        <v>2502500</v>
      </c>
      <c r="R141" s="864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873"/>
      <c r="K142" s="663"/>
      <c r="L142" s="869"/>
      <c r="M142" s="872"/>
      <c r="N142" s="872"/>
      <c r="O142" s="865"/>
      <c r="P142" s="865"/>
      <c r="Q142" s="865"/>
      <c r="R142" s="865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871">
        <f>SUM(I143:I148)</f>
        <v>383182.8</v>
      </c>
      <c r="K143" s="864">
        <f>53000000*12</f>
        <v>636000000</v>
      </c>
      <c r="L143" s="869"/>
      <c r="M143" s="872"/>
      <c r="N143" s="872"/>
      <c r="O143" s="865"/>
      <c r="P143" s="865"/>
      <c r="Q143" s="865"/>
      <c r="R143" s="865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872"/>
      <c r="K144" s="865"/>
      <c r="L144" s="869"/>
      <c r="M144" s="872"/>
      <c r="N144" s="872"/>
      <c r="O144" s="865"/>
      <c r="P144" s="865"/>
      <c r="Q144" s="865"/>
      <c r="R144" s="865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872"/>
      <c r="K145" s="865"/>
      <c r="L145" s="869"/>
      <c r="M145" s="872"/>
      <c r="N145" s="872"/>
      <c r="O145" s="865"/>
      <c r="P145" s="865"/>
      <c r="Q145" s="865"/>
      <c r="R145" s="865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872"/>
      <c r="K146" s="865"/>
      <c r="L146" s="869"/>
      <c r="M146" s="872"/>
      <c r="N146" s="872"/>
      <c r="O146" s="865"/>
      <c r="P146" s="865"/>
      <c r="Q146" s="865"/>
      <c r="R146" s="865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872"/>
      <c r="K147" s="865"/>
      <c r="L147" s="869"/>
      <c r="M147" s="872"/>
      <c r="N147" s="872"/>
      <c r="O147" s="865"/>
      <c r="P147" s="865"/>
      <c r="Q147" s="865"/>
      <c r="R147" s="865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873"/>
      <c r="K148" s="865"/>
      <c r="L148" s="870"/>
      <c r="M148" s="873"/>
      <c r="N148" s="873"/>
      <c r="O148" s="874"/>
      <c r="P148" s="874"/>
      <c r="Q148" s="874"/>
      <c r="R148" s="874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6">
        <f>G149*H149</f>
        <v>63863.799999999996</v>
      </c>
      <c r="J149" s="885">
        <f>SUM(I149:I150)</f>
        <v>127727.59999999999</v>
      </c>
      <c r="K149" s="888">
        <f>53000000*2</f>
        <v>106000000</v>
      </c>
      <c r="L149" s="868">
        <v>43055</v>
      </c>
      <c r="M149" s="871">
        <f>SUM(J149:J156)-N149</f>
        <v>17.46999999997206</v>
      </c>
      <c r="N149" s="871">
        <v>510892.93</v>
      </c>
      <c r="O149" s="864">
        <v>22680</v>
      </c>
      <c r="P149" s="864">
        <f>N149*O149</f>
        <v>11587051652.4</v>
      </c>
      <c r="Q149" s="864">
        <v>2502500</v>
      </c>
      <c r="R149" s="864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6">
        <f>G150*H150</f>
        <v>63863.799999999996</v>
      </c>
      <c r="J150" s="887"/>
      <c r="K150" s="890"/>
      <c r="L150" s="869"/>
      <c r="M150" s="872"/>
      <c r="N150" s="872"/>
      <c r="O150" s="865"/>
      <c r="P150" s="865"/>
      <c r="Q150" s="865"/>
      <c r="R150" s="865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871">
        <f>SUM(I151:I152)</f>
        <v>127727.59999999999</v>
      </c>
      <c r="K151" s="662"/>
      <c r="L151" s="869"/>
      <c r="M151" s="872"/>
      <c r="N151" s="872"/>
      <c r="O151" s="865"/>
      <c r="P151" s="865"/>
      <c r="Q151" s="865"/>
      <c r="R151" s="865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873"/>
      <c r="K152" s="662"/>
      <c r="L152" s="869"/>
      <c r="M152" s="872"/>
      <c r="N152" s="872"/>
      <c r="O152" s="865"/>
      <c r="P152" s="865"/>
      <c r="Q152" s="865"/>
      <c r="R152" s="865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871">
        <f>SUM(I153:I156)</f>
        <v>255455.19999999998</v>
      </c>
      <c r="K153" s="662"/>
      <c r="L153" s="869"/>
      <c r="M153" s="872"/>
      <c r="N153" s="872"/>
      <c r="O153" s="865"/>
      <c r="P153" s="865"/>
      <c r="Q153" s="865"/>
      <c r="R153" s="865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872"/>
      <c r="K154" s="662"/>
      <c r="L154" s="869"/>
      <c r="M154" s="872"/>
      <c r="N154" s="872"/>
      <c r="O154" s="865"/>
      <c r="P154" s="865"/>
      <c r="Q154" s="865"/>
      <c r="R154" s="865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872"/>
      <c r="K155" s="662"/>
      <c r="L155" s="869"/>
      <c r="M155" s="872"/>
      <c r="N155" s="872"/>
      <c r="O155" s="865"/>
      <c r="P155" s="865"/>
      <c r="Q155" s="865"/>
      <c r="R155" s="865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873"/>
      <c r="K156" s="663"/>
      <c r="L156" s="870"/>
      <c r="M156" s="873"/>
      <c r="N156" s="873"/>
      <c r="O156" s="874"/>
      <c r="P156" s="874"/>
      <c r="Q156" s="874"/>
      <c r="R156" s="874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871">
        <f>SUM(I157:I162)</f>
        <v>387933.00000000006</v>
      </c>
      <c r="K157" s="864">
        <f>53000000*12</f>
        <v>636000000</v>
      </c>
      <c r="L157" s="868">
        <v>43066</v>
      </c>
      <c r="M157" s="871">
        <v>220</v>
      </c>
      <c r="N157" s="871">
        <f>J157-M157</f>
        <v>387713.00000000006</v>
      </c>
      <c r="O157" s="864">
        <v>22690</v>
      </c>
      <c r="P157" s="864">
        <f>N157*O157</f>
        <v>8797207970.0000019</v>
      </c>
      <c r="Q157" s="864"/>
      <c r="R157" s="864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872"/>
      <c r="K158" s="865"/>
      <c r="L158" s="869"/>
      <c r="M158" s="872"/>
      <c r="N158" s="872"/>
      <c r="O158" s="865"/>
      <c r="P158" s="865"/>
      <c r="Q158" s="865"/>
      <c r="R158" s="865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872"/>
      <c r="K159" s="865"/>
      <c r="L159" s="869"/>
      <c r="M159" s="872"/>
      <c r="N159" s="872"/>
      <c r="O159" s="865"/>
      <c r="P159" s="865"/>
      <c r="Q159" s="865"/>
      <c r="R159" s="865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872"/>
      <c r="K160" s="865"/>
      <c r="L160" s="869"/>
      <c r="M160" s="872"/>
      <c r="N160" s="872"/>
      <c r="O160" s="865"/>
      <c r="P160" s="865"/>
      <c r="Q160" s="865"/>
      <c r="R160" s="865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872"/>
      <c r="K161" s="865"/>
      <c r="L161" s="869"/>
      <c r="M161" s="872"/>
      <c r="N161" s="872"/>
      <c r="O161" s="865"/>
      <c r="P161" s="865"/>
      <c r="Q161" s="865"/>
      <c r="R161" s="865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873"/>
      <c r="K162" s="865"/>
      <c r="L162" s="870"/>
      <c r="M162" s="873"/>
      <c r="N162" s="873"/>
      <c r="O162" s="874"/>
      <c r="P162" s="874"/>
      <c r="Q162" s="874"/>
      <c r="R162" s="874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871">
        <f>SUM(I163:I168)</f>
        <v>387933.00000000006</v>
      </c>
      <c r="K163" s="865"/>
      <c r="L163" s="868">
        <v>43073</v>
      </c>
      <c r="M163" s="871">
        <v>220</v>
      </c>
      <c r="N163" s="871">
        <f>J163-M163</f>
        <v>387713.00000000006</v>
      </c>
      <c r="O163" s="864">
        <v>22695</v>
      </c>
      <c r="P163" s="864">
        <f>N163*O163</f>
        <v>8799146535.0000019</v>
      </c>
      <c r="Q163" s="864"/>
      <c r="R163" s="864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872"/>
      <c r="K164" s="865"/>
      <c r="L164" s="869"/>
      <c r="M164" s="872"/>
      <c r="N164" s="872"/>
      <c r="O164" s="865"/>
      <c r="P164" s="865"/>
      <c r="Q164" s="865"/>
      <c r="R164" s="865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872"/>
      <c r="K165" s="865"/>
      <c r="L165" s="869"/>
      <c r="M165" s="872"/>
      <c r="N165" s="872"/>
      <c r="O165" s="865"/>
      <c r="P165" s="865"/>
      <c r="Q165" s="865"/>
      <c r="R165" s="865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872"/>
      <c r="K166" s="865"/>
      <c r="L166" s="869"/>
      <c r="M166" s="872"/>
      <c r="N166" s="872"/>
      <c r="O166" s="865"/>
      <c r="P166" s="865"/>
      <c r="Q166" s="865"/>
      <c r="R166" s="865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872"/>
      <c r="K167" s="865"/>
      <c r="L167" s="869"/>
      <c r="M167" s="872"/>
      <c r="N167" s="872"/>
      <c r="O167" s="865"/>
      <c r="P167" s="865"/>
      <c r="Q167" s="865"/>
      <c r="R167" s="865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873"/>
      <c r="K168" s="874"/>
      <c r="L168" s="870"/>
      <c r="M168" s="873"/>
      <c r="N168" s="873"/>
      <c r="O168" s="874"/>
      <c r="P168" s="874"/>
      <c r="Q168" s="874"/>
      <c r="R168" s="874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871">
        <f>SUM(I169:I174)</f>
        <v>361015.2</v>
      </c>
      <c r="K169" s="864">
        <f>53000000*22</f>
        <v>1166000000</v>
      </c>
      <c r="L169" s="868">
        <v>43077</v>
      </c>
      <c r="M169" s="871">
        <v>220</v>
      </c>
      <c r="N169" s="871">
        <f>J169+J175-M169</f>
        <v>721810.4</v>
      </c>
      <c r="O169" s="864">
        <v>22695</v>
      </c>
      <c r="P169" s="864">
        <f>N169*O169</f>
        <v>16381487028</v>
      </c>
      <c r="Q169" s="864"/>
      <c r="R169" s="864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872"/>
      <c r="K170" s="865"/>
      <c r="L170" s="869"/>
      <c r="M170" s="872"/>
      <c r="N170" s="872"/>
      <c r="O170" s="865"/>
      <c r="P170" s="865"/>
      <c r="Q170" s="865"/>
      <c r="R170" s="865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872"/>
      <c r="K171" s="865"/>
      <c r="L171" s="869"/>
      <c r="M171" s="872"/>
      <c r="N171" s="872"/>
      <c r="O171" s="865"/>
      <c r="P171" s="865"/>
      <c r="Q171" s="865"/>
      <c r="R171" s="865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872"/>
      <c r="K172" s="865"/>
      <c r="L172" s="869"/>
      <c r="M172" s="872"/>
      <c r="N172" s="872"/>
      <c r="O172" s="865"/>
      <c r="P172" s="865"/>
      <c r="Q172" s="865"/>
      <c r="R172" s="865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872"/>
      <c r="K173" s="865"/>
      <c r="L173" s="869"/>
      <c r="M173" s="872"/>
      <c r="N173" s="872"/>
      <c r="O173" s="865"/>
      <c r="P173" s="865"/>
      <c r="Q173" s="865"/>
      <c r="R173" s="865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873"/>
      <c r="K174" s="865"/>
      <c r="L174" s="869"/>
      <c r="M174" s="872"/>
      <c r="N174" s="872"/>
      <c r="O174" s="865"/>
      <c r="P174" s="865"/>
      <c r="Q174" s="865"/>
      <c r="R174" s="865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871">
        <f>SUM(I175:I180)</f>
        <v>361015.2</v>
      </c>
      <c r="K175" s="865"/>
      <c r="L175" s="869"/>
      <c r="M175" s="872"/>
      <c r="N175" s="872"/>
      <c r="O175" s="865"/>
      <c r="P175" s="865"/>
      <c r="Q175" s="865"/>
      <c r="R175" s="865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872"/>
      <c r="K176" s="865"/>
      <c r="L176" s="869"/>
      <c r="M176" s="872"/>
      <c r="N176" s="872"/>
      <c r="O176" s="865"/>
      <c r="P176" s="865"/>
      <c r="Q176" s="865"/>
      <c r="R176" s="865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872"/>
      <c r="K177" s="865"/>
      <c r="L177" s="869"/>
      <c r="M177" s="872"/>
      <c r="N177" s="872"/>
      <c r="O177" s="865"/>
      <c r="P177" s="865"/>
      <c r="Q177" s="865"/>
      <c r="R177" s="865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872"/>
      <c r="K178" s="865"/>
      <c r="L178" s="869"/>
      <c r="M178" s="872"/>
      <c r="N178" s="872"/>
      <c r="O178" s="865"/>
      <c r="P178" s="865"/>
      <c r="Q178" s="865"/>
      <c r="R178" s="865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872"/>
      <c r="K179" s="865"/>
      <c r="L179" s="869"/>
      <c r="M179" s="872"/>
      <c r="N179" s="872"/>
      <c r="O179" s="865"/>
      <c r="P179" s="865"/>
      <c r="Q179" s="865"/>
      <c r="R179" s="865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873"/>
      <c r="K180" s="865"/>
      <c r="L180" s="870"/>
      <c r="M180" s="873"/>
      <c r="N180" s="873"/>
      <c r="O180" s="874"/>
      <c r="P180" s="874"/>
      <c r="Q180" s="874"/>
      <c r="R180" s="874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871">
        <f>SUM(I181:I184)</f>
        <v>240338.4</v>
      </c>
      <c r="K181" s="865"/>
      <c r="L181" s="868">
        <v>43073</v>
      </c>
      <c r="M181" s="871"/>
      <c r="N181" s="871">
        <f>J181-M181</f>
        <v>240338.4</v>
      </c>
      <c r="O181" s="864">
        <v>22695</v>
      </c>
      <c r="P181" s="864">
        <f>N181*O181</f>
        <v>5454479988</v>
      </c>
      <c r="Q181" s="864"/>
      <c r="R181" s="864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872"/>
      <c r="K182" s="865"/>
      <c r="L182" s="869"/>
      <c r="M182" s="872"/>
      <c r="N182" s="872"/>
      <c r="O182" s="865"/>
      <c r="P182" s="865"/>
      <c r="Q182" s="865"/>
      <c r="R182" s="865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872"/>
      <c r="K183" s="865"/>
      <c r="L183" s="869"/>
      <c r="M183" s="872"/>
      <c r="N183" s="872"/>
      <c r="O183" s="865"/>
      <c r="P183" s="865"/>
      <c r="Q183" s="865"/>
      <c r="R183" s="865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873"/>
      <c r="K184" s="865"/>
      <c r="L184" s="870"/>
      <c r="M184" s="873"/>
      <c r="N184" s="873"/>
      <c r="O184" s="874"/>
      <c r="P184" s="874"/>
      <c r="Q184" s="874"/>
      <c r="R184" s="874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871">
        <f>SUM(I185:I190)</f>
        <v>367348.8</v>
      </c>
      <c r="K185" s="865"/>
      <c r="L185" s="868">
        <v>43085</v>
      </c>
      <c r="M185" s="871">
        <v>220</v>
      </c>
      <c r="N185" s="871">
        <f>J185+J191-M185</f>
        <v>464771.8</v>
      </c>
      <c r="O185" s="864">
        <v>22965</v>
      </c>
      <c r="P185" s="864">
        <f>N185*O185</f>
        <v>10673484387</v>
      </c>
      <c r="Q185" s="864"/>
      <c r="R185" s="864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872"/>
      <c r="K186" s="865"/>
      <c r="L186" s="869"/>
      <c r="M186" s="872"/>
      <c r="N186" s="872"/>
      <c r="O186" s="865"/>
      <c r="P186" s="865"/>
      <c r="Q186" s="865"/>
      <c r="R186" s="865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872"/>
      <c r="K187" s="865"/>
      <c r="L187" s="869"/>
      <c r="M187" s="872"/>
      <c r="N187" s="872"/>
      <c r="O187" s="865"/>
      <c r="P187" s="865"/>
      <c r="Q187" s="865"/>
      <c r="R187" s="865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872"/>
      <c r="K188" s="865"/>
      <c r="L188" s="869"/>
      <c r="M188" s="872"/>
      <c r="N188" s="872"/>
      <c r="O188" s="865"/>
      <c r="P188" s="865"/>
      <c r="Q188" s="865"/>
      <c r="R188" s="865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872"/>
      <c r="K189" s="865"/>
      <c r="L189" s="869"/>
      <c r="M189" s="872"/>
      <c r="N189" s="872"/>
      <c r="O189" s="865"/>
      <c r="P189" s="865"/>
      <c r="Q189" s="865"/>
      <c r="R189" s="865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873"/>
      <c r="K190" s="874"/>
      <c r="L190" s="869"/>
      <c r="M190" s="872"/>
      <c r="N190" s="872"/>
      <c r="O190" s="865"/>
      <c r="P190" s="865"/>
      <c r="Q190" s="865"/>
      <c r="R190" s="865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3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871">
        <f>SUM(I191:I192)</f>
        <v>97643</v>
      </c>
      <c r="K191" s="864">
        <f>53000000*6</f>
        <v>318000000</v>
      </c>
      <c r="L191" s="869"/>
      <c r="M191" s="872"/>
      <c r="N191" s="872"/>
      <c r="O191" s="865"/>
      <c r="P191" s="865"/>
      <c r="Q191" s="865"/>
      <c r="R191" s="865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5">
        <v>43059</v>
      </c>
      <c r="C192" s="243"/>
      <c r="D192" s="243"/>
      <c r="E192" s="243"/>
      <c r="F192" s="673">
        <v>2030</v>
      </c>
      <c r="G192" s="644">
        <f>F192*13</f>
        <v>26390</v>
      </c>
      <c r="H192" s="674">
        <v>1.85</v>
      </c>
      <c r="I192" s="645">
        <f>G192*H192</f>
        <v>48821.5</v>
      </c>
      <c r="J192" s="873"/>
      <c r="K192" s="865"/>
      <c r="L192" s="870"/>
      <c r="M192" s="873"/>
      <c r="N192" s="873"/>
      <c r="O192" s="874"/>
      <c r="P192" s="874"/>
      <c r="Q192" s="874"/>
      <c r="R192" s="874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3">
        <v>43042</v>
      </c>
      <c r="C193" s="243"/>
      <c r="D193" s="243"/>
      <c r="E193" s="243"/>
      <c r="F193" s="689">
        <v>2030</v>
      </c>
      <c r="G193" s="689">
        <f t="shared" si="34"/>
        <v>26390</v>
      </c>
      <c r="H193" s="692">
        <v>2.3199999999999998</v>
      </c>
      <c r="I193" s="691">
        <f t="shared" si="35"/>
        <v>61224.799999999996</v>
      </c>
      <c r="J193" s="871">
        <f>SUM(I193:I196)</f>
        <v>244899.19999999998</v>
      </c>
      <c r="K193" s="865"/>
      <c r="L193" s="868">
        <v>43089</v>
      </c>
      <c r="M193" s="871">
        <v>220</v>
      </c>
      <c r="N193" s="871">
        <f>J193-M193</f>
        <v>244679.19999999998</v>
      </c>
      <c r="O193" s="864"/>
      <c r="P193" s="864">
        <f>N193*O193</f>
        <v>0</v>
      </c>
      <c r="Q193" s="864"/>
      <c r="R193" s="864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3">
        <v>43042</v>
      </c>
      <c r="C194" s="243"/>
      <c r="D194" s="243"/>
      <c r="E194" s="243"/>
      <c r="F194" s="689">
        <v>2030</v>
      </c>
      <c r="G194" s="689">
        <f t="shared" si="34"/>
        <v>26390</v>
      </c>
      <c r="H194" s="692">
        <v>2.3199999999999998</v>
      </c>
      <c r="I194" s="691">
        <f t="shared" si="35"/>
        <v>61224.799999999996</v>
      </c>
      <c r="J194" s="872"/>
      <c r="K194" s="865"/>
      <c r="L194" s="869"/>
      <c r="M194" s="872"/>
      <c r="N194" s="872"/>
      <c r="O194" s="865"/>
      <c r="P194" s="865"/>
      <c r="Q194" s="865"/>
      <c r="R194" s="865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3">
        <v>43042</v>
      </c>
      <c r="C195" s="243"/>
      <c r="D195" s="243"/>
      <c r="E195" s="243"/>
      <c r="F195" s="689">
        <v>2030</v>
      </c>
      <c r="G195" s="689">
        <f t="shared" si="32"/>
        <v>26390</v>
      </c>
      <c r="H195" s="692">
        <v>2.3199999999999998</v>
      </c>
      <c r="I195" s="691">
        <f t="shared" si="33"/>
        <v>61224.799999999996</v>
      </c>
      <c r="J195" s="872"/>
      <c r="K195" s="865"/>
      <c r="L195" s="869"/>
      <c r="M195" s="872"/>
      <c r="N195" s="872"/>
      <c r="O195" s="865"/>
      <c r="P195" s="865"/>
      <c r="Q195" s="865"/>
      <c r="R195" s="865"/>
      <c r="S195" s="690"/>
      <c r="T195" s="690"/>
      <c r="U195" s="690"/>
      <c r="V195" s="144"/>
    </row>
    <row r="196" spans="1:22" s="150" customFormat="1" ht="18" customHeight="1">
      <c r="A196" s="144">
        <v>191</v>
      </c>
      <c r="B196" s="693">
        <v>43042</v>
      </c>
      <c r="C196" s="243"/>
      <c r="D196" s="243"/>
      <c r="E196" s="243"/>
      <c r="F196" s="689">
        <v>2030</v>
      </c>
      <c r="G196" s="689">
        <f t="shared" si="32"/>
        <v>26390</v>
      </c>
      <c r="H196" s="692">
        <v>2.3199999999999998</v>
      </c>
      <c r="I196" s="691">
        <f t="shared" si="33"/>
        <v>61224.799999999996</v>
      </c>
      <c r="J196" s="873"/>
      <c r="K196" s="874"/>
      <c r="L196" s="870"/>
      <c r="M196" s="873"/>
      <c r="N196" s="873"/>
      <c r="O196" s="874"/>
      <c r="P196" s="874"/>
      <c r="Q196" s="874"/>
      <c r="R196" s="874"/>
      <c r="S196" s="690"/>
      <c r="T196" s="690"/>
      <c r="U196" s="690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7">
        <v>2030</v>
      </c>
      <c r="G197" s="677">
        <f t="shared" si="32"/>
        <v>26390</v>
      </c>
      <c r="H197" s="485">
        <v>2.3199999999999998</v>
      </c>
      <c r="I197" s="694">
        <f t="shared" si="33"/>
        <v>61224.799999999996</v>
      </c>
      <c r="J197" s="878">
        <f>SUM(I197:I198)</f>
        <v>122449.59999999999</v>
      </c>
      <c r="K197" s="866">
        <f>53000000*6</f>
        <v>318000000</v>
      </c>
      <c r="L197" s="875">
        <v>43089</v>
      </c>
      <c r="M197" s="878">
        <f>J197-N197</f>
        <v>67.339999999996508</v>
      </c>
      <c r="N197" s="878">
        <v>122382.26</v>
      </c>
      <c r="O197" s="866"/>
      <c r="P197" s="866">
        <f>N197*O197</f>
        <v>0</v>
      </c>
      <c r="Q197" s="866"/>
      <c r="R197" s="866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7">
        <v>2030</v>
      </c>
      <c r="G198" s="677">
        <f t="shared" si="32"/>
        <v>26390</v>
      </c>
      <c r="H198" s="485">
        <v>2.3199999999999998</v>
      </c>
      <c r="I198" s="694">
        <f t="shared" si="33"/>
        <v>61224.799999999996</v>
      </c>
      <c r="J198" s="880"/>
      <c r="K198" s="881"/>
      <c r="L198" s="877"/>
      <c r="M198" s="880"/>
      <c r="N198" s="880"/>
      <c r="O198" s="867"/>
      <c r="P198" s="867"/>
      <c r="Q198" s="867"/>
      <c r="R198" s="867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7">
        <v>2030</v>
      </c>
      <c r="G199" s="677">
        <f t="shared" si="32"/>
        <v>26390</v>
      </c>
      <c r="H199" s="485">
        <v>2.4500000000000002</v>
      </c>
      <c r="I199" s="694">
        <f t="shared" si="33"/>
        <v>64655.500000000007</v>
      </c>
      <c r="J199" s="878">
        <f>SUM(I199:I202)</f>
        <v>258622.00000000003</v>
      </c>
      <c r="K199" s="881"/>
      <c r="L199" s="875">
        <v>43096</v>
      </c>
      <c r="M199" s="878">
        <v>110</v>
      </c>
      <c r="N199" s="878">
        <f>J199-M199</f>
        <v>258512.00000000003</v>
      </c>
      <c r="O199" s="866"/>
      <c r="P199" s="866">
        <f>N199*O199</f>
        <v>0</v>
      </c>
      <c r="Q199" s="866"/>
      <c r="R199" s="866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7">
        <v>2030</v>
      </c>
      <c r="G200" s="677">
        <f t="shared" si="32"/>
        <v>26390</v>
      </c>
      <c r="H200" s="485">
        <v>2.4500000000000002</v>
      </c>
      <c r="I200" s="694">
        <f t="shared" si="33"/>
        <v>64655.500000000007</v>
      </c>
      <c r="J200" s="879"/>
      <c r="K200" s="881"/>
      <c r="L200" s="876"/>
      <c r="M200" s="879"/>
      <c r="N200" s="879"/>
      <c r="O200" s="881"/>
      <c r="P200" s="881"/>
      <c r="Q200" s="881"/>
      <c r="R200" s="881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7">
        <v>2030</v>
      </c>
      <c r="G201" s="677">
        <f t="shared" si="32"/>
        <v>26390</v>
      </c>
      <c r="H201" s="485">
        <v>2.4500000000000002</v>
      </c>
      <c r="I201" s="694">
        <f t="shared" si="33"/>
        <v>64655.500000000007</v>
      </c>
      <c r="J201" s="879"/>
      <c r="K201" s="881"/>
      <c r="L201" s="876"/>
      <c r="M201" s="879"/>
      <c r="N201" s="879"/>
      <c r="O201" s="881"/>
      <c r="P201" s="881"/>
      <c r="Q201" s="881"/>
      <c r="R201" s="881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7">
        <v>2030</v>
      </c>
      <c r="G202" s="677">
        <f t="shared" si="32"/>
        <v>26390</v>
      </c>
      <c r="H202" s="485">
        <v>2.4500000000000002</v>
      </c>
      <c r="I202" s="694">
        <f t="shared" si="33"/>
        <v>64655.500000000007</v>
      </c>
      <c r="J202" s="880"/>
      <c r="K202" s="867"/>
      <c r="L202" s="877"/>
      <c r="M202" s="880"/>
      <c r="N202" s="880"/>
      <c r="O202" s="867"/>
      <c r="P202" s="867"/>
      <c r="Q202" s="867"/>
      <c r="R202" s="867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7">
        <f t="shared" si="32"/>
        <v>26390</v>
      </c>
      <c r="H203" s="485">
        <v>1.86</v>
      </c>
      <c r="I203" s="694">
        <f t="shared" si="33"/>
        <v>49085.4</v>
      </c>
      <c r="J203" s="878">
        <f>SUM(I203:I204)</f>
        <v>98170.8</v>
      </c>
      <c r="K203" s="866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7">
        <f t="shared" si="32"/>
        <v>26390</v>
      </c>
      <c r="H204" s="485">
        <v>1.86</v>
      </c>
      <c r="I204" s="694">
        <f t="shared" si="33"/>
        <v>49085.4</v>
      </c>
      <c r="J204" s="880"/>
      <c r="K204" s="867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891" t="s">
        <v>19</v>
      </c>
      <c r="B218" s="892"/>
      <c r="C218" s="892"/>
      <c r="D218" s="892"/>
      <c r="E218" s="893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917" t="s">
        <v>463</v>
      </c>
      <c r="Q220" s="917"/>
      <c r="R220" s="917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- 2017'!N92</f>
        <v>18275704.350000001</v>
      </c>
      <c r="V223" s="307"/>
    </row>
  </sheetData>
  <autoFilter ref="A3:V216"/>
  <mergeCells count="316"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</mergeCells>
  <pageMargins left="0.16" right="0.16" top="0.11" bottom="0.16" header="0.3" footer="0.3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632" zoomScale="90" zoomScaleNormal="90" workbookViewId="0">
      <selection activeCell="B689" sqref="B689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913" t="s">
        <v>798</v>
      </c>
      <c r="D233" s="914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973">
        <v>240000000</v>
      </c>
      <c r="D234" s="974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915">
        <v>9500000000</v>
      </c>
      <c r="D235" s="916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915">
        <v>120000000</v>
      </c>
      <c r="D236" s="916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915"/>
      <c r="D237" s="916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915"/>
      <c r="D238" s="916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915"/>
      <c r="D239" s="916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975"/>
      <c r="D245" s="976"/>
      <c r="E245" s="258"/>
      <c r="F245" s="478"/>
    </row>
    <row r="246" spans="1:19">
      <c r="A246" s="376"/>
      <c r="B246" s="376" t="s">
        <v>57</v>
      </c>
      <c r="C246" s="909">
        <f>SUM(C234:C245)</f>
        <v>9860000000</v>
      </c>
      <c r="D246" s="910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49" t="s">
        <v>0</v>
      </c>
      <c r="B286" s="849" t="s">
        <v>21</v>
      </c>
      <c r="C286" s="908" t="s">
        <v>50</v>
      </c>
      <c r="D286" s="852" t="s">
        <v>51</v>
      </c>
      <c r="E286" s="852" t="s">
        <v>9</v>
      </c>
      <c r="F286" s="852" t="s">
        <v>117</v>
      </c>
      <c r="G286" s="852" t="s">
        <v>52</v>
      </c>
      <c r="I286" s="849" t="s">
        <v>0</v>
      </c>
      <c r="J286" s="849" t="s">
        <v>30</v>
      </c>
      <c r="K286" s="849" t="s">
        <v>31</v>
      </c>
      <c r="L286" s="849" t="s">
        <v>103</v>
      </c>
      <c r="M286" s="849" t="s">
        <v>32</v>
      </c>
      <c r="N286" s="849" t="s">
        <v>573</v>
      </c>
      <c r="O286" s="971" t="s">
        <v>83</v>
      </c>
      <c r="P286" s="972"/>
      <c r="Q286" s="850" t="s">
        <v>33</v>
      </c>
      <c r="R286" s="852" t="s">
        <v>106</v>
      </c>
      <c r="S286" s="852" t="s">
        <v>9</v>
      </c>
      <c r="T286" s="852" t="s">
        <v>82</v>
      </c>
    </row>
    <row r="287" spans="1:20" ht="25.5" customHeight="1">
      <c r="A287" s="849"/>
      <c r="B287" s="849"/>
      <c r="C287" s="908"/>
      <c r="D287" s="852"/>
      <c r="E287" s="852"/>
      <c r="F287" s="852"/>
      <c r="G287" s="852"/>
      <c r="I287" s="849"/>
      <c r="J287" s="849"/>
      <c r="K287" s="849"/>
      <c r="L287" s="849"/>
      <c r="M287" s="849"/>
      <c r="N287" s="849"/>
      <c r="O287" s="509" t="s">
        <v>846</v>
      </c>
      <c r="P287" s="509" t="s">
        <v>847</v>
      </c>
      <c r="Q287" s="851"/>
      <c r="R287" s="852"/>
      <c r="S287" s="852"/>
      <c r="T287" s="852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902">
        <f>O346-P346</f>
        <v>16295</v>
      </c>
      <c r="N347" s="902"/>
      <c r="O347" s="902"/>
      <c r="P347" s="902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49" t="s">
        <v>0</v>
      </c>
      <c r="B350" s="849" t="s">
        <v>21</v>
      </c>
      <c r="C350" s="908" t="s">
        <v>50</v>
      </c>
      <c r="D350" s="852" t="s">
        <v>51</v>
      </c>
      <c r="E350" s="852" t="s">
        <v>9</v>
      </c>
      <c r="F350" s="852" t="s">
        <v>117</v>
      </c>
      <c r="G350" s="852" t="s">
        <v>52</v>
      </c>
      <c r="I350" s="849" t="s">
        <v>0</v>
      </c>
      <c r="J350" s="849" t="s">
        <v>30</v>
      </c>
      <c r="K350" s="849" t="s">
        <v>31</v>
      </c>
      <c r="L350" s="849" t="s">
        <v>103</v>
      </c>
      <c r="M350" s="849" t="s">
        <v>32</v>
      </c>
      <c r="N350" s="849" t="s">
        <v>573</v>
      </c>
      <c r="O350" s="971" t="s">
        <v>83</v>
      </c>
      <c r="P350" s="972"/>
      <c r="Q350" s="850" t="s">
        <v>33</v>
      </c>
      <c r="R350" s="852" t="s">
        <v>106</v>
      </c>
      <c r="S350" s="852" t="s">
        <v>9</v>
      </c>
      <c r="T350" s="852" t="s">
        <v>82</v>
      </c>
    </row>
    <row r="351" spans="1:20" ht="27.75" customHeight="1">
      <c r="A351" s="849"/>
      <c r="B351" s="849"/>
      <c r="C351" s="908"/>
      <c r="D351" s="852"/>
      <c r="E351" s="852"/>
      <c r="F351" s="852"/>
      <c r="G351" s="852"/>
      <c r="I351" s="849"/>
      <c r="J351" s="849"/>
      <c r="K351" s="849"/>
      <c r="L351" s="849"/>
      <c r="M351" s="849"/>
      <c r="N351" s="849"/>
      <c r="O351" s="509" t="s">
        <v>846</v>
      </c>
      <c r="P351" s="509" t="s">
        <v>847</v>
      </c>
      <c r="Q351" s="851"/>
      <c r="R351" s="852"/>
      <c r="S351" s="852"/>
      <c r="T351" s="852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913" t="s">
        <v>798</v>
      </c>
      <c r="D370" s="914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915">
        <v>2130000000</v>
      </c>
      <c r="D371" s="916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915">
        <v>4900000000</v>
      </c>
      <c r="D372" s="916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915"/>
      <c r="D373" s="916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915"/>
      <c r="D374" s="916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909">
        <f>SUM(C371:C374)</f>
        <v>7030000000</v>
      </c>
      <c r="D375" s="910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902">
        <f>O397-P397</f>
        <v>1020</v>
      </c>
      <c r="N398" s="902"/>
      <c r="O398" s="902"/>
      <c r="P398" s="902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49" t="s">
        <v>0</v>
      </c>
      <c r="B400" s="849" t="s">
        <v>21</v>
      </c>
      <c r="C400" s="908" t="s">
        <v>50</v>
      </c>
      <c r="D400" s="852" t="s">
        <v>51</v>
      </c>
      <c r="E400" s="852" t="s">
        <v>9</v>
      </c>
      <c r="F400" s="852" t="s">
        <v>117</v>
      </c>
      <c r="G400" s="852" t="s">
        <v>52</v>
      </c>
      <c r="I400" s="849" t="s">
        <v>0</v>
      </c>
      <c r="J400" s="849" t="s">
        <v>30</v>
      </c>
      <c r="K400" s="849" t="s">
        <v>31</v>
      </c>
      <c r="L400" s="849" t="s">
        <v>103</v>
      </c>
      <c r="M400" s="849" t="s">
        <v>32</v>
      </c>
      <c r="N400" s="849" t="s">
        <v>573</v>
      </c>
      <c r="O400" s="971" t="s">
        <v>83</v>
      </c>
      <c r="P400" s="972"/>
      <c r="Q400" s="850" t="s">
        <v>33</v>
      </c>
      <c r="R400" s="852" t="s">
        <v>106</v>
      </c>
      <c r="S400" s="852" t="s">
        <v>9</v>
      </c>
      <c r="T400" s="852" t="s">
        <v>82</v>
      </c>
    </row>
    <row r="401" spans="1:20" ht="20.25" customHeight="1">
      <c r="A401" s="849"/>
      <c r="B401" s="849"/>
      <c r="C401" s="908"/>
      <c r="D401" s="852"/>
      <c r="E401" s="852"/>
      <c r="F401" s="852"/>
      <c r="G401" s="852"/>
      <c r="I401" s="849"/>
      <c r="J401" s="849"/>
      <c r="K401" s="849"/>
      <c r="L401" s="849"/>
      <c r="M401" s="849"/>
      <c r="N401" s="849"/>
      <c r="O401" s="533" t="s">
        <v>846</v>
      </c>
      <c r="P401" s="533" t="s">
        <v>847</v>
      </c>
      <c r="Q401" s="851"/>
      <c r="R401" s="852"/>
      <c r="S401" s="852"/>
      <c r="T401" s="852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902">
        <f>O409-P409</f>
        <v>1020</v>
      </c>
      <c r="N410" s="902"/>
      <c r="O410" s="902"/>
      <c r="P410" s="902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49" t="s">
        <v>0</v>
      </c>
      <c r="B416" s="849" t="s">
        <v>21</v>
      </c>
      <c r="C416" s="908" t="s">
        <v>50</v>
      </c>
      <c r="D416" s="852" t="s">
        <v>51</v>
      </c>
      <c r="E416" s="852" t="s">
        <v>9</v>
      </c>
      <c r="F416" s="852" t="s">
        <v>117</v>
      </c>
      <c r="G416" s="852" t="s">
        <v>52</v>
      </c>
    </row>
    <row r="417" spans="1:7">
      <c r="A417" s="849"/>
      <c r="B417" s="849"/>
      <c r="C417" s="908"/>
      <c r="D417" s="852"/>
      <c r="E417" s="852"/>
      <c r="F417" s="852"/>
      <c r="G417" s="852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49" t="s">
        <v>0</v>
      </c>
      <c r="B434" s="849" t="s">
        <v>21</v>
      </c>
      <c r="C434" s="908" t="s">
        <v>50</v>
      </c>
      <c r="D434" s="852" t="s">
        <v>51</v>
      </c>
      <c r="E434" s="852" t="s">
        <v>9</v>
      </c>
      <c r="F434" s="852" t="s">
        <v>117</v>
      </c>
      <c r="G434" s="852" t="s">
        <v>52</v>
      </c>
    </row>
    <row r="435" spans="1:7">
      <c r="A435" s="849"/>
      <c r="B435" s="849"/>
      <c r="C435" s="908"/>
      <c r="D435" s="852"/>
      <c r="E435" s="852"/>
      <c r="F435" s="852"/>
      <c r="G435" s="852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49" t="s">
        <v>0</v>
      </c>
      <c r="B448" s="849" t="s">
        <v>21</v>
      </c>
      <c r="C448" s="908" t="s">
        <v>50</v>
      </c>
      <c r="D448" s="852" t="s">
        <v>51</v>
      </c>
      <c r="E448" s="852" t="s">
        <v>9</v>
      </c>
      <c r="F448" s="852" t="s">
        <v>117</v>
      </c>
      <c r="G448" s="852" t="s">
        <v>52</v>
      </c>
    </row>
    <row r="449" spans="1:7">
      <c r="A449" s="849"/>
      <c r="B449" s="849"/>
      <c r="C449" s="908"/>
      <c r="D449" s="852"/>
      <c r="E449" s="852"/>
      <c r="F449" s="852"/>
      <c r="G449" s="852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49" t="s">
        <v>0</v>
      </c>
      <c r="B463" s="849" t="s">
        <v>21</v>
      </c>
      <c r="C463" s="908" t="s">
        <v>50</v>
      </c>
      <c r="D463" s="852" t="s">
        <v>51</v>
      </c>
      <c r="E463" s="852" t="s">
        <v>9</v>
      </c>
      <c r="F463" s="852" t="s">
        <v>117</v>
      </c>
      <c r="G463" s="852" t="s">
        <v>52</v>
      </c>
    </row>
    <row r="464" spans="1:7">
      <c r="A464" s="849"/>
      <c r="B464" s="849"/>
      <c r="C464" s="908"/>
      <c r="D464" s="852"/>
      <c r="E464" s="852"/>
      <c r="F464" s="852"/>
      <c r="G464" s="852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49" t="s">
        <v>0</v>
      </c>
      <c r="B480" s="849" t="s">
        <v>21</v>
      </c>
      <c r="C480" s="908" t="s">
        <v>50</v>
      </c>
      <c r="D480" s="852" t="s">
        <v>51</v>
      </c>
      <c r="E480" s="852" t="s">
        <v>9</v>
      </c>
      <c r="F480" s="852" t="s">
        <v>117</v>
      </c>
      <c r="G480" s="852" t="s">
        <v>52</v>
      </c>
    </row>
    <row r="481" spans="1:7">
      <c r="A481" s="849"/>
      <c r="B481" s="849"/>
      <c r="C481" s="908"/>
      <c r="D481" s="852"/>
      <c r="E481" s="852"/>
      <c r="F481" s="852"/>
      <c r="G481" s="852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49" t="s">
        <v>0</v>
      </c>
      <c r="B496" s="849" t="s">
        <v>21</v>
      </c>
      <c r="C496" s="908" t="s">
        <v>50</v>
      </c>
      <c r="D496" s="852" t="s">
        <v>51</v>
      </c>
      <c r="E496" s="852" t="s">
        <v>9</v>
      </c>
      <c r="F496" s="852" t="s">
        <v>117</v>
      </c>
      <c r="G496" s="852" t="s">
        <v>52</v>
      </c>
    </row>
    <row r="497" spans="1:7">
      <c r="A497" s="849"/>
      <c r="B497" s="849"/>
      <c r="C497" s="908"/>
      <c r="D497" s="852"/>
      <c r="E497" s="852"/>
      <c r="F497" s="852"/>
      <c r="G497" s="852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904" t="s">
        <v>0</v>
      </c>
      <c r="B516" s="904" t="s">
        <v>21</v>
      </c>
      <c r="C516" s="850" t="s">
        <v>50</v>
      </c>
      <c r="D516" s="906" t="s">
        <v>51</v>
      </c>
      <c r="E516" s="906" t="s">
        <v>9</v>
      </c>
      <c r="F516" s="906" t="s">
        <v>117</v>
      </c>
      <c r="G516" s="906" t="s">
        <v>52</v>
      </c>
      <c r="I516" s="904" t="s">
        <v>0</v>
      </c>
      <c r="J516" s="904" t="s">
        <v>30</v>
      </c>
      <c r="K516" s="904" t="s">
        <v>31</v>
      </c>
      <c r="L516" s="904" t="s">
        <v>103</v>
      </c>
      <c r="M516" s="904" t="s">
        <v>32</v>
      </c>
      <c r="N516" s="904" t="s">
        <v>573</v>
      </c>
      <c r="O516" s="971" t="s">
        <v>83</v>
      </c>
      <c r="P516" s="972"/>
      <c r="Q516" s="850" t="s">
        <v>33</v>
      </c>
      <c r="R516" s="906" t="s">
        <v>106</v>
      </c>
      <c r="S516" s="906" t="s">
        <v>9</v>
      </c>
      <c r="T516" s="906" t="s">
        <v>82</v>
      </c>
    </row>
    <row r="517" spans="1:20" ht="21.75" customHeight="1">
      <c r="A517" s="905"/>
      <c r="B517" s="905"/>
      <c r="C517" s="851"/>
      <c r="D517" s="907"/>
      <c r="E517" s="907"/>
      <c r="F517" s="907"/>
      <c r="G517" s="907"/>
      <c r="I517" s="905"/>
      <c r="J517" s="905"/>
      <c r="K517" s="905"/>
      <c r="L517" s="905"/>
      <c r="M517" s="905"/>
      <c r="N517" s="905"/>
      <c r="O517" s="729" t="s">
        <v>846</v>
      </c>
      <c r="P517" s="729" t="s">
        <v>847</v>
      </c>
      <c r="Q517" s="851"/>
      <c r="R517" s="907"/>
      <c r="S517" s="907"/>
      <c r="T517" s="907"/>
    </row>
    <row r="518" spans="1:20">
      <c r="A518" s="708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08" t="s">
        <v>787</v>
      </c>
      <c r="M518" s="708">
        <f t="shared" ref="M518:M521" si="159">IF(K518&lt;&gt;"",K518-J518+1,"")</f>
        <v>35</v>
      </c>
      <c r="N518" s="708">
        <f t="shared" ref="N518:N521" si="160">IF(M518&lt;&gt;"",M518,"")</f>
        <v>35</v>
      </c>
      <c r="O518" s="727">
        <v>5</v>
      </c>
      <c r="P518" s="727">
        <f t="shared" ref="P518:P521" si="161">IF(K518&lt;&gt;"",O518,0)</f>
        <v>5</v>
      </c>
      <c r="Q518" s="728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08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08" t="s">
        <v>87</v>
      </c>
      <c r="M519" s="708">
        <f t="shared" si="159"/>
        <v>34</v>
      </c>
      <c r="N519" s="708">
        <f t="shared" si="160"/>
        <v>34</v>
      </c>
      <c r="O519" s="727">
        <v>575</v>
      </c>
      <c r="P519" s="727">
        <f t="shared" si="161"/>
        <v>575</v>
      </c>
      <c r="Q519" s="728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08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08" t="s">
        <v>875</v>
      </c>
      <c r="M520" s="708">
        <f t="shared" si="159"/>
        <v>34</v>
      </c>
      <c r="N520" s="708">
        <f t="shared" si="160"/>
        <v>34</v>
      </c>
      <c r="O520" s="727">
        <v>440</v>
      </c>
      <c r="P520" s="727">
        <f t="shared" si="161"/>
        <v>440</v>
      </c>
      <c r="Q520" s="728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08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08" t="s">
        <v>787</v>
      </c>
      <c r="M521" s="708">
        <f t="shared" si="159"/>
        <v>11</v>
      </c>
      <c r="N521" s="708">
        <f t="shared" si="160"/>
        <v>11</v>
      </c>
      <c r="O521" s="727">
        <v>272</v>
      </c>
      <c r="P521" s="727">
        <f t="shared" si="161"/>
        <v>272</v>
      </c>
      <c r="Q521" s="728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902">
        <f>O571-P571</f>
        <v>8120</v>
      </c>
      <c r="N572" s="902"/>
      <c r="O572" s="902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49" t="s">
        <v>0</v>
      </c>
      <c r="B575" s="849" t="s">
        <v>21</v>
      </c>
      <c r="C575" s="908" t="s">
        <v>50</v>
      </c>
      <c r="D575" s="852" t="s">
        <v>51</v>
      </c>
      <c r="E575" s="852" t="s">
        <v>9</v>
      </c>
      <c r="F575" s="852" t="s">
        <v>117</v>
      </c>
      <c r="G575" s="852" t="s">
        <v>52</v>
      </c>
      <c r="I575" s="849" t="s">
        <v>0</v>
      </c>
      <c r="J575" s="849" t="s">
        <v>30</v>
      </c>
      <c r="K575" s="849" t="s">
        <v>31</v>
      </c>
      <c r="L575" s="849" t="s">
        <v>103</v>
      </c>
      <c r="M575" s="849" t="s">
        <v>32</v>
      </c>
      <c r="N575" s="849" t="s">
        <v>573</v>
      </c>
      <c r="O575" s="971" t="s">
        <v>83</v>
      </c>
      <c r="P575" s="972"/>
      <c r="Q575" s="850" t="s">
        <v>33</v>
      </c>
      <c r="R575" s="852" t="s">
        <v>106</v>
      </c>
      <c r="S575" s="852" t="s">
        <v>9</v>
      </c>
      <c r="T575" s="852" t="s">
        <v>82</v>
      </c>
    </row>
    <row r="576" spans="1:20" ht="21" customHeight="1">
      <c r="A576" s="849"/>
      <c r="B576" s="849"/>
      <c r="C576" s="908"/>
      <c r="D576" s="852"/>
      <c r="E576" s="852"/>
      <c r="F576" s="852"/>
      <c r="G576" s="852"/>
      <c r="I576" s="849"/>
      <c r="J576" s="849"/>
      <c r="K576" s="849"/>
      <c r="L576" s="849"/>
      <c r="M576" s="849"/>
      <c r="N576" s="849"/>
      <c r="O576" s="639" t="s">
        <v>846</v>
      </c>
      <c r="P576" s="639" t="s">
        <v>847</v>
      </c>
      <c r="Q576" s="851"/>
      <c r="R576" s="852"/>
      <c r="S576" s="852"/>
      <c r="T576" s="852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902">
        <f>O582-P582</f>
        <v>0</v>
      </c>
      <c r="N583" s="902"/>
      <c r="O583" s="902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49" t="s">
        <v>0</v>
      </c>
      <c r="B592" s="849" t="s">
        <v>21</v>
      </c>
      <c r="C592" s="908" t="s">
        <v>50</v>
      </c>
      <c r="D592" s="852" t="s">
        <v>51</v>
      </c>
      <c r="E592" s="852" t="s">
        <v>9</v>
      </c>
      <c r="F592" s="852" t="s">
        <v>117</v>
      </c>
      <c r="G592" s="852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49"/>
      <c r="B593" s="849"/>
      <c r="C593" s="908"/>
      <c r="D593" s="852"/>
      <c r="E593" s="852"/>
      <c r="F593" s="852"/>
      <c r="G593" s="852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49" t="s">
        <v>0</v>
      </c>
      <c r="B610" s="849" t="s">
        <v>21</v>
      </c>
      <c r="C610" s="908" t="s">
        <v>50</v>
      </c>
      <c r="D610" s="852" t="s">
        <v>51</v>
      </c>
      <c r="E610" s="852" t="s">
        <v>9</v>
      </c>
      <c r="F610" s="852" t="s">
        <v>117</v>
      </c>
      <c r="G610" s="852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49"/>
      <c r="B611" s="849"/>
      <c r="C611" s="908"/>
      <c r="D611" s="852"/>
      <c r="E611" s="852"/>
      <c r="F611" s="852"/>
      <c r="G611" s="852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49" t="s">
        <v>0</v>
      </c>
      <c r="B628" s="849" t="s">
        <v>21</v>
      </c>
      <c r="C628" s="908" t="s">
        <v>50</v>
      </c>
      <c r="D628" s="852" t="s">
        <v>51</v>
      </c>
      <c r="E628" s="852" t="s">
        <v>9</v>
      </c>
      <c r="F628" s="852" t="s">
        <v>117</v>
      </c>
      <c r="G628" s="852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49"/>
      <c r="B629" s="849"/>
      <c r="C629" s="908"/>
      <c r="D629" s="852"/>
      <c r="E629" s="852"/>
      <c r="F629" s="852"/>
      <c r="G629" s="852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49" t="s">
        <v>0</v>
      </c>
      <c r="B643" s="849" t="s">
        <v>21</v>
      </c>
      <c r="C643" s="908" t="s">
        <v>50</v>
      </c>
      <c r="D643" s="852" t="s">
        <v>51</v>
      </c>
      <c r="E643" s="852" t="s">
        <v>9</v>
      </c>
      <c r="F643" s="852" t="s">
        <v>117</v>
      </c>
      <c r="G643" s="852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49"/>
      <c r="B644" s="849"/>
      <c r="C644" s="908"/>
      <c r="D644" s="852"/>
      <c r="E644" s="852"/>
      <c r="F644" s="852"/>
      <c r="G644" s="852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49" t="s">
        <v>0</v>
      </c>
      <c r="B656" s="849" t="s">
        <v>21</v>
      </c>
      <c r="C656" s="908" t="s">
        <v>50</v>
      </c>
      <c r="D656" s="852" t="s">
        <v>51</v>
      </c>
      <c r="E656" s="852" t="s">
        <v>9</v>
      </c>
      <c r="F656" s="852" t="s">
        <v>117</v>
      </c>
      <c r="G656" s="852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49"/>
      <c r="B657" s="849"/>
      <c r="C657" s="908"/>
      <c r="D657" s="852"/>
      <c r="E657" s="852"/>
      <c r="F657" s="852"/>
      <c r="G657" s="852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49" t="s">
        <v>0</v>
      </c>
      <c r="B672" s="849" t="s">
        <v>21</v>
      </c>
      <c r="C672" s="908" t="s">
        <v>50</v>
      </c>
      <c r="D672" s="852" t="s">
        <v>51</v>
      </c>
      <c r="E672" s="852" t="s">
        <v>9</v>
      </c>
      <c r="F672" s="852" t="s">
        <v>117</v>
      </c>
      <c r="G672" s="852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49"/>
      <c r="B673" s="849"/>
      <c r="C673" s="908"/>
      <c r="D673" s="852"/>
      <c r="E673" s="852"/>
      <c r="F673" s="852"/>
      <c r="G673" s="852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78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78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78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78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49" t="s">
        <v>0</v>
      </c>
      <c r="B686" s="849" t="s">
        <v>21</v>
      </c>
      <c r="C686" s="908" t="s">
        <v>50</v>
      </c>
      <c r="D686" s="852" t="s">
        <v>51</v>
      </c>
      <c r="E686" s="852" t="s">
        <v>9</v>
      </c>
      <c r="F686" s="852" t="s">
        <v>117</v>
      </c>
      <c r="G686" s="852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49"/>
      <c r="B687" s="849"/>
      <c r="C687" s="908"/>
      <c r="D687" s="852"/>
      <c r="E687" s="852"/>
      <c r="F687" s="852"/>
      <c r="G687" s="852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88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88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88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88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88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88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88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88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49" t="s">
        <v>0</v>
      </c>
      <c r="B703" s="849" t="s">
        <v>21</v>
      </c>
      <c r="C703" s="908" t="s">
        <v>50</v>
      </c>
      <c r="D703" s="852" t="s">
        <v>51</v>
      </c>
      <c r="E703" s="852" t="s">
        <v>9</v>
      </c>
      <c r="F703" s="852" t="s">
        <v>117</v>
      </c>
      <c r="G703" s="852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49"/>
      <c r="B704" s="849"/>
      <c r="C704" s="908"/>
      <c r="D704" s="852"/>
      <c r="E704" s="852"/>
      <c r="F704" s="852"/>
      <c r="G704" s="852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1">
        <v>1</v>
      </c>
      <c r="B705" s="264" t="s">
        <v>1174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1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1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1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1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49" t="s">
        <v>0</v>
      </c>
      <c r="B717" s="849" t="s">
        <v>21</v>
      </c>
      <c r="C717" s="908" t="s">
        <v>50</v>
      </c>
      <c r="D717" s="852" t="s">
        <v>51</v>
      </c>
      <c r="E717" s="852" t="s">
        <v>9</v>
      </c>
      <c r="F717" s="852" t="s">
        <v>117</v>
      </c>
      <c r="G717" s="852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49"/>
      <c r="B718" s="849"/>
      <c r="C718" s="908"/>
      <c r="D718" s="852"/>
      <c r="E718" s="852"/>
      <c r="F718" s="852"/>
      <c r="G718" s="852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08">
        <v>1</v>
      </c>
      <c r="B719" s="264" t="s">
        <v>1180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08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08">
        <v>2</v>
      </c>
      <c r="B721" s="264" t="s">
        <v>1180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08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08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08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08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49" t="s">
        <v>0</v>
      </c>
      <c r="B732" s="849" t="s">
        <v>21</v>
      </c>
      <c r="C732" s="908" t="s">
        <v>50</v>
      </c>
      <c r="D732" s="852" t="s">
        <v>51</v>
      </c>
      <c r="E732" s="852" t="s">
        <v>9</v>
      </c>
      <c r="F732" s="852" t="s">
        <v>117</v>
      </c>
      <c r="G732" s="852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49"/>
      <c r="B733" s="849"/>
      <c r="C733" s="908"/>
      <c r="D733" s="852"/>
      <c r="E733" s="852"/>
      <c r="F733" s="852"/>
      <c r="G733" s="852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08">
        <v>1</v>
      </c>
      <c r="B734" s="264" t="s">
        <v>1184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08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08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49" t="s">
        <v>0</v>
      </c>
      <c r="B747" s="849" t="s">
        <v>21</v>
      </c>
      <c r="C747" s="908" t="s">
        <v>50</v>
      </c>
      <c r="D747" s="852" t="s">
        <v>51</v>
      </c>
      <c r="E747" s="852" t="s">
        <v>9</v>
      </c>
      <c r="F747" s="852" t="s">
        <v>117</v>
      </c>
      <c r="G747" s="852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49"/>
      <c r="B748" s="849"/>
      <c r="C748" s="908"/>
      <c r="D748" s="852"/>
      <c r="E748" s="852"/>
      <c r="F748" s="852"/>
      <c r="G748" s="852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08">
        <v>1</v>
      </c>
      <c r="B749" s="264" t="s">
        <v>1194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08">
        <v>2</v>
      </c>
      <c r="B750" s="256" t="s">
        <v>1195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08">
        <v>3</v>
      </c>
      <c r="B751" s="256" t="s">
        <v>1196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08">
        <v>4</v>
      </c>
      <c r="B752" s="256" t="s">
        <v>1197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</mergeCells>
  <pageMargins left="0.16" right="0" top="0.44" bottom="0.16" header="0.16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C.THANH MN</vt:lpstr>
      <vt:lpstr>HUNAM - 2017</vt:lpstr>
      <vt:lpstr>HUNAM - CT-2017</vt:lpstr>
      <vt:lpstr>TD-TQ 2016</vt:lpstr>
      <vt:lpstr>CT-2016</vt:lpstr>
      <vt:lpstr>GC - TQ 2016</vt:lpstr>
      <vt:lpstr>BSHĐ - 2016</vt:lpstr>
      <vt:lpstr>ZHOUSHAN - 2017</vt:lpstr>
      <vt:lpstr>ZHOUSHAN - CT-2017</vt:lpstr>
      <vt:lpstr>KIM CHÂU</vt:lpstr>
      <vt:lpstr>M. TRÍ CM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'HUNAM (MB) - 2018'!Print_Area</vt:lpstr>
      <vt:lpstr>'HUNAM (MB) - CT-2018'!Print_Area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2018-05-15T06:50:54Z</cp:lastPrinted>
  <dcterms:created xsi:type="dcterms:W3CDTF">2016-10-31T06:49:38Z</dcterms:created>
  <dcterms:modified xsi:type="dcterms:W3CDTF">2018-05-28T06:46:02Z</dcterms:modified>
</cp:coreProperties>
</file>